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drawings/drawing3.xml" ContentType="application/vnd.openxmlformats-officedocument.drawing+xml"/>
  <Override PartName="/xl/ctrlProps/ctrlProp46.xml" ContentType="application/vnd.ms-excel.controlproperties+xml"/>
  <Override PartName="/xl/drawings/drawing4.xml" ContentType="application/vnd.openxmlformats-officedocument.drawing+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harts/chart1.xml" ContentType="application/vnd.openxmlformats-officedocument.drawingml.chart+xml"/>
  <Override PartName="/xl/drawings/drawing5.xml" ContentType="application/vnd.openxmlformats-officedocument.drawing+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theme/themeOverride1.xml" ContentType="application/vnd.openxmlformats-officedocument.themeOverride+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6.xml" ContentType="application/vnd.openxmlformats-officedocument.drawing+xml"/>
  <Override PartName="/xl/ctrlProps/ctrlProp171.xml" ContentType="application/vnd.ms-excel.controlproperties+xml"/>
  <Override PartName="/xl/drawings/drawing7.xml" ContentType="application/vnd.openxmlformats-officedocument.drawing+xml"/>
  <Override PartName="/xl/ctrlProps/ctrlProp172.xml" ContentType="application/vnd.ms-excel.controlpropertie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231"/>
  <workbookPr codeName="ThisWorkbook" defaultThemeVersion="124226"/>
  <mc:AlternateContent xmlns:mc="http://schemas.openxmlformats.org/markup-compatibility/2006">
    <mc:Choice Requires="x15">
      <x15ac:absPath xmlns:x15ac="http://schemas.microsoft.com/office/spreadsheetml/2010/11/ac" url="C:\Users\irinak\Desktop\New folder\"/>
    </mc:Choice>
  </mc:AlternateContent>
  <xr:revisionPtr revIDLastSave="0" documentId="8_{A2AD0106-331F-4563-AD37-4D9154E9A89E}" xr6:coauthVersionLast="40" xr6:coauthVersionMax="40" xr10:uidLastSave="{00000000-0000-0000-0000-000000000000}"/>
  <bookViews>
    <workbookView xWindow="-110" yWindow="-110" windowWidth="38620" windowHeight="21220" tabRatio="683" xr2:uid="{00000000-000D-0000-FFFF-FFFF00000000}"/>
  </bookViews>
  <sheets>
    <sheet name="Basic Values" sheetId="1" r:id="rId1"/>
    <sheet name="Calculations" sheetId="2" r:id="rId2"/>
    <sheet name="Eliminations" sheetId="46" state="veryHidden" r:id="rId3"/>
    <sheet name="Result" sheetId="3" r:id="rId4"/>
    <sheet name="Analysis" sheetId="4" r:id="rId5"/>
    <sheet name="IFRS" sheetId="5" state="veryHidden" r:id="rId6"/>
    <sheet name="DuPont" sheetId="54" state="veryHidden" r:id="rId7"/>
    <sheet name="MacroDef" sheetId="6" state="veryHidden" r:id="rId8"/>
    <sheet name="VarListAnalysis" sheetId="48" state="veryHidden" r:id="rId9"/>
    <sheet name="Investment Summary" sheetId="55" r:id="rId10"/>
    <sheet name="Consolidation Info" sheetId="56" r:id="rId11"/>
    <sheet name="Specs" sheetId="7" state="veryHidden" r:id="rId12"/>
    <sheet name="Specs2" sheetId="8" state="veryHidden" r:id="rId13"/>
    <sheet name="SpecsTxt" sheetId="9" state="veryHidden" r:id="rId14"/>
    <sheet name="Eng1Txt" sheetId="11" state="veryHidden" r:id="rId15"/>
    <sheet name="Fin1Txt" sheetId="12" state="veryHidden" r:id="rId16"/>
    <sheet name="Swe1Txt" sheetId="13" state="veryHidden" r:id="rId17"/>
    <sheet name="Ger1Txt" sheetId="14" state="veryHidden" r:id="rId18"/>
    <sheet name="Pol1Txt" sheetId="15" state="veryHidden" r:id="rId19"/>
    <sheet name="Spa1Txt" sheetId="16" state="veryHidden" r:id="rId20"/>
    <sheet name="Rus1Txt" sheetId="17" state="veryHidden" r:id="rId21"/>
    <sheet name="Bul1Txt" sheetId="49" state="veryHidden" r:id="rId22"/>
    <sheet name="Eng2Txt" sheetId="18" state="veryHidden" r:id="rId23"/>
    <sheet name="Fin2Txt" sheetId="19" state="veryHidden" r:id="rId24"/>
    <sheet name="Swe2Txt" sheetId="20" state="veryHidden" r:id="rId25"/>
    <sheet name="Ger2Txt" sheetId="21" state="veryHidden" r:id="rId26"/>
    <sheet name="Pol2Txt" sheetId="22" state="veryHidden" r:id="rId27"/>
    <sheet name="Spa2Txt" sheetId="23" state="veryHidden" r:id="rId28"/>
    <sheet name="Rus2Txt" sheetId="24" state="veryHidden" r:id="rId29"/>
    <sheet name="Bul2Txt" sheetId="50" state="veryHidden" r:id="rId30"/>
    <sheet name="Eng3Txt" sheetId="25" state="veryHidden" r:id="rId31"/>
    <sheet name="Fin3Txt" sheetId="26" state="veryHidden" r:id="rId32"/>
    <sheet name="Swe3Txt" sheetId="27" state="veryHidden" r:id="rId33"/>
    <sheet name="Ger3Txt" sheetId="28" state="veryHidden" r:id="rId34"/>
    <sheet name="Pol3Txt" sheetId="29" state="veryHidden" r:id="rId35"/>
    <sheet name="Spa3Txt" sheetId="30" state="veryHidden" r:id="rId36"/>
    <sheet name="Rus3Txt" sheetId="31" state="veryHidden" r:id="rId37"/>
    <sheet name="Bul3Txt" sheetId="51" state="veryHidden" r:id="rId38"/>
    <sheet name="Eng4Txt" sheetId="32" state="veryHidden" r:id="rId39"/>
    <sheet name="Fin4Txt" sheetId="33" state="veryHidden" r:id="rId40"/>
    <sheet name="Swe4Txt" sheetId="34" state="veryHidden" r:id="rId41"/>
    <sheet name="Ger4Txt" sheetId="35" state="veryHidden" r:id="rId42"/>
    <sheet name="Pol4Txt" sheetId="36" state="veryHidden" r:id="rId43"/>
    <sheet name="Spa4Txt" sheetId="37" state="veryHidden" r:id="rId44"/>
    <sheet name="Rus4Txt" sheetId="38" state="veryHidden" r:id="rId45"/>
    <sheet name="Bul4Txt" sheetId="52" state="veryHidden" r:id="rId46"/>
    <sheet name="Eng5Txt" sheetId="39" state="veryHidden" r:id="rId47"/>
    <sheet name="Fin5Txt" sheetId="40" state="veryHidden" r:id="rId48"/>
    <sheet name="Swe5Txt" sheetId="41" state="veryHidden" r:id="rId49"/>
    <sheet name="Ger5Txt" sheetId="42" state="veryHidden" r:id="rId50"/>
    <sheet name="Pol5Txt" sheetId="43" state="veryHidden" r:id="rId51"/>
    <sheet name="Spa5Txt" sheetId="44" state="veryHidden" r:id="rId52"/>
    <sheet name="Rus5Txt" sheetId="45" state="veryHidden" r:id="rId53"/>
    <sheet name="Bul5Txt" sheetId="53" state="veryHidden" r:id="rId54"/>
  </sheets>
  <externalReferences>
    <externalReference r:id="rId55"/>
  </externalReferences>
  <definedNames>
    <definedName name="_Tax1">'Basic Values'!$F$31</definedName>
    <definedName name="_Tax2">'Basic Values'!$G$31</definedName>
    <definedName name="_Tax3">'Basic Values'!$H$31</definedName>
    <definedName name="_Tax4">'Basic Values'!$I$31</definedName>
    <definedName name="_Tax5">'Basic Values'!$J$31</definedName>
    <definedName name="AChartRow0" hidden="1">Analysis!$F$9:$J$9</definedName>
    <definedName name="AChartRow1" hidden="1">Analysis!$F$48:$J$48</definedName>
    <definedName name="AChartRow10" hidden="1">Analysis!$F$410:$J$410</definedName>
    <definedName name="AChartRow11" hidden="1">Analysis!$F$456:$J$456</definedName>
    <definedName name="AChartRow2" hidden="1">Analysis!$F$92:$J$92</definedName>
    <definedName name="AChartRow3" hidden="1">Analysis!$F$136:$J$136</definedName>
    <definedName name="AChartRow4" hidden="1">Analysis!$F$180:$J$180</definedName>
    <definedName name="AChartRow5" hidden="1">Analysis!$F$226:$J$226</definedName>
    <definedName name="AChartRow6" hidden="1">Analysis!$F$9:$J$9</definedName>
    <definedName name="AChartRow7" hidden="1">Analysis!$F$272:$J$272</definedName>
    <definedName name="AChartRow8" hidden="1">Analysis!$F$318:$J$318</definedName>
    <definedName name="AChartRow9" hidden="1">Analysis!$F$364:$J$364</definedName>
    <definedName name="AcqDebtAmount" localSheetId="6" hidden="1">[1]Specs!$G$52</definedName>
    <definedName name="AcqDebtAmount" hidden="1">Specs!$G$52</definedName>
    <definedName name="AcqDebtRate" localSheetId="6" hidden="1">[1]Specs!$G$15</definedName>
    <definedName name="AcqDebtRate" hidden="1">Specs!$G$15</definedName>
    <definedName name="AcqDebtTime" localSheetId="6" hidden="1">[1]Specs!$G$13</definedName>
    <definedName name="AcqDebtTime" hidden="1">Specs!$G$13</definedName>
    <definedName name="AcqEquity" localSheetId="6" hidden="1">[1]Specs!$G$65</definedName>
    <definedName name="AcqEquity" hidden="1">Specs!$G$65</definedName>
    <definedName name="AcqEquityCosts" localSheetId="6" hidden="1">[1]Specs!$G$51</definedName>
    <definedName name="AcqEquityCosts" hidden="1">Specs!$G$51</definedName>
    <definedName name="AcqMotherTax" localSheetId="6" hidden="1">[1]Specs!$G$66</definedName>
    <definedName name="AcqMotherTax" hidden="1">Specs!$G$66</definedName>
    <definedName name="AcqMotherTaxInUse" localSheetId="6" hidden="1">[1]Specs!$G$67</definedName>
    <definedName name="AcqMotherTaxInUse" hidden="1">Specs!$G$67</definedName>
    <definedName name="AdjustDCVAwNetDebt" localSheetId="6" hidden="1">[1]Specs!$G$39</definedName>
    <definedName name="AdjustDCVAwNetDebt" hidden="1">Specs!$G$39</definedName>
    <definedName name="AFactor" localSheetId="6" hidden="1">[1]Specs!$B$15</definedName>
    <definedName name="AFactor" hidden="1">Specs!$B$15</definedName>
    <definedName name="AFactor2" localSheetId="6" hidden="1">[1]Specs!$I$22</definedName>
    <definedName name="AFactor2" hidden="1">Specs!$I$22</definedName>
    <definedName name="AFactorList" localSheetId="6" hidden="1">[1]Specs!$A$16:$A$23</definedName>
    <definedName name="AFactorList" hidden="1">Specs!$A$16:$A$23</definedName>
    <definedName name="AFactorList2">Specs!$I$13:$I$17</definedName>
    <definedName name="AFactorRanges" hidden="1">Specs!$O$77:$O$84</definedName>
    <definedName name="AFactorRanges2">Specs!$O$93:$O$97</definedName>
    <definedName name="AllTxt">SpecsTxt!$K$2</definedName>
    <definedName name="AltCalcPointPB" hidden="1">Specs!$G$25</definedName>
    <definedName name="Analysis01Ratio01" localSheetId="6" hidden="1">[1]Specs!$K$43</definedName>
    <definedName name="Analysis01Ratio01" hidden="1">Specs!$K$43</definedName>
    <definedName name="Analysis01Ratio02" localSheetId="6" hidden="1">[1]Specs!$K$44</definedName>
    <definedName name="Analysis01Ratio02" hidden="1">Specs!$K$44</definedName>
    <definedName name="Analysis01Ratio03" localSheetId="6" hidden="1">[1]Specs!$K$45</definedName>
    <definedName name="Analysis01Ratio03" hidden="1">Specs!$K$45</definedName>
    <definedName name="Analysis01Ratio04" localSheetId="6" hidden="1">[1]Specs!$K$46</definedName>
    <definedName name="Analysis01Ratio04" hidden="1">Specs!$K$46</definedName>
    <definedName name="Analysis01Ratio05" localSheetId="6" hidden="1">[1]Specs!$K$47</definedName>
    <definedName name="Analysis01Ratio05" hidden="1">Specs!$K$47</definedName>
    <definedName name="Analysis01Ratio06" localSheetId="6" hidden="1">[1]Specs!$K$48</definedName>
    <definedName name="Analysis01Ratio06" hidden="1">Specs!$K$48</definedName>
    <definedName name="Analysis02Ratio01" localSheetId="6" hidden="1">[1]Specs!$K$49</definedName>
    <definedName name="Analysis02Ratio01" hidden="1">Specs!$K$49</definedName>
    <definedName name="Analysis02Ratio02" localSheetId="6" hidden="1">[1]Specs!$K$50</definedName>
    <definedName name="Analysis02Ratio02" hidden="1">Specs!$K$50</definedName>
    <definedName name="Analysis02Ratio03" localSheetId="6" hidden="1">[1]Specs!$K$51</definedName>
    <definedName name="Analysis02Ratio03" hidden="1">Specs!$K$51</definedName>
    <definedName name="Analysis02Ratio04" localSheetId="6" hidden="1">[1]Specs!$K$52</definedName>
    <definedName name="Analysis02Ratio04" hidden="1">Specs!$K$52</definedName>
    <definedName name="Analysis02Ratio05" localSheetId="6" hidden="1">[1]Specs!$K$53</definedName>
    <definedName name="Analysis02Ratio05" hidden="1">Specs!$K$53</definedName>
    <definedName name="Analysis02Ratio06" localSheetId="6" hidden="1">[1]Specs!$K$54</definedName>
    <definedName name="Analysis02Ratio06" hidden="1">Specs!$K$54</definedName>
    <definedName name="Analysis03Ratio01" localSheetId="6" hidden="1">[1]Specs!$K$55</definedName>
    <definedName name="Analysis03Ratio01" hidden="1">Specs!$K$55</definedName>
    <definedName name="Analysis03Ratio02" localSheetId="6" hidden="1">[1]Specs!$K$56</definedName>
    <definedName name="Analysis03Ratio02" hidden="1">Specs!$K$56</definedName>
    <definedName name="Analysis03Ratio03" localSheetId="6" hidden="1">[1]Specs!$K$57</definedName>
    <definedName name="Analysis03Ratio03" hidden="1">Specs!$K$57</definedName>
    <definedName name="Analysis03Ratio04" localSheetId="6" hidden="1">[1]Specs!$K$58</definedName>
    <definedName name="Analysis03Ratio04" hidden="1">Specs!$K$58</definedName>
    <definedName name="Analysis03Ratio05" localSheetId="6" hidden="1">[1]Specs!$K$59</definedName>
    <definedName name="Analysis03Ratio05" hidden="1">Specs!$K$59</definedName>
    <definedName name="Analysis03Ratio06" localSheetId="6" hidden="1">[1]Specs!$K$60</definedName>
    <definedName name="Analysis03Ratio06" hidden="1">Specs!$K$60</definedName>
    <definedName name="Analysis04Ratio01" localSheetId="6" hidden="1">[1]Specs!$K$61</definedName>
    <definedName name="Analysis04Ratio01" hidden="1">Specs!$K$61</definedName>
    <definedName name="Analysis04Ratio02" localSheetId="6" hidden="1">[1]Specs!$K$62</definedName>
    <definedName name="Analysis04Ratio02" hidden="1">Specs!$K$62</definedName>
    <definedName name="Analysis04Ratio03" localSheetId="6" hidden="1">[1]Specs!$K$63</definedName>
    <definedName name="Analysis04Ratio03" hidden="1">Specs!$K$63</definedName>
    <definedName name="Analysis04Ratio04" localSheetId="6" hidden="1">[1]Specs!$K$64</definedName>
    <definedName name="Analysis04Ratio04" hidden="1">Specs!$K$64</definedName>
    <definedName name="Analysis04Ratio05" localSheetId="6" hidden="1">[1]Specs!$K$65</definedName>
    <definedName name="Analysis04Ratio05" hidden="1">Specs!$K$65</definedName>
    <definedName name="Analysis04Ratio06" localSheetId="6" hidden="1">[1]Specs!$K$66</definedName>
    <definedName name="Analysis04Ratio06" hidden="1">Specs!$K$66</definedName>
    <definedName name="Analysis05Ratio01" localSheetId="6" hidden="1">[1]Specs!$K$67</definedName>
    <definedName name="Analysis05Ratio01" hidden="1">Specs!$K$67</definedName>
    <definedName name="Analysis05Ratio02" localSheetId="6" hidden="1">[1]Specs!$K$68</definedName>
    <definedName name="Analysis05Ratio02" hidden="1">Specs!$K$68</definedName>
    <definedName name="Analysis05Ratio03" localSheetId="6" hidden="1">[1]Specs!$K$69</definedName>
    <definedName name="Analysis05Ratio03" hidden="1">Specs!$K$69</definedName>
    <definedName name="Analysis05Ratio04" localSheetId="6" hidden="1">[1]Specs!$K$70</definedName>
    <definedName name="Analysis05Ratio04" hidden="1">Specs!$K$70</definedName>
    <definedName name="Analysis05Ratio05" localSheetId="6" hidden="1">[1]Specs!$K$71</definedName>
    <definedName name="Analysis05Ratio05" hidden="1">Specs!$K$71</definedName>
    <definedName name="Analysis05Ratio06" localSheetId="6" hidden="1">[1]Specs!$K$72</definedName>
    <definedName name="Analysis05Ratio06" hidden="1">Specs!$K$72</definedName>
    <definedName name="Analysis06Ratio01" localSheetId="6" hidden="1">[1]Specs!$K$73</definedName>
    <definedName name="Analysis06Ratio01" hidden="1">Specs!$K$73</definedName>
    <definedName name="Analysis06Ratio02" localSheetId="6" hidden="1">[1]Specs!$K$74</definedName>
    <definedName name="Analysis06Ratio02" hidden="1">Specs!$K$74</definedName>
    <definedName name="Analysis06Ratio03" localSheetId="6" hidden="1">[1]Specs!$K$75</definedName>
    <definedName name="Analysis06Ratio03" hidden="1">Specs!$K$75</definedName>
    <definedName name="Analysis06Ratio04" localSheetId="6" hidden="1">[1]Specs!$K$76</definedName>
    <definedName name="Analysis06Ratio04" hidden="1">Specs!$K$76</definedName>
    <definedName name="Analysis06Ratio05" localSheetId="6" hidden="1">[1]Specs!$K$77</definedName>
    <definedName name="Analysis06Ratio05" hidden="1">Specs!$K$77</definedName>
    <definedName name="Analysis06Ratio06" localSheetId="6" hidden="1">[1]Specs!$K$78</definedName>
    <definedName name="Analysis06Ratio06" hidden="1">Specs!$K$78</definedName>
    <definedName name="Analysis07Ratio01" localSheetId="6" hidden="1">[1]Specs!$N$82</definedName>
    <definedName name="Analysis07Ratio01" hidden="1">Specs!$N$82</definedName>
    <definedName name="Analysis07Ratio02" localSheetId="6" hidden="1">[1]Specs!$N$83</definedName>
    <definedName name="Analysis07Ratio02" hidden="1">Specs!$N$83</definedName>
    <definedName name="Analysis07Ratio03" localSheetId="6" hidden="1">[1]Specs!$N$84</definedName>
    <definedName name="Analysis07Ratio03" hidden="1">Specs!$N$84</definedName>
    <definedName name="Analysis07Ratio04" localSheetId="6" hidden="1">[1]Specs!$N$85</definedName>
    <definedName name="Analysis07Ratio04" hidden="1">Specs!$N$85</definedName>
    <definedName name="Analysis07Ratio05" localSheetId="6" hidden="1">[1]Specs!$N$86</definedName>
    <definedName name="Analysis07Ratio05" hidden="1">Specs!$N$86</definedName>
    <definedName name="Analysis07Ratio06" localSheetId="6" hidden="1">[1]Specs!$N$87</definedName>
    <definedName name="Analysis07Ratio06" hidden="1">Specs!$N$87</definedName>
    <definedName name="Analysis08Ratio01" localSheetId="6" hidden="1">[1]Specs!$N$88</definedName>
    <definedName name="Analysis08Ratio01" hidden="1">Specs!$N$88</definedName>
    <definedName name="Analysis08Ratio02" localSheetId="6" hidden="1">[1]Specs!$N$89</definedName>
    <definedName name="Analysis08Ratio02" hidden="1">Specs!$N$89</definedName>
    <definedName name="Analysis08Ratio03" localSheetId="6" hidden="1">[1]Specs!$N$90</definedName>
    <definedName name="Analysis08Ratio03" hidden="1">Specs!$N$90</definedName>
    <definedName name="Analysis08Ratio04" localSheetId="6" hidden="1">[1]Specs!$N$91</definedName>
    <definedName name="Analysis08Ratio04" hidden="1">Specs!$N$91</definedName>
    <definedName name="Analysis08Ratio05" localSheetId="6" hidden="1">[1]Specs!$N$92</definedName>
    <definedName name="Analysis08Ratio05" hidden="1">Specs!$N$92</definedName>
    <definedName name="Analysis08Ratio06" localSheetId="6" hidden="1">[1]Specs!$N$93</definedName>
    <definedName name="Analysis08Ratio06" hidden="1">Specs!$N$93</definedName>
    <definedName name="Analysis09Ratio01" localSheetId="6" hidden="1">[1]Specs!$N$94</definedName>
    <definedName name="Analysis09Ratio01" hidden="1">Specs!$N$94</definedName>
    <definedName name="Analysis09Ratio02" localSheetId="6" hidden="1">[1]Specs!$N$95</definedName>
    <definedName name="Analysis09Ratio02" hidden="1">Specs!$N$95</definedName>
    <definedName name="Analysis09Ratio03" localSheetId="6" hidden="1">[1]Specs!$N$96</definedName>
    <definedName name="Analysis09Ratio03" hidden="1">Specs!$N$96</definedName>
    <definedName name="Analysis09Ratio04" localSheetId="6" hidden="1">[1]Specs!$N$97</definedName>
    <definedName name="Analysis09Ratio04" hidden="1">Specs!$N$97</definedName>
    <definedName name="Analysis09Ratio05" localSheetId="6" hidden="1">[1]Specs!$N$98</definedName>
    <definedName name="Analysis09Ratio05" hidden="1">Specs!$N$98</definedName>
    <definedName name="Analysis09Ratio06" localSheetId="6" hidden="1">[1]Specs!$N$99</definedName>
    <definedName name="Analysis09Ratio06" hidden="1">Specs!$N$99</definedName>
    <definedName name="Analysis10Ratio01" localSheetId="6" hidden="1">[1]Specs!$N$100</definedName>
    <definedName name="Analysis10Ratio01" hidden="1">Specs!$N$100</definedName>
    <definedName name="Analysis10Ratio02" localSheetId="6" hidden="1">[1]Specs!$N$101</definedName>
    <definedName name="Analysis10Ratio02" hidden="1">Specs!$N$101</definedName>
    <definedName name="Analysis10Ratio03" localSheetId="6" hidden="1">[1]Specs!$N$102</definedName>
    <definedName name="Analysis10Ratio03" hidden="1">Specs!$N$102</definedName>
    <definedName name="Analysis10Ratio04" localSheetId="6" hidden="1">[1]Specs!$N$103</definedName>
    <definedName name="Analysis10Ratio04" hidden="1">Specs!$N$103</definedName>
    <definedName name="Analysis10Ratio05" localSheetId="6" hidden="1">[1]Specs!$N$104</definedName>
    <definedName name="Analysis10Ratio05" hidden="1">Specs!$N$104</definedName>
    <definedName name="Analysis10Ratio06" localSheetId="6" hidden="1">[1]Specs!$N$105</definedName>
    <definedName name="Analysis10Ratio06" hidden="1">Specs!$N$105</definedName>
    <definedName name="Analysis11Ratio01" localSheetId="6" hidden="1">[1]Specs!$N$106</definedName>
    <definedName name="Analysis11Ratio01" hidden="1">Specs!$N$106</definedName>
    <definedName name="Analysis11Ratio02" localSheetId="6" hidden="1">[1]Specs!$N$107</definedName>
    <definedName name="Analysis11Ratio02" hidden="1">Specs!$N$107</definedName>
    <definedName name="Analysis11Ratio03" localSheetId="6" hidden="1">[1]Specs!$N$108</definedName>
    <definedName name="Analysis11Ratio03" hidden="1">Specs!$N$108</definedName>
    <definedName name="Analysis11Ratio04" localSheetId="6" hidden="1">[1]Specs!$N$109</definedName>
    <definedName name="Analysis11Ratio04" hidden="1">Specs!$N$109</definedName>
    <definedName name="Analysis11Ratio05" localSheetId="6" hidden="1">[1]Specs!$N$110</definedName>
    <definedName name="Analysis11Ratio05" hidden="1">Specs!$N$110</definedName>
    <definedName name="Analysis11Ratio06" localSheetId="6" hidden="1">[1]Specs!$N$111</definedName>
    <definedName name="Analysis11Ratio06" hidden="1">Specs!$N$111</definedName>
    <definedName name="AnyDisc" localSheetId="6" hidden="1">[1]Calculations!$Y$1</definedName>
    <definedName name="AnyDisc" hidden="1">Calculations!$O$1</definedName>
    <definedName name="ApplyDetailLevelTo" hidden="1">Specs!$G$11</definedName>
    <definedName name="AutoManualTax" localSheetId="6" hidden="1">[1]Specs!$G$57</definedName>
    <definedName name="AutoManualTax" hidden="1">Specs!$G$57</definedName>
    <definedName name="AvgOperMarg">Calculations!$A$483</definedName>
    <definedName name="BadwillOK" localSheetId="6" hidden="1">[1]Specs!$E$17</definedName>
    <definedName name="BadwillOK" hidden="1">Specs!$E$17</definedName>
    <definedName name="BalanceTable">Calculations!$F$707:$N$836</definedName>
    <definedName name="BalanceTable0">Calculations!$A$705</definedName>
    <definedName name="BalanceTableFull">Calculations!$A$707:$O$837</definedName>
    <definedName name="BalCheck" localSheetId="6" hidden="1">[1]Specs!$G$18</definedName>
    <definedName name="BalCheck" hidden="1">Specs!$G$18</definedName>
    <definedName name="BalDepr01" localSheetId="6" hidden="1">[1]Specs!$K$29</definedName>
    <definedName name="BalDepr01" hidden="1">Specs!$K$29</definedName>
    <definedName name="BalDepr02" localSheetId="6" hidden="1">[1]Specs!$K$30</definedName>
    <definedName name="BalDepr02" hidden="1">Specs!$K$30</definedName>
    <definedName name="BalDepr03" localSheetId="6" hidden="1">[1]Specs!$K$31</definedName>
    <definedName name="BalDepr03" hidden="1">Specs!$K$31</definedName>
    <definedName name="BalDepr04" localSheetId="6" hidden="1">[1]Specs!$K$32</definedName>
    <definedName name="BalDepr04" hidden="1">Specs!$K$32</definedName>
    <definedName name="BalDepr05" localSheetId="6" hidden="1">[1]Specs!$K$33</definedName>
    <definedName name="BalDepr05" hidden="1">Specs!$K$33</definedName>
    <definedName name="BalDepr06" localSheetId="6" hidden="1">[1]Specs!$K$34</definedName>
    <definedName name="BalDepr06" hidden="1">Specs!$K$34</definedName>
    <definedName name="BalDepr07" localSheetId="6" hidden="1">[1]Specs!$K$35</definedName>
    <definedName name="BalDepr07" hidden="1">Specs!$K$35</definedName>
    <definedName name="BalDepr08" localSheetId="6" hidden="1">[1]Specs!$K$37</definedName>
    <definedName name="BalDepr08" hidden="1">Specs!$K$37</definedName>
    <definedName name="BalDepr09" localSheetId="6" hidden="1">[1]Specs!$K$38</definedName>
    <definedName name="BalDepr09" hidden="1">Specs!$K$38</definedName>
    <definedName name="BalDepr1" hidden="1">Specs!$I$2</definedName>
    <definedName name="BalDepr10" localSheetId="6" hidden="1">[1]Specs!$K$39</definedName>
    <definedName name="BalDepr10" hidden="1">Specs!$K$39</definedName>
    <definedName name="BalDepr11" localSheetId="6" hidden="1">[1]Specs!$K$40</definedName>
    <definedName name="BalDepr11" hidden="1">Specs!$K$40</definedName>
    <definedName name="BalDepr12" localSheetId="6" hidden="1">[1]Specs!$K$41</definedName>
    <definedName name="BalDepr12" hidden="1">Specs!$K$41</definedName>
    <definedName name="BalDepr13" hidden="1">Specs!$K$36</definedName>
    <definedName name="BalDepr2" hidden="1">Specs!$I$4</definedName>
    <definedName name="BalDepr3" hidden="1">Specs!$I$6</definedName>
    <definedName name="BalDeprDD" localSheetId="6" hidden="1">[1]Specs!$J$2:$J$4</definedName>
    <definedName name="BalDeprDD" hidden="1">Specs!$J$2:$J$4</definedName>
    <definedName name="BalDeprPerc01" hidden="1">Calculations!$D$716</definedName>
    <definedName name="BalDeprPerc02" hidden="1">Calculations!$D$720</definedName>
    <definedName name="BalDeprPerc03" hidden="1">Calculations!$D$724</definedName>
    <definedName name="BalDeprPerc04" hidden="1">Calculations!$D$728</definedName>
    <definedName name="BalDeprPerc05" hidden="1">Calculations!$D$733</definedName>
    <definedName name="BalDeprPerc06" hidden="1">Calculations!$D$737</definedName>
    <definedName name="BalDeprPerc07" hidden="1">Calculations!$D$741</definedName>
    <definedName name="BalDeprPerc08" hidden="1">Calculations!$D$749</definedName>
    <definedName name="BalDeprPerc09" hidden="1">Calculations!$D$754</definedName>
    <definedName name="BalDeprPerc10" hidden="1">Calculations!$D$758</definedName>
    <definedName name="BalDeprPerc11" hidden="1">Calculations!$D$762</definedName>
    <definedName name="BalDeprPerc12" hidden="1">Calculations!$D$766</definedName>
    <definedName name="BalDeprPerc13">Calculations!$D$745</definedName>
    <definedName name="BasicValues">'Basic Values'!$C$3:$K$31</definedName>
    <definedName name="BasicValuesFull">'Basic Values'!$B$2:$L$32</definedName>
    <definedName name="BasicValuesView">'Basic Values'!$A$1:$L$32</definedName>
    <definedName name="BeginEnd">'Basic Values'!$J$13</definedName>
    <definedName name="CalcPoint" localSheetId="6" hidden="1">[1]Specs!$G$22</definedName>
    <definedName name="CalcPoint" hidden="1">Specs!$G$22</definedName>
    <definedName name="CalcPointPB" localSheetId="6" hidden="1">[1]Specs!$G$23</definedName>
    <definedName name="CalcPointPB" hidden="1">Specs!$G$23</definedName>
    <definedName name="CalculatedDepreciation" localSheetId="6" hidden="1">[1]Specs!$I$39</definedName>
    <definedName name="CalculatedDepreciation" hidden="1">Specs!$I$39</definedName>
    <definedName name="CalculatedTax1" localSheetId="6" hidden="1">[1]Calculations!$G$1083:$X$1083</definedName>
    <definedName name="CalculatedTax1" hidden="1">Calculations!$G$1083:$N$1083</definedName>
    <definedName name="CalculatedTax2" localSheetId="6" hidden="1">[1]Calculations!$G$1084:$X$1084</definedName>
    <definedName name="CalculatedTax2" hidden="1">Calculations!$G$1084:$N$1084</definedName>
    <definedName name="CalculatedTax3" localSheetId="6" hidden="1">[1]Calculations!$G$1085:$X$1085</definedName>
    <definedName name="CalculatedTax3" hidden="1">Calculations!$G$1085:$N$1085</definedName>
    <definedName name="CalculatedTax4" localSheetId="6" hidden="1">[1]Calculations!$G$1086:$X$1086</definedName>
    <definedName name="CalculatedTax4" hidden="1">Calculations!$G$1086:$N$1086</definedName>
    <definedName name="CapFinOnAsset" hidden="1">Specs!$G$72</definedName>
    <definedName name="CapFinPeriod" hidden="1">Specs!$G$73</definedName>
    <definedName name="CashFlowPeriods">Specs2!$A$2:$A$66</definedName>
    <definedName name="CashFlowTable">Calculations!$F$625:$N$703</definedName>
    <definedName name="CashflowTable0">Calculations!$A$623</definedName>
    <definedName name="CashFlowTableFull">Calculations!$A$625:$O$704</definedName>
    <definedName name="ChangeTxt">SpecsTxt!$J$22</definedName>
    <definedName name="CodeCol" hidden="1">Result!$M$4</definedName>
    <definedName name="CodList01">VarListAnalysis!$A$2:$A$44</definedName>
    <definedName name="ColHeaders" localSheetId="6" hidden="1">[1]Calculations!$G$16:$X$16</definedName>
    <definedName name="ColHeaders" hidden="1">Calculations!$G$16:$N$16</definedName>
    <definedName name="ColHeaders2" hidden="1">Calculations!$H$16:$N$16</definedName>
    <definedName name="ColHeadersR" localSheetId="6" hidden="1">Specs!$B$20:$B$25</definedName>
    <definedName name="ColHeadersR">Specs!$B$20:$B$26</definedName>
    <definedName name="ColHeadersR2">Specs!$B$21:$B$26</definedName>
    <definedName name="ColLabels" hidden="1">Calculations!$F$6:$N$6</definedName>
    <definedName name="Compilation" hidden="1">Specs!$B$3</definedName>
    <definedName name="ConnectionFeesInUse" hidden="1">Specs!$E$18</definedName>
    <definedName name="ConsInfo">'Consolidation Info'!$A$1:$J$4</definedName>
    <definedName name="ConsISR">'Investment Summary'!$C$2:$T$2</definedName>
    <definedName name="ConsTxt">SpecsTxt!$I$32</definedName>
    <definedName name="ContactInfo">'Basic Values'!$C$45:$K$70</definedName>
    <definedName name="ContactInfoFull">'Basic Values'!$B$44:$L$71</definedName>
    <definedName name="ContactInfoView">'Basic Values'!$A$41:$L$71</definedName>
    <definedName name="CorrDebtResidual" localSheetId="6" hidden="1">[1]Specs!$J$14</definedName>
    <definedName name="CorrDebtResidual" hidden="1">Specs!$J$14</definedName>
    <definedName name="CreatedWithProgVersion" hidden="1">Specs!$I$41</definedName>
    <definedName name="CumMonths">Calculations!$G$1035:$N$1035</definedName>
    <definedName name="Currency">'Basic Values'!$F$21</definedName>
    <definedName name="CurrencyFile" hidden="1">Specs!$M$15</definedName>
    <definedName name="CurrencyfileCons" hidden="1">Specs!$I$77</definedName>
    <definedName name="CurrencyTranslationCons" hidden="1">Specs!$I$75</definedName>
    <definedName name="DCVAAdjust" localSheetId="6" hidden="1">[1]Specs!$G$34</definedName>
    <definedName name="DCVAAdjust" hidden="1">Specs!$G$34</definedName>
    <definedName name="DcvaCG" localSheetId="6" hidden="1">[1]Specs!$G$38</definedName>
    <definedName name="DcvaCG" hidden="1">Specs!$G$38</definedName>
    <definedName name="DCVAResidual" localSheetId="6" hidden="1">[1]Specs!$G$35</definedName>
    <definedName name="DCVAResidual" hidden="1">Specs!$G$35</definedName>
    <definedName name="DebtCashFlow">Specs2!$D$2:$D$66</definedName>
    <definedName name="DemoVersion" localSheetId="6" hidden="1">[1]Specs!$G$1</definedName>
    <definedName name="DemoVersion" hidden="1">Specs!$G$1</definedName>
    <definedName name="DetailCodes" hidden="1">Calculations!$P$1</definedName>
    <definedName name="DetailLevels" localSheetId="6" hidden="1">[1]Specs!$F$5:$F$10</definedName>
    <definedName name="DetailLevels" hidden="1">Specs!$F$5:$F$10</definedName>
    <definedName name="DetailLevelSheet" hidden="1">Specs!$G$4</definedName>
    <definedName name="DiscAnalysis">Analysis!$B$2:$L$41</definedName>
    <definedName name="DiscAnalysisView">Analysis!$A$1:$L$41</definedName>
    <definedName name="DiscFinCashFlow">Calculations!$G$1202:$N$1202</definedName>
    <definedName name="DiscMonth">'Basic Values'!$F$25</definedName>
    <definedName name="DiscMonthEquity">'Basic Values'!$F$28</definedName>
    <definedName name="DiscNetCashFlow">Calculations!$G$676:$N$676</definedName>
    <definedName name="DiscNetCashFlowEquity">Calculations!$G$693:$N$693</definedName>
    <definedName name="DiscOperCashFlow">Calculations!$G$1078:$N$1078</definedName>
    <definedName name="DiscountFactorAnalysisHidden" hidden="1">Specs!$G$59</definedName>
    <definedName name="DiscPayBack">Calculations!$G$1034:$N$1037</definedName>
    <definedName name="DiscPayBackDCVA">Calculations!$G$1209:$N$1212</definedName>
    <definedName name="DiscPayBackEquity">Calculations!$G$1205:$N$1208</definedName>
    <definedName name="DiscPaybackPeriod">Calculations!$G$1035:$N$1037</definedName>
    <definedName name="DiscPeriod">'Basic Values'!$F$24</definedName>
    <definedName name="DiscPeriod2">'Basic Values'!$G$24</definedName>
    <definedName name="DiscPeriod2Equity">'Basic Values'!$G$27</definedName>
    <definedName name="DiscPeriodEquity">'Basic Values'!$F$27</definedName>
    <definedName name="DiscTotalInvestment">Calculations!$G$14:$N$14</definedName>
    <definedName name="DiscYear">'Basic Values'!$F$23</definedName>
    <definedName name="DiscYearEquity">'Basic Values'!$F$26</definedName>
    <definedName name="DistributeStore" hidden="1">Specs!$J$113</definedName>
    <definedName name="DontCompound" localSheetId="6" hidden="1">[1]Specs!$G$21</definedName>
    <definedName name="DontCompound" hidden="1">Specs!$G$21</definedName>
    <definedName name="DontCompoundPB" localSheetId="6" hidden="1">[1]Specs!$G$24</definedName>
    <definedName name="DontCompoundPB" hidden="1">Specs!$G$24</definedName>
    <definedName name="DupontArea">DuPont!$B$4:$X$53</definedName>
    <definedName name="DuPontInUse" hidden="1">Specs!$M$18</definedName>
    <definedName name="EbitdaIndex" localSheetId="6" hidden="1">[1]Specs!$A$38</definedName>
    <definedName name="EbitdaIndex" hidden="1">Specs!$A$38</definedName>
    <definedName name="ElimGroupCol">Eliminations!$F$4</definedName>
    <definedName name="ElimGroups" localSheetId="6" hidden="1">[1]Specs!$N$2:$N$26</definedName>
    <definedName name="ElimGroups" hidden="1">Specs!$N$2:$N$26</definedName>
    <definedName name="ElimGroupsInUse" localSheetId="6" hidden="1">[1]Specs!$M$2</definedName>
    <definedName name="ElimGroupsInUse" hidden="1">Specs!$M$2</definedName>
    <definedName name="ElimLastCol">Eliminations!$Q$3</definedName>
    <definedName name="ElimResidualColumn">Eliminations!$Q$1</definedName>
    <definedName name="ElimsApply" hidden="1">Specs!$M$6</definedName>
    <definedName name="ElimSheetInUse" hidden="1">Specs!$M$4</definedName>
    <definedName name="ElimStart">Eliminations!$H$3</definedName>
    <definedName name="ElimTxt">SpecsTxt!$I$22</definedName>
    <definedName name="ElimZeroCol">Eliminations!$J$3</definedName>
    <definedName name="ElimZeroPeriod">Eliminations!$J$1</definedName>
    <definedName name="EndOfFinancialYear" hidden="1">'Basic Values'!$H$34</definedName>
    <definedName name="Eng2TxtStart" localSheetId="29" hidden="1">Bul2Txt!$B$20</definedName>
    <definedName name="Eng2TxtStart" localSheetId="28" hidden="1">Rus2Txt!$B$20</definedName>
    <definedName name="Eng2TxtStart" hidden="1">Eng2Txt!$B$20</definedName>
    <definedName name="EvaBAT" localSheetId="6" hidden="1">[1]Specs!$E$16</definedName>
    <definedName name="EvaBAT" hidden="1">Specs!$E$16</definedName>
    <definedName name="EvaCG" localSheetId="6" hidden="1">[1]Specs!$G$20</definedName>
    <definedName name="EvaCG" hidden="1">Specs!$G$20</definedName>
    <definedName name="ExampleFile" hidden="1">Specs!$G$3</definedName>
    <definedName name="ExchangeRates" hidden="1">Specs!$T$1</definedName>
    <definedName name="FCFEinUse" localSheetId="6" hidden="1">[1]Specs!$G$45</definedName>
    <definedName name="FCFEinUse" hidden="1">Specs!$G$45</definedName>
    <definedName name="Figures">'Basic Values'!$F$20</definedName>
    <definedName name="FiguresList" localSheetId="6" hidden="1">'[1]Basic Values'!$R$3:$R$5</definedName>
    <definedName name="FiguresList" hidden="1">'Basic Values'!$R$3:$R$5</definedName>
    <definedName name="FileLocked" hidden="1">Specs!$R$6</definedName>
    <definedName name="FileVersion" hidden="1">Specs!$B$2</definedName>
    <definedName name="FilteredLanguages" hidden="1">Specs!$V$2:$V$11</definedName>
    <definedName name="Fin2TxtStart" hidden="1">Fin2Txt!$B$20</definedName>
    <definedName name="FinIncludeDebt" hidden="1">Specs!$J$19</definedName>
    <definedName name="FinIncludeEquity" hidden="1">Specs!$J$17</definedName>
    <definedName name="FinMonth">'Basic Values'!$F$36</definedName>
    <definedName name="FinYear">'Basic Values'!$G$36</definedName>
    <definedName name="FinYearCol01" hidden="1">Specs!$N$65</definedName>
    <definedName name="FinYearCol02" hidden="1">Specs!$N$66</definedName>
    <definedName name="FinYearCol03" hidden="1">Specs!$N$67</definedName>
    <definedName name="FinYearCol04" hidden="1">Specs!$N$68</definedName>
    <definedName name="FinYearCol05" hidden="1">Specs!$N$69</definedName>
    <definedName name="FinYearCol06" hidden="1">Specs!$N$70</definedName>
    <definedName name="FinYearCol07" hidden="1">Specs!$N$71</definedName>
    <definedName name="FinYearCol08" hidden="1">Specs!$N$72</definedName>
    <definedName name="FinYearCol09" hidden="1">Specs!$N$73</definedName>
    <definedName name="FinYearCol10" hidden="1">Specs!$N$74</definedName>
    <definedName name="FinYearCol11" hidden="1">Specs!$N$75</definedName>
    <definedName name="FinYearR" localSheetId="6" hidden="1">[1]Specs!$C$17</definedName>
    <definedName name="FinYearR" hidden="1">Specs!$C$17</definedName>
    <definedName name="FinYearR01" localSheetId="6" hidden="1">[1]Specs!$N$54</definedName>
    <definedName name="FinYearR01" hidden="1">Specs!$N$54</definedName>
    <definedName name="FinYearR02" localSheetId="6" hidden="1">[1]Specs!$N$55</definedName>
    <definedName name="FinYearR02" hidden="1">Specs!$N$55</definedName>
    <definedName name="FinYearR03" localSheetId="6" hidden="1">[1]Specs!$N$56</definedName>
    <definedName name="FinYearR03" hidden="1">Specs!$N$56</definedName>
    <definedName name="FinYearR04" localSheetId="6" hidden="1">[1]Specs!$N$57</definedName>
    <definedName name="FinYearR04" hidden="1">Specs!$N$57</definedName>
    <definedName name="FinYearR05" localSheetId="6" hidden="1">[1]Specs!$N$58</definedName>
    <definedName name="FinYearR05" hidden="1">Specs!$N$58</definedName>
    <definedName name="FinYearR06" localSheetId="6" hidden="1">[1]Specs!$N$59</definedName>
    <definedName name="FinYearR06" hidden="1">Specs!$N$59</definedName>
    <definedName name="FinYearR07" localSheetId="6" hidden="1">[1]Specs!$N$60</definedName>
    <definedName name="FinYearR07" hidden="1">Specs!$N$60</definedName>
    <definedName name="FinYearR08" localSheetId="6" hidden="1">[1]Specs!$N$61</definedName>
    <definedName name="FinYearR08" hidden="1">Specs!$N$61</definedName>
    <definedName name="FinYearR09" localSheetId="6" hidden="1">[1]Specs!$N$62</definedName>
    <definedName name="FinYearR09" hidden="1">Specs!$N$62</definedName>
    <definedName name="FinYearR10" localSheetId="6" hidden="1">[1]Specs!$N$63</definedName>
    <definedName name="FinYearR10" hidden="1">Specs!$N$63</definedName>
    <definedName name="FinYearR11" localSheetId="6" hidden="1">[1]Specs!$N$64</definedName>
    <definedName name="FinYearR11" hidden="1">Specs!$N$64</definedName>
    <definedName name="FinYearRIndex" localSheetId="6" hidden="1">[1]Specs!$C$15</definedName>
    <definedName name="FinYearRIndex" hidden="1">Specs!$C$15</definedName>
    <definedName name="FinYearRIndex01" localSheetId="6" hidden="1">[1]Specs!$N$43</definedName>
    <definedName name="FinYearRIndex01" hidden="1">Specs!$N$43</definedName>
    <definedName name="FinYearRIndex02" localSheetId="6" hidden="1">[1]Specs!$N$44</definedName>
    <definedName name="FinYearRIndex02" hidden="1">Specs!$N$44</definedName>
    <definedName name="FinYearRIndex03" localSheetId="6" hidden="1">[1]Specs!$N$45</definedName>
    <definedName name="FinYearRIndex03" hidden="1">Specs!$N$45</definedName>
    <definedName name="FinYearRIndex04" localSheetId="6" hidden="1">[1]Specs!$N$46</definedName>
    <definedName name="FinYearRIndex04" hidden="1">Specs!$N$46</definedName>
    <definedName name="FinYearRIndex05" localSheetId="6" hidden="1">[1]Specs!$N$47</definedName>
    <definedName name="FinYearRIndex05" hidden="1">Specs!$N$47</definedName>
    <definedName name="FinYearRIndex06" localSheetId="6" hidden="1">[1]Specs!$N$48</definedName>
    <definedName name="FinYearRIndex06" hidden="1">Specs!$N$48</definedName>
    <definedName name="FinYearRIndex07" localSheetId="6" hidden="1">[1]Specs!$N$49</definedName>
    <definedName name="FinYearRIndex07" hidden="1">Specs!$N$49</definedName>
    <definedName name="FinYearRIndex08" localSheetId="6" hidden="1">[1]Specs!$N$50</definedName>
    <definedName name="FinYearRIndex08" hidden="1">Specs!$N$50</definedName>
    <definedName name="FinYearRIndex09" localSheetId="6" hidden="1">[1]Specs!$N$51</definedName>
    <definedName name="FinYearRIndex09" hidden="1">Specs!$N$51</definedName>
    <definedName name="FinYearRIndex10" localSheetId="6" hidden="1">[1]Specs!$N$52</definedName>
    <definedName name="FinYearRIndex10" hidden="1">Specs!$N$52</definedName>
    <definedName name="FinYearRIndex11" localSheetId="6" hidden="1">[1]Specs!$N$53</definedName>
    <definedName name="FinYearRIndex11" hidden="1">Specs!$N$53</definedName>
    <definedName name="FinYearsH" localSheetId="6" hidden="1">Specs!$A$40:$A$44</definedName>
    <definedName name="FinYearsH">Specs!$A$40:$A$45</definedName>
    <definedName name="FinYearsNeg" localSheetId="6" hidden="1">Specs!$D$20:$D$24</definedName>
    <definedName name="FinYearsNeg">Specs!$D$20:$D$25</definedName>
    <definedName name="FinYearsPos" localSheetId="6" hidden="1">Specs!$E$20:$E$24</definedName>
    <definedName name="FinYearsPos">Specs!$E$20:$E$25</definedName>
    <definedName name="FinYearsR" localSheetId="6" hidden="1">Specs!$C$20:$C$24</definedName>
    <definedName name="FinYearsR">Specs!$C$20:$C$25</definedName>
    <definedName name="FixedCostAnalysis">Analysis!$B$176:$L$218</definedName>
    <definedName name="FixedCostAnalysisHidden" hidden="1">Specs!$G$63</definedName>
    <definedName name="FixedCostAnalysisView">Analysis!$A$176:$L$218</definedName>
    <definedName name="Ger2TxtStart" hidden="1">Ger2Txt!$B$20</definedName>
    <definedName name="GoodwillDepreciationTax" localSheetId="6" hidden="1">[1]Specs!$G$58</definedName>
    <definedName name="GoodwillDepreciationTax" hidden="1">Specs!$G$58</definedName>
    <definedName name="GroupTxt">SpecsTxt!$J$12</definedName>
    <definedName name="GWTime" localSheetId="6" hidden="1">[1]Specs!$G$17</definedName>
    <definedName name="GWTime" hidden="1">Specs!$G$17</definedName>
    <definedName name="GWtype" localSheetId="6" hidden="1">[1]Specs!$K$5</definedName>
    <definedName name="GWtype" hidden="1">Specs!$K$5</definedName>
    <definedName name="GWtypeDD" localSheetId="6" hidden="1">[1]Specs!$K$2:$K$3</definedName>
    <definedName name="GWtypeDD" hidden="1">Specs!$K$2:$K$3</definedName>
    <definedName name="HiddenCol2">Result!$P$1</definedName>
    <definedName name="History0" hidden="1">'Basic Values'!$N$5</definedName>
    <definedName name="ID" localSheetId="6" hidden="1">[1]Calculations!$E$6</definedName>
    <definedName name="ID" hidden="1">Calculations!$E$6</definedName>
    <definedName name="IFRSAlloc01" localSheetId="6" hidden="1">[1]Specs!$N$29</definedName>
    <definedName name="IFRSAlloc01" hidden="1">Specs!$N$29</definedName>
    <definedName name="IFRSAlloc02" localSheetId="6" hidden="1">[1]Specs!$N$30</definedName>
    <definedName name="IFRSAlloc02" hidden="1">Specs!$N$30</definedName>
    <definedName name="IFRSAlloc03" localSheetId="6" hidden="1">[1]Specs!$N$31</definedName>
    <definedName name="IFRSAlloc03" hidden="1">Specs!$N$31</definedName>
    <definedName name="IFRSAlloc04" localSheetId="6" hidden="1">[1]Specs!$N$32</definedName>
    <definedName name="IFRSAlloc04" hidden="1">Specs!$N$32</definedName>
    <definedName name="IFRSAlloc05" localSheetId="6" hidden="1">[1]Specs!$N$33</definedName>
    <definedName name="IFRSAlloc05" hidden="1">Specs!$N$33</definedName>
    <definedName name="IFRSAlloc06" localSheetId="6" hidden="1">[1]Specs!$N$34</definedName>
    <definedName name="IFRSAlloc06" hidden="1">Specs!$N$34</definedName>
    <definedName name="IFRSAlloc07" localSheetId="6" hidden="1">[1]Specs!$N$35</definedName>
    <definedName name="IFRSAlloc07" hidden="1">Specs!$N$35</definedName>
    <definedName name="IFRSAlloc08" localSheetId="6" hidden="1">[1]Specs!$N$37</definedName>
    <definedName name="IFRSAlloc08" hidden="1">Specs!$N$37</definedName>
    <definedName name="IFRSAlloc09" localSheetId="6" hidden="1">[1]Specs!$N$38</definedName>
    <definedName name="IFRSAlloc09" hidden="1">Specs!$N$38</definedName>
    <definedName name="IFRSAlloc10" localSheetId="6" hidden="1">[1]Specs!$N$39</definedName>
    <definedName name="IFRSAlloc10" hidden="1">Specs!$N$39</definedName>
    <definedName name="IFRSAlloc11" localSheetId="6" hidden="1">[1]Specs!$N$40</definedName>
    <definedName name="IFRSAlloc11" hidden="1">Specs!$N$40</definedName>
    <definedName name="IFRSAlloc12" localSheetId="6" hidden="1">[1]Specs!$N$41</definedName>
    <definedName name="IFRSAlloc12" hidden="1">Specs!$N$41</definedName>
    <definedName name="IFRSAlloc13" hidden="1">Specs!$N$36</definedName>
    <definedName name="IFRSallocDD" localSheetId="6" hidden="1">[1]Specs!$L$29:$L$41</definedName>
    <definedName name="IFRSallocDD" hidden="1">Specs!$L$29:$L$41</definedName>
    <definedName name="IFRSCumulative" localSheetId="6" hidden="1">[1]Specs!$K$7</definedName>
    <definedName name="IFRSCumulative" hidden="1">Specs!$K$7</definedName>
    <definedName name="IFRSDepr01" localSheetId="6" hidden="1">[1]Specs!$O$29</definedName>
    <definedName name="IFRSDepr01" hidden="1">Specs!$O$29</definedName>
    <definedName name="IFRSDepr02" localSheetId="6" hidden="1">[1]Specs!$O$30</definedName>
    <definedName name="IFRSDepr02" hidden="1">Specs!$O$30</definedName>
    <definedName name="IFRSDepr03" localSheetId="6" hidden="1">[1]Specs!$O$31</definedName>
    <definedName name="IFRSDepr03" hidden="1">Specs!$O$31</definedName>
    <definedName name="IFRSDepr04" localSheetId="6" hidden="1">[1]Specs!$O$32</definedName>
    <definedName name="IFRSDepr04" hidden="1">Specs!$O$32</definedName>
    <definedName name="IFRSDepr05" localSheetId="6" hidden="1">[1]Specs!$O$33</definedName>
    <definedName name="IFRSDepr05" hidden="1">Specs!$O$33</definedName>
    <definedName name="IFRSDepr06" localSheetId="6" hidden="1">[1]Specs!$O$34</definedName>
    <definedName name="IFRSDepr06" hidden="1">Specs!$O$34</definedName>
    <definedName name="IFRSDepr07" localSheetId="6" hidden="1">[1]Specs!$O$35</definedName>
    <definedName name="IFRSDepr07" hidden="1">Specs!$O$35</definedName>
    <definedName name="IFRSDepr08" localSheetId="6" hidden="1">[1]Specs!$O$37</definedName>
    <definedName name="IFRSDepr08" hidden="1">Specs!$O$37</definedName>
    <definedName name="IFRSDepr09" localSheetId="6" hidden="1">[1]Specs!$O$38</definedName>
    <definedName name="IFRSDepr09" hidden="1">Specs!$O$38</definedName>
    <definedName name="IFRSDepr10" localSheetId="6" hidden="1">[1]Specs!$O$39</definedName>
    <definedName name="IFRSDepr10" hidden="1">Specs!$O$39</definedName>
    <definedName name="IFRSDepr11" localSheetId="6" hidden="1">[1]Specs!$O$40</definedName>
    <definedName name="IFRSDepr11" hidden="1">Specs!$O$40</definedName>
    <definedName name="IFRSDepr12" localSheetId="6" hidden="1">[1]Specs!$O$41</definedName>
    <definedName name="IFRSDepr12" hidden="1">Specs!$O$41</definedName>
    <definedName name="IFRSDepr13" hidden="1">Specs!$O$36</definedName>
    <definedName name="IFRSFull">IFRS!$C$5:$N$121</definedName>
    <definedName name="IFRSKeyFigures" localSheetId="6" hidden="1">[1]Specs!$I$37</definedName>
    <definedName name="IFRSKeyFigures" hidden="1">Specs!$I$37</definedName>
    <definedName name="IFRSLastColumn" hidden="1">IFRS!$O$1</definedName>
    <definedName name="IFRSPercent01" hidden="1">Calculations!$D$350</definedName>
    <definedName name="IFRSPercent02" hidden="1">Calculations!$D$353</definedName>
    <definedName name="IFRSPercent03" hidden="1">Calculations!$D$356</definedName>
    <definedName name="IFRSPercent04" hidden="1">Calculations!$D$359</definedName>
    <definedName name="IFRSPercent05" hidden="1">Calculations!$D$362</definedName>
    <definedName name="IFRSPercent06" hidden="1">Calculations!$D$365</definedName>
    <definedName name="IFRSPercent07" hidden="1">Calculations!$D$368</definedName>
    <definedName name="IFRSPercent08" hidden="1">Calculations!$D$371</definedName>
    <definedName name="IFRSPercent09" hidden="1">Calculations!$D$374</definedName>
    <definedName name="IFRSPercent10" hidden="1">Calculations!$D$377</definedName>
    <definedName name="IFRSPercent11" hidden="1">Calculations!$D$380</definedName>
    <definedName name="IFRSPercent12" hidden="1">Calculations!$D$383</definedName>
    <definedName name="IFRSPrint">IFRS!$H$5:$N$120</definedName>
    <definedName name="IFRSSheetInUse" localSheetId="6" hidden="1">[1]Specs!$I$35</definedName>
    <definedName name="IFRSSheetInUse" hidden="1">Specs!$I$35</definedName>
    <definedName name="IFRSZeroPeriod" hidden="1">IFRS!$H$1</definedName>
    <definedName name="ImpairmentFinancialAssets" localSheetId="6" hidden="1">[1]Specs!$G$71</definedName>
    <definedName name="ImpairmentFinancialAssets" hidden="1">Specs!$G$71</definedName>
    <definedName name="ImpairmentTestDate" hidden="1">Result!$F$62</definedName>
    <definedName name="ImpairmentWorkingCapital" localSheetId="6" hidden="1">[1]Specs!$G$70</definedName>
    <definedName name="ImpairmentWorkingCapital" hidden="1">Specs!$G$70</definedName>
    <definedName name="InclFinTax" localSheetId="6" hidden="1">[1]Specs!$G$55</definedName>
    <definedName name="InclFinTax" hidden="1">Specs!$G$55</definedName>
    <definedName name="InclPosTax" localSheetId="6" hidden="1">[1]Specs!$G$56</definedName>
    <definedName name="InclPosTax" hidden="1">Specs!$G$56</definedName>
    <definedName name="IncomeAnalysisHidden" hidden="1">Specs!$G$61</definedName>
    <definedName name="IncomeTable">Calculations!$F$439:$N$533</definedName>
    <definedName name="IncomeTable0">Calculations!$A$437</definedName>
    <definedName name="IncomeTableFull">Calculations!$A$439:$O$534</definedName>
    <definedName name="IncomeVariableAnalysisHidden" hidden="1">Specs!$G$64</definedName>
    <definedName name="IncomeVariables" hidden="1">Calculations!$C$443:$C$447</definedName>
    <definedName name="IncVar1" localSheetId="6" hidden="1">[1]Specs!$K$9</definedName>
    <definedName name="IncVar1" hidden="1">Specs!$K$9</definedName>
    <definedName name="IncVar2" localSheetId="6" hidden="1">[1]Specs!$K$11</definedName>
    <definedName name="IncVar2" hidden="1">Specs!$K$11</definedName>
    <definedName name="IncVar3" localSheetId="6" hidden="1">[1]Specs!$K$13</definedName>
    <definedName name="IncVar3" hidden="1">Specs!$K$13</definedName>
    <definedName name="IncVar4" localSheetId="6" hidden="1">[1]Specs!$K$15</definedName>
    <definedName name="IncVar4" hidden="1">Specs!$K$15</definedName>
    <definedName name="IncVar5" localSheetId="6" hidden="1">[1]Specs!$K$17</definedName>
    <definedName name="IncVar5" hidden="1">Specs!$K$17</definedName>
    <definedName name="IncVar6" localSheetId="6" hidden="1">[1]Specs!$K$19</definedName>
    <definedName name="IncVar6" hidden="1">Specs!$K$19</definedName>
    <definedName name="IncVarAnalysis1" hidden="1">Analysis!$B$220:$L$264</definedName>
    <definedName name="IncVarAnalysis1View" hidden="1">Analysis!$A$220:$L$264</definedName>
    <definedName name="IncVarAnalysis2">Analysis!$B$266:$L$310</definedName>
    <definedName name="IncVarAnalysis2View">Analysis!$A$266:$L$310</definedName>
    <definedName name="IncVarAnalysis3">Analysis!$B$312:$L$356</definedName>
    <definedName name="IncVarAnalysis3View">Analysis!$A$312:$L$356</definedName>
    <definedName name="IncVarAnalysis4">Analysis!$B$358:$L$402</definedName>
    <definedName name="IncVarAnalysis4View">Analysis!$A$358:$L$402</definedName>
    <definedName name="IncVarAnalysis5">Analysis!$B$404:$L$448</definedName>
    <definedName name="IncVarAnalysis5View">Analysis!$A$404:$L$448</definedName>
    <definedName name="IncVarAnalysis6">Analysis!$B$450:$L$494</definedName>
    <definedName name="IncVarAnalysis6View">Analysis!$A$450:$L$494</definedName>
    <definedName name="IndexTxt">SpecsTxt!$J$32</definedName>
    <definedName name="InvCallerRowCodes" hidden="1">Specs!$I$43:$I$72</definedName>
    <definedName name="InvDate">'Basic Values'!$E$56</definedName>
    <definedName name="InventFirstName" hidden="1">Specs!$K$23</definedName>
    <definedName name="InventHidden1" hidden="1">Specs!$K$27</definedName>
    <definedName name="InventNoOf" hidden="1">Specs!$K$25</definedName>
    <definedName name="Invento00" hidden="1">Specs!$AL$2</definedName>
    <definedName name="Invento01" hidden="1">Specs!$AM$2:$AM$2</definedName>
    <definedName name="Invento02" hidden="1">Specs!$AN$2</definedName>
    <definedName name="Invento03" hidden="1">Specs!$AO$2</definedName>
    <definedName name="Invento04" hidden="1">Specs!$AP$2</definedName>
    <definedName name="Invento05" hidden="1">Specs!$AQ$2:$AQ$2</definedName>
    <definedName name="InventoriesSpec" localSheetId="6" hidden="1">[1]Specs!$K$21</definedName>
    <definedName name="InventoriesSpec" hidden="1">Specs!$K$21</definedName>
    <definedName name="Investment">'Basic Values'!$F$5</definedName>
    <definedName name="InvestmentAnalysis">Analysis!$B$43:$L$86</definedName>
    <definedName name="InvestmentAnalysisView">Analysis!$A$43:$L$86</definedName>
    <definedName name="InvestTable">Calculations!$F$11:$N$432</definedName>
    <definedName name="InvestTable0">Calculations!$A$8</definedName>
    <definedName name="InvestTableFull">Calculations!$A$11:$O$436</definedName>
    <definedName name="InvFileType" localSheetId="6" hidden="1">[1]Specs!$B$5</definedName>
    <definedName name="InvFileType" hidden="1">Specs!$B$5</definedName>
    <definedName name="InvFileType2" hidden="1">Specs!$B$12</definedName>
    <definedName name="InvInfo" localSheetId="6" hidden="1">[1]Specs!$V$15</definedName>
    <definedName name="InvInfo" hidden="1">Specs!$V$15</definedName>
    <definedName name="InvMonth">'Basic Values'!$F$34</definedName>
    <definedName name="InvOrAcq" localSheetId="6" hidden="1">[1]Specs!$B$8</definedName>
    <definedName name="InvOrAcq" hidden="1">Specs!$B$8</definedName>
    <definedName name="InvTime">'Basic Values'!$J$5</definedName>
    <definedName name="InvTime2">'Basic Values'!$K$5</definedName>
    <definedName name="InvTimeEnds">'Basic Values'!$F$18</definedName>
    <definedName name="InvTimeMonths">'Basic Values'!$J$7</definedName>
    <definedName name="InvTimeMonths2">'Basic Values'!$K$7</definedName>
    <definedName name="InvYear">'Basic Values'!$G$34</definedName>
    <definedName name="IrrCashFlow">Specs2!$B$2:$B$66</definedName>
    <definedName name="IrrCashFlowEquity">Specs2!$F$2:$F$66</definedName>
    <definedName name="IRRLimit" hidden="1">Specs!$G$125</definedName>
    <definedName name="IRRLimitEquity" hidden="1">Specs!$G$176</definedName>
    <definedName name="KeyFiguresTable">Calculations!$F$840:$N$902</definedName>
    <definedName name="KeyFiguresTable0">Calculations!$A$838</definedName>
    <definedName name="KeyFiguresTableFull">Calculations!$A$840:$O$903</definedName>
    <definedName name="Language">'Basic Values'!$A$16</definedName>
    <definedName name="LastMonth">'Basic Values'!$F$37</definedName>
    <definedName name="LastPeriod">'Basic Values'!$J$48</definedName>
    <definedName name="LastYear">'Basic Values'!$G$37</definedName>
    <definedName name="LoanEnterOrProFin" localSheetId="6" hidden="1">[1]Specs!$G$50</definedName>
    <definedName name="LoanEnterOrProFin" hidden="1">Specs!$G$50</definedName>
    <definedName name="MacroMsg" hidden="1">SpecsTxt!$G$2</definedName>
    <definedName name="MacroWorkbookMsg" hidden="1">SpecsTxt!$F$2</definedName>
    <definedName name="MacroWorkbookName" hidden="1">MacroDef!$A$2</definedName>
    <definedName name="MaxIRR" localSheetId="6" hidden="1">[1]Specs!$F$124</definedName>
    <definedName name="MaxIRR" hidden="1">Specs!$F$124</definedName>
    <definedName name="MaxIRRbt" localSheetId="6" hidden="1">[1]Specs!$F$227</definedName>
    <definedName name="MaxIRRbt" hidden="1">Specs!$F$227</definedName>
    <definedName name="MaxIRREquity" localSheetId="6" hidden="1">[1]Specs!$F$175</definedName>
    <definedName name="MaxIRREquity" hidden="1">Specs!$F$175</definedName>
    <definedName name="MaxIRREquitybt" localSheetId="6" hidden="1">[1]Specs!$F$278</definedName>
    <definedName name="MaxIRREquitybt" hidden="1">Specs!$F$278</definedName>
    <definedName name="MidyearTxt">SpecsTxt!$K$12</definedName>
    <definedName name="MinIRR" localSheetId="6" hidden="1">[1]Specs!$F$122</definedName>
    <definedName name="MinIRR" hidden="1">Specs!$F$122</definedName>
    <definedName name="MinIRRbt" localSheetId="6" hidden="1">[1]Specs!$F$225</definedName>
    <definedName name="MinIRRbt" hidden="1">Specs!$F$225</definedName>
    <definedName name="MinIRREquity" localSheetId="6" hidden="1">[1]Specs!$F$173</definedName>
    <definedName name="MinIRREquity" hidden="1">Specs!$F$173</definedName>
    <definedName name="MinIRREquitybt" localSheetId="6" hidden="1">[1]Specs!$F$276</definedName>
    <definedName name="MinIRREquitybt" hidden="1">Specs!$F$276</definedName>
    <definedName name="MirrdCashFlow">Specs2!$G$2:$G$66</definedName>
    <definedName name="MYDisc">Specs!$B$10</definedName>
    <definedName name="NABase" localSheetId="6" hidden="1">[1]Specs!$E$14</definedName>
    <definedName name="NABase" hidden="1">Specs!$E$14</definedName>
    <definedName name="NetCashFlow">Calculations!$G$675:$N$675</definedName>
    <definedName name="NetCashFlowEquity">Calculations!$G$692:$N$692</definedName>
    <definedName name="NetDebtOption" hidden="1">Specs!$G$36</definedName>
    <definedName name="NoOfPeriods">'Basic Values'!$F$13</definedName>
    <definedName name="NoOfPeriods2">'Basic Values'!$G$13</definedName>
    <definedName name="NoResCol" localSheetId="6" hidden="1">[1]Specs!$G$27</definedName>
    <definedName name="NoResCol" hidden="1">Specs!$G$27</definedName>
    <definedName name="NotDiscPayback">Calculations!$G$1216:$N$1219</definedName>
    <definedName name="NotDiscPaybackEquity">Calculations!$G$1220:$N$1223</definedName>
    <definedName name="NotInUseTxt">SpecsTxt!$I$2</definedName>
    <definedName name="NoZeroCol" localSheetId="6" hidden="1">[1]Specs!$G$26</definedName>
    <definedName name="NoZeroCol" hidden="1">Specs!$G$26</definedName>
    <definedName name="OffBal01" hidden="1">Calculations!$A$328:$A$333</definedName>
    <definedName name="OffBal02" hidden="1">Calculations!$A$671:$A$674</definedName>
    <definedName name="OneOrManyPeriod" hidden="1">Specs!$R$4</definedName>
    <definedName name="Operators" localSheetId="6" hidden="1">[1]Calculations!$D$2:$D$6</definedName>
    <definedName name="Operators" hidden="1">Calculations!$D$2:$D$6</definedName>
    <definedName name="Operators1" localSheetId="6" hidden="1">[1]Calculations!$C$2:$C$4</definedName>
    <definedName name="Operators1" hidden="1">Calculations!$C$2:$C$4</definedName>
    <definedName name="OperBegins" hidden="1">'Basic Values'!$H$35</definedName>
    <definedName name="OperMonth">'Basic Values'!$F$35</definedName>
    <definedName name="OperTxt">'Basic Values'!$G$7</definedName>
    <definedName name="OperYear">'Basic Values'!$G$35</definedName>
    <definedName name="Payable00" hidden="1">Specs!$AR$2</definedName>
    <definedName name="Payable01" hidden="1">Specs!$AS$2:$AS$2</definedName>
    <definedName name="Payable02" hidden="1">Specs!$AT$2</definedName>
    <definedName name="Payable03" hidden="1">Specs!$AU$2</definedName>
    <definedName name="Payable04" hidden="1">Specs!$AV$2</definedName>
    <definedName name="Payable05" hidden="1">Specs!$AW$2:$AW$2</definedName>
    <definedName name="PayableFirstName" hidden="1">Specs!$L$23</definedName>
    <definedName name="PayableHidden1" hidden="1">Specs!$L$27</definedName>
    <definedName name="PayableNoOf" hidden="1">Specs!$L$25</definedName>
    <definedName name="PayablesSpec" localSheetId="6" hidden="1">[1]Specs!$L$21</definedName>
    <definedName name="PayablesSpec" hidden="1">Specs!$L$21</definedName>
    <definedName name="Period">'Basic Values'!$F$12</definedName>
    <definedName name="Period2">'Basic Values'!$G$12</definedName>
    <definedName name="Periodization" hidden="1">Specs!$R$8</definedName>
    <definedName name="PeriodType" localSheetId="6" hidden="1">[1]Specs!$G$31</definedName>
    <definedName name="PeriodType" hidden="1">Specs!$G$31</definedName>
    <definedName name="PerpetuityBaseValue">Result!$J$22</definedName>
    <definedName name="PerpetuityBaseValueEquity">Result!$J$102</definedName>
    <definedName name="PerpetuityBasisEntered">Result!$F$22</definedName>
    <definedName name="PerpetuityBasisEnteredEquity">Result!$F$102</definedName>
    <definedName name="PerpetuityDiscRate">Result!$J$24</definedName>
    <definedName name="PerpetuityDiscRateEquity">Result!$J$104</definedName>
    <definedName name="PerpetuityEnter" localSheetId="6" hidden="1">[1]Specs!$G$43</definedName>
    <definedName name="PerpetuityEnter" hidden="1">Specs!$G$43</definedName>
    <definedName name="PerpetuityEnterEquity" localSheetId="6" hidden="1">[1]Specs!$G$48</definedName>
    <definedName name="PerpetuityEnterEquity" hidden="1">Specs!$G$48</definedName>
    <definedName name="PerpetuityGrowing" localSheetId="6" hidden="1">[1]Specs!$G$44</definedName>
    <definedName name="PerpetuityGrowing" hidden="1">Specs!$G$44</definedName>
    <definedName name="PerpetuityGrowingEquity" localSheetId="6" hidden="1">[1]Specs!$G$49</definedName>
    <definedName name="PerpetuityGrowingEquity" hidden="1">Specs!$G$49</definedName>
    <definedName name="PerpetuityGrowthPercent">Result!$F$28</definedName>
    <definedName name="PerpetuityGrowthPercentEquity">Result!$F$108</definedName>
    <definedName name="PerpetuityIndex" localSheetId="6" hidden="1">[1]Specs!$G$41</definedName>
    <definedName name="PerpetuityIndex" hidden="1">Specs!$G$41</definedName>
    <definedName name="PerpetuityIndexEquity" localSheetId="6" hidden="1">[1]Specs!$G$46</definedName>
    <definedName name="PerpetuityIndexEquity" hidden="1">Specs!$G$46</definedName>
    <definedName name="PerpetuityLimitation" localSheetId="6" hidden="1">[1]Specs!$G$68</definedName>
    <definedName name="PerpetuityLimitation" hidden="1">Specs!$G$68</definedName>
    <definedName name="PerpetuityLimitationEquity" localSheetId="6" hidden="1">[1]Specs!$G$69</definedName>
    <definedName name="PerpetuityLimitationEquity" hidden="1">Specs!$G$69</definedName>
    <definedName name="PerpetuityLimited" localSheetId="6" hidden="1">[1]Specs!$Z$78</definedName>
    <definedName name="PerpetuityLimited" hidden="1">Specs!$Z$78</definedName>
    <definedName name="PerpetuityLimitedEquity" localSheetId="6" hidden="1">[1]Specs!$AB$78</definedName>
    <definedName name="PerpetuityLimitedEquity" hidden="1">Specs!$AB$78</definedName>
    <definedName name="PerpetuityLimitList" localSheetId="6" hidden="1">[1]Specs!$V$78:$V$178</definedName>
    <definedName name="PerpetuityLimitList" hidden="1">Specs!$V$78:$V$178</definedName>
    <definedName name="PerpetuityPV">Result!$J$28</definedName>
    <definedName name="PerpetuityPVEquity">Result!$J$108</definedName>
    <definedName name="PerpetuityValue">Result!$J$26</definedName>
    <definedName name="PerpetuityValueEquity">Result!$J$106</definedName>
    <definedName name="PerpetuityYear" localSheetId="6" hidden="1">[1]Specs!$G$42</definedName>
    <definedName name="PerpetuityYear" hidden="1">Specs!$G$42</definedName>
    <definedName name="PerpetuityYearEquity" localSheetId="6" hidden="1">[1]Specs!$G$47</definedName>
    <definedName name="PerpetuityYearEquity" hidden="1">Specs!$G$47</definedName>
    <definedName name="PerpText" hidden="1">Specs!$X$77</definedName>
    <definedName name="PILimit">1</definedName>
    <definedName name="PreTaxCashFlow">Specs2!$E$2:$E$66</definedName>
    <definedName name="PreTaxCashFlowEquity">Specs2!$H$2:$H$66</definedName>
    <definedName name="_xlnm.Print_Area" localSheetId="4">Analysis!$B$2:$L$264</definedName>
    <definedName name="_xlnm.Print_Area" localSheetId="0">'Basic Values'!$B$2:$L$71</definedName>
    <definedName name="_xlnm.Print_Area" localSheetId="1">Calculations!$A$15:$P$903</definedName>
    <definedName name="_xlnm.Print_Area" localSheetId="10">'Consolidation Info'!$A$1:$J$4</definedName>
    <definedName name="_xlnm.Print_Area" localSheetId="6">DuPont!$A$1:$Y$54</definedName>
    <definedName name="_xlnm.Print_Area" localSheetId="5">IFRS!$C$5:$O$120</definedName>
    <definedName name="_xlnm.Print_Area" localSheetId="9">'Investment Summary'!$B$1:$T$23</definedName>
    <definedName name="_xlnm.Print_Area" localSheetId="3">Result!$B$2:$L$128</definedName>
    <definedName name="_xlnm.Print_Titles" localSheetId="1">Calculations!$B:$D</definedName>
    <definedName name="_xlnm.Print_Titles" localSheetId="10">'Consolidation Info'!$1:$1</definedName>
    <definedName name="_xlnm.Print_Titles" localSheetId="5">IFRS!$C:$G</definedName>
    <definedName name="_xlnm.Print_Titles" localSheetId="9">'Investment Summary'!$C:$D,'Investment Summary'!$1:$3</definedName>
    <definedName name="_xlnm.Print_Titles" localSheetId="7">MacroDef!$1:$3</definedName>
    <definedName name="PrintISR">'Investment Summary'!$A$1:$T$23</definedName>
    <definedName name="PrintMode" localSheetId="6" hidden="1">[1]Specs!$I$11</definedName>
    <definedName name="PrintMode" hidden="1">Specs!$I$11</definedName>
    <definedName name="ProgMsg" hidden="1">SpecsTxt!$E$12</definedName>
    <definedName name="Ratio" hidden="1">Specs!$R$2</definedName>
    <definedName name="RatioRows" hidden="1">Specs!$O$44:$O$74</definedName>
    <definedName name="RatiosDD">Calculations!$A$837:$A$902</definedName>
    <definedName name="ReceivablesSpec" localSheetId="6" hidden="1">[1]Specs!$J$21</definedName>
    <definedName name="ReceivablesSpec" hidden="1">Specs!$J$21</definedName>
    <definedName name="Receive00" hidden="1">Specs!$AF$2</definedName>
    <definedName name="Receive01" hidden="1">Specs!$AG$2:$AG$3</definedName>
    <definedName name="Receive02" hidden="1">Specs!$AH$2:$AH$3</definedName>
    <definedName name="Receive03" hidden="1">Specs!$AI$2</definedName>
    <definedName name="Receive04" hidden="1">Specs!$AJ$2:$AJ$3</definedName>
    <definedName name="Receive05" hidden="1">Specs!$AK$2:$AK$3</definedName>
    <definedName name="ReceiveFirstName" hidden="1">Specs!$J$23</definedName>
    <definedName name="ReceiveHidden1" hidden="1">Specs!$J$27</definedName>
    <definedName name="ReceiveNoOf" hidden="1">Specs!$J$25</definedName>
    <definedName name="ResidualTxt" localSheetId="6" hidden="1">[1]SpecsTxt!$F$12</definedName>
    <definedName name="ResidualTxt" hidden="1">SpecsTxt!$F$12</definedName>
    <definedName name="ResultAverageEVA">Result!$F$79</definedName>
    <definedName name="ResultAverageRONA">Result!$F$78</definedName>
    <definedName name="ResultBookValue">Result!$F$63</definedName>
    <definedName name="ResultContinuousInvestmentsPV">Result!$F$35</definedName>
    <definedName name="ResultControlValue">Result!$F$65</definedName>
    <definedName name="ResultDCF">Result!$F$15</definedName>
    <definedName name="ResultDCFEquity">Result!$F$95</definedName>
    <definedName name="ResultDCVA">Result!$F$81</definedName>
    <definedName name="ResultDebtCorrection">Result!$F$110</definedName>
    <definedName name="ResultEnterpriseValue">Result!$F$33</definedName>
    <definedName name="ResultEquityValue">Result!$F$48</definedName>
    <definedName name="ResultEVAMonths" localSheetId="6" hidden="1">[1]Specs!$I$26</definedName>
    <definedName name="ResultEVAMonths" hidden="1">Specs!$I$26</definedName>
    <definedName name="ResultInvestmentProposalNominal">Result!$E$55</definedName>
    <definedName name="ResultInvestmentProposalPV">Result!$F$55</definedName>
    <definedName name="ResultIRR">Result!$F$67</definedName>
    <definedName name="ResultIRRBeforeTax">Result!$F$68</definedName>
    <definedName name="ResultIRRBeforeTaxEquity">Result!$F$115</definedName>
    <definedName name="ResultIRRd">Result!$F$83</definedName>
    <definedName name="ResultIRREquity">Result!$F$114</definedName>
    <definedName name="ResultMIRR">Result!$F$69</definedName>
    <definedName name="ResultMIRRd">Result!$F$84</definedName>
    <definedName name="ResultMIRREquity">Result!$F$116</definedName>
    <definedName name="ResultNetDebt">Result!$F$38</definedName>
    <definedName name="ResultNotes" hidden="1">Result!$H$14</definedName>
    <definedName name="ResultNPV">Result!$F$57</definedName>
    <definedName name="ResultNPVEquity">Result!$F$111</definedName>
    <definedName name="ResultNPVEquityMonthlyAnnuity">Result!$F$112</definedName>
    <definedName name="ResultNPVMonthlyAnnuity">Result!$F$58</definedName>
    <definedName name="ResultPayback">Result!$F$72</definedName>
    <definedName name="ResultPaybackd">Result!$F$86</definedName>
    <definedName name="ResultPaybackEquity">Result!$F$118</definedName>
    <definedName name="ResultPI">Result!$F$70</definedName>
    <definedName name="ResultPVResidual">Result!$F$16</definedName>
    <definedName name="ResultPVResidualEquity">Result!$F$96</definedName>
    <definedName name="ResultRonaMonths" localSheetId="6" hidden="1">[1]Specs!$I$24</definedName>
    <definedName name="ResultRonaMonths" hidden="1">Specs!$I$24</definedName>
    <definedName name="ResultSimplePayback">Result!$F$76</definedName>
    <definedName name="ResultSimplePaybackEquity">Result!$F$122</definedName>
    <definedName name="ResultTable">Result!$C$3:$K$127</definedName>
    <definedName name="ResultTableFull">Result!$B$2:$L$128</definedName>
    <definedName name="ResultTableView">Result!$A$1:$L$128</definedName>
    <definedName name="ResultValueInUse">Result!$F$64</definedName>
    <definedName name="RonaBAT" localSheetId="6" hidden="1">[1]Specs!$E$15</definedName>
    <definedName name="RonaBAT" hidden="1">Specs!$E$15</definedName>
    <definedName name="RonaCG" localSheetId="6" hidden="1">[1]Specs!$G$19</definedName>
    <definedName name="RonaCG" hidden="1">Specs!$G$19</definedName>
    <definedName name="RowList01">VarListAnalysis!$B$2:$B$44</definedName>
    <definedName name="SaveResult" hidden="1">Result!$F$4:$F$127</definedName>
    <definedName name="ShowConclusions" localSheetId="6" hidden="1">[1]Specs!$I$9</definedName>
    <definedName name="ShowConclusions" hidden="1">Specs!$I$9</definedName>
    <definedName name="StartupBegins">'Basic Values'!$F$16</definedName>
    <definedName name="StartupTxt">'Basic Values'!$F$7</definedName>
    <definedName name="Swe2TxtStart" hidden="1">Swe2Txt!$B$20</definedName>
    <definedName name="TaxCashFlow">Specs2!$C$2:$C$66</definedName>
    <definedName name="TaxCorrection">Calculations!$G$683:$N$683</definedName>
    <definedName name="TaxRateM">Calculations!$G$1088:$N$1088</definedName>
    <definedName name="TotalCashFlow">Calculations!$G$702:$N$702</definedName>
    <definedName name="TotalInvestment">Calculations!$G$15:$N$15</definedName>
    <definedName name="TotalInvestmentAnalysisHidden" hidden="1">Specs!$G$60</definedName>
    <definedName name="TotalPV">Result!$F$36</definedName>
    <definedName name="TranslateCurrency" hidden="1">Specs!$M$13</definedName>
    <definedName name="TurnoverAnalysis">Analysis!$B$88:$L$130</definedName>
    <definedName name="TurnoverAnalysisView">Analysis!$A$88:$L$130</definedName>
    <definedName name="UseCalculatedTax" localSheetId="6" hidden="1">[1]Specs!$G$53</definedName>
    <definedName name="UseCalculatedTax" hidden="1">Specs!$G$53</definedName>
    <definedName name="UsePerpetuity" localSheetId="6" hidden="1">[1]Specs!$G$37</definedName>
    <definedName name="UsePerpetuity" hidden="1">Specs!$G$37</definedName>
    <definedName name="User">'Basic Values'!$E$50</definedName>
    <definedName name="ValueInUseWithTax" localSheetId="6" hidden="1">[1]Specs!$G$54</definedName>
    <definedName name="ValueInUseWithTax" hidden="1">Specs!$G$54</definedName>
    <definedName name="VariableCostAnalysis">Analysis!$B$132:$L$174</definedName>
    <definedName name="VariableCostAnalysisHidden" hidden="1">Specs!$G$62</definedName>
    <definedName name="VariableCostAnalysisView">Analysis!$A$132:$L$174</definedName>
    <definedName name="VariableRate" localSheetId="6" hidden="1">[1]Specs!$I$29</definedName>
    <definedName name="VariableRate" hidden="1">Specs!$I$29</definedName>
    <definedName name="VariableRateAllowed" hidden="1">Specs!$I$33</definedName>
    <definedName name="VariableRateEquity" localSheetId="6" hidden="1">[1]Specs!$I$31</definedName>
    <definedName name="VariableRateEquity" hidden="1">Specs!$I$31</definedName>
    <definedName name="VarIncludeRows" localSheetId="6" hidden="1">[1]Specs!$J$12</definedName>
    <definedName name="VarIncludeRows" hidden="1">Specs!$J$12</definedName>
    <definedName name="VarList01">VarListAnalysis!$C$2:$C$44</definedName>
    <definedName name="VarRowsTxt">SpecsTxt!$J$2</definedName>
    <definedName name="Version" localSheetId="6" hidden="1">'[1]Basic Values'!$A$17</definedName>
    <definedName name="Version" hidden="1">'Basic Values'!$A$17</definedName>
    <definedName name="WACC">Specs!$A$31</definedName>
    <definedName name="WACCCostOfDebt">Specs!$E$8</definedName>
    <definedName name="WACCDebt">Specs!$E$10</definedName>
    <definedName name="WACCEquity">Specs!$E$13</definedName>
    <definedName name="WACCPreTax">Specs!$A$33</definedName>
    <definedName name="WACCPreTaxMonth">Specs!$A$35</definedName>
    <definedName name="WACCReturnOnEquity">Specs!$E$12</definedName>
    <definedName name="WACCTaxRatio">Specs!$E$9</definedName>
    <definedName name="WACCTotalCapital">Specs!$E$11</definedName>
    <definedName name="WCABal">Specs!$Y$214:$Y$228</definedName>
    <definedName name="WCBal">Specs!$Y$198:$Y$212</definedName>
    <definedName name="WCChange">Specs!$Y$230:$Y$244</definedName>
    <definedName name="WCDays">Specs!$Y$182:$Y$196</definedName>
    <definedName name="WCTriggerButtons" hidden="1">Specs!$AD$2:$AD$31</definedName>
    <definedName name="WCTriggerRows" hidden="1">Specs!$AE$2:$AE$49</definedName>
    <definedName name="WorkingCapital">Calculations!$F$537:$N$621</definedName>
    <definedName name="WorkingCapital0">Calculations!$A$535</definedName>
    <definedName name="WorkingCapitalFull">Calculations!$A$537:$O$622</definedName>
    <definedName name="Year1">'Basic Values'!$F$29</definedName>
    <definedName name="Year2">'Basic Values'!$G$29</definedName>
    <definedName name="Year3">'Basic Values'!$H$29</definedName>
    <definedName name="Year4">'Basic Values'!$I$29</definedName>
    <definedName name="Year5">'Basic Values'!$J$29</definedName>
    <definedName name="YearCol" localSheetId="6" hidden="1">[1]Specs!$C$7</definedName>
    <definedName name="YearCol" hidden="1">Specs!$C$7</definedName>
    <definedName name="YearlyPaybackData">Specs!$C$20:$E$25</definedName>
    <definedName name="YearTxt" hidden="1">Specs!$C$8</definedName>
  </definedNames>
  <calcPr calcId="181029"/>
</workbook>
</file>

<file path=xl/calcChain.xml><?xml version="1.0" encoding="utf-8"?>
<calcChain xmlns="http://schemas.openxmlformats.org/spreadsheetml/2006/main">
  <c r="N1230" i="2" l="1"/>
  <c r="M1230" i="2"/>
  <c r="L1230" i="2"/>
  <c r="K1230" i="2"/>
  <c r="J1230" i="2"/>
  <c r="I1230" i="2"/>
  <c r="H1230" i="2"/>
  <c r="G1230" i="2"/>
  <c r="N1228" i="2"/>
  <c r="M1228" i="2"/>
  <c r="L1228" i="2"/>
  <c r="K1228" i="2"/>
  <c r="J1228" i="2"/>
  <c r="I1228" i="2"/>
  <c r="H1228" i="2"/>
  <c r="G1228" i="2"/>
  <c r="N1215" i="2"/>
  <c r="M1215" i="2"/>
  <c r="L1215" i="2"/>
  <c r="K1215" i="2"/>
  <c r="J1215" i="2"/>
  <c r="I1215" i="2"/>
  <c r="H1215" i="2"/>
  <c r="G1215" i="2"/>
  <c r="G1213" i="2"/>
  <c r="G1212" i="2"/>
  <c r="G1209" i="2" s="1"/>
  <c r="N1200" i="2"/>
  <c r="N1201" i="2" s="1"/>
  <c r="M1200" i="2"/>
  <c r="M1201" i="2" s="1"/>
  <c r="L1200" i="2"/>
  <c r="L1201" i="2" s="1"/>
  <c r="K1200" i="2"/>
  <c r="K1201" i="2" s="1"/>
  <c r="J1200" i="2"/>
  <c r="J1201" i="2" s="1"/>
  <c r="I1200" i="2"/>
  <c r="I1201" i="2" s="1"/>
  <c r="H1200" i="2"/>
  <c r="H1201" i="2" s="1"/>
  <c r="G1200" i="2"/>
  <c r="G1201" i="2" s="1"/>
  <c r="N1135" i="2"/>
  <c r="M1135" i="2"/>
  <c r="L1135" i="2"/>
  <c r="K1135" i="2"/>
  <c r="J1135" i="2"/>
  <c r="I1135" i="2"/>
  <c r="H1135" i="2"/>
  <c r="G1135" i="2"/>
  <c r="N1102" i="2"/>
  <c r="M1102" i="2"/>
  <c r="L1102" i="2"/>
  <c r="K1102" i="2"/>
  <c r="J1102" i="2"/>
  <c r="I1102" i="2"/>
  <c r="H1102" i="2"/>
  <c r="G1102" i="2"/>
  <c r="G318" i="2"/>
  <c r="H5" i="4"/>
  <c r="J5" i="4" s="1"/>
  <c r="G5" i="4" l="1"/>
  <c r="I5" i="4"/>
  <c r="F5" i="4"/>
  <c r="K19" i="55"/>
  <c r="K18" i="55"/>
  <c r="K17" i="55"/>
  <c r="K16" i="55"/>
  <c r="S20" i="55"/>
  <c r="R20" i="55"/>
  <c r="Q20" i="55"/>
  <c r="P20" i="55"/>
  <c r="O20" i="55"/>
  <c r="J20" i="55"/>
  <c r="H20" i="55"/>
  <c r="K20" i="55" s="1"/>
  <c r="K13" i="55"/>
  <c r="K12" i="55"/>
  <c r="K11" i="55"/>
  <c r="K10" i="55"/>
  <c r="S14" i="55"/>
  <c r="R14" i="55"/>
  <c r="Q14" i="55"/>
  <c r="P14" i="55"/>
  <c r="O14" i="55"/>
  <c r="J14" i="55"/>
  <c r="J22" i="55" s="1"/>
  <c r="H14" i="55"/>
  <c r="K14" i="55" s="1"/>
  <c r="K7" i="55"/>
  <c r="K6" i="55"/>
  <c r="K5" i="55"/>
  <c r="K4" i="55"/>
  <c r="S8" i="55"/>
  <c r="R8" i="55"/>
  <c r="R22" i="55" s="1"/>
  <c r="Q8" i="55"/>
  <c r="P8" i="55"/>
  <c r="O8" i="55"/>
  <c r="J8" i="55"/>
  <c r="H8" i="55"/>
  <c r="K8" i="55" s="1"/>
  <c r="K22" i="55" s="1"/>
  <c r="S22" i="55"/>
  <c r="Q22" i="55"/>
  <c r="P22" i="55"/>
  <c r="O22" i="55"/>
  <c r="H22" i="55"/>
  <c r="D22" i="55"/>
  <c r="D20" i="55"/>
  <c r="D14" i="55"/>
  <c r="D8" i="55"/>
  <c r="D2" i="55"/>
  <c r="T3" i="55"/>
  <c r="S3" i="55"/>
  <c r="R3" i="55"/>
  <c r="Q3" i="55"/>
  <c r="P3" i="55"/>
  <c r="O3" i="55"/>
  <c r="N3" i="55"/>
  <c r="M3" i="55"/>
  <c r="L3" i="55"/>
  <c r="K3" i="55"/>
  <c r="J3" i="55"/>
  <c r="I3" i="55"/>
  <c r="H3" i="55"/>
  <c r="G3" i="55"/>
  <c r="F3" i="55"/>
  <c r="E3" i="55"/>
  <c r="D3" i="55"/>
  <c r="C3" i="55"/>
  <c r="G910" i="2"/>
  <c r="H910" i="2"/>
  <c r="I910" i="2"/>
  <c r="J910" i="2"/>
  <c r="K910" i="2"/>
  <c r="L910" i="2"/>
  <c r="M910" i="2"/>
  <c r="N910" i="2"/>
  <c r="G909" i="2"/>
  <c r="H909" i="2"/>
  <c r="I909" i="2"/>
  <c r="J909" i="2"/>
  <c r="K909" i="2"/>
  <c r="L909" i="2"/>
  <c r="M909" i="2"/>
  <c r="N909" i="2"/>
  <c r="G908" i="2"/>
  <c r="H908" i="2"/>
  <c r="I908" i="2"/>
  <c r="J908" i="2"/>
  <c r="K908" i="2"/>
  <c r="L908" i="2"/>
  <c r="M908" i="2"/>
  <c r="N908" i="2"/>
  <c r="G907" i="2"/>
  <c r="H907" i="2"/>
  <c r="I907" i="2"/>
  <c r="J907" i="2"/>
  <c r="K907" i="2"/>
  <c r="L907" i="2"/>
  <c r="M907" i="2"/>
  <c r="N907" i="2"/>
  <c r="G906" i="2"/>
  <c r="H906" i="2"/>
  <c r="I906" i="2"/>
  <c r="J906" i="2"/>
  <c r="K906" i="2"/>
  <c r="L906" i="2"/>
  <c r="M906" i="2"/>
  <c r="N906" i="2"/>
  <c r="G327" i="2"/>
  <c r="G326" i="2"/>
  <c r="H326" i="2"/>
  <c r="H324" i="2" s="1"/>
  <c r="I326" i="2"/>
  <c r="J326" i="2"/>
  <c r="J324" i="2" s="1"/>
  <c r="K326" i="2"/>
  <c r="K324" i="2" s="1"/>
  <c r="L326" i="2"/>
  <c r="L324" i="2" s="1"/>
  <c r="M326" i="2"/>
  <c r="N326" i="2"/>
  <c r="N324" i="2" s="1"/>
  <c r="F325" i="2"/>
  <c r="G325" i="2"/>
  <c r="H325" i="2"/>
  <c r="I325" i="2"/>
  <c r="J325" i="2"/>
  <c r="K325" i="2"/>
  <c r="L325" i="2"/>
  <c r="M325" i="2"/>
  <c r="G324" i="2"/>
  <c r="I324" i="2"/>
  <c r="M324" i="2"/>
  <c r="G321" i="2"/>
  <c r="G1214" i="2" s="1"/>
  <c r="H321" i="2"/>
  <c r="I321" i="2"/>
  <c r="I1214" i="2" s="1"/>
  <c r="J321" i="2"/>
  <c r="J1214" i="2" s="1"/>
  <c r="K321" i="2"/>
  <c r="K1214" i="2" s="1"/>
  <c r="L321" i="2"/>
  <c r="L1214" i="2" s="1"/>
  <c r="M321" i="2"/>
  <c r="M1214" i="2" s="1"/>
  <c r="N321" i="2"/>
  <c r="N1214" i="2" s="1"/>
  <c r="F320" i="2"/>
  <c r="G320" i="2"/>
  <c r="H320" i="2"/>
  <c r="I320" i="2"/>
  <c r="J320" i="2"/>
  <c r="K320" i="2"/>
  <c r="L320" i="2"/>
  <c r="M320" i="2"/>
  <c r="G319" i="2"/>
  <c r="H319" i="2"/>
  <c r="H318" i="2" s="1"/>
  <c r="H670" i="2" s="1"/>
  <c r="I319" i="2"/>
  <c r="I318" i="2" s="1"/>
  <c r="I670" i="2" s="1"/>
  <c r="J319" i="2"/>
  <c r="J318" i="2" s="1"/>
  <c r="J670" i="2" s="1"/>
  <c r="L319" i="2"/>
  <c r="L318" i="2" s="1"/>
  <c r="F318" i="2"/>
  <c r="G991" i="2"/>
  <c r="H991" i="2"/>
  <c r="I991" i="2"/>
  <c r="J991" i="2"/>
  <c r="K991" i="2"/>
  <c r="L991" i="2"/>
  <c r="M991" i="2"/>
  <c r="G990" i="2"/>
  <c r="H990" i="2"/>
  <c r="I990" i="2"/>
  <c r="J990" i="2"/>
  <c r="K990" i="2"/>
  <c r="L990" i="2"/>
  <c r="M990" i="2"/>
  <c r="G989" i="2"/>
  <c r="H989" i="2"/>
  <c r="I989" i="2"/>
  <c r="J989" i="2"/>
  <c r="K989" i="2"/>
  <c r="L989" i="2"/>
  <c r="M989" i="2"/>
  <c r="G988" i="2"/>
  <c r="H988" i="2"/>
  <c r="I988" i="2"/>
  <c r="J988" i="2"/>
  <c r="K988" i="2"/>
  <c r="L988" i="2"/>
  <c r="M988" i="2"/>
  <c r="F821" i="2"/>
  <c r="F820" i="2"/>
  <c r="G820" i="2"/>
  <c r="H820" i="2"/>
  <c r="I820" i="2"/>
  <c r="J820" i="2"/>
  <c r="K820" i="2"/>
  <c r="L820" i="2"/>
  <c r="M820" i="2"/>
  <c r="N820" i="2"/>
  <c r="G818" i="2"/>
  <c r="G615" i="2" s="1"/>
  <c r="H615" i="2" s="1"/>
  <c r="I615" i="2" s="1"/>
  <c r="J615" i="2" s="1"/>
  <c r="K615" i="2" s="1"/>
  <c r="L615" i="2" s="1"/>
  <c r="M615" i="2" s="1"/>
  <c r="G809" i="2"/>
  <c r="G808" i="2"/>
  <c r="G803" i="2"/>
  <c r="G802" i="2"/>
  <c r="G801" i="2"/>
  <c r="F766" i="2"/>
  <c r="N766" i="2"/>
  <c r="G766" i="2"/>
  <c r="G765" i="2" s="1"/>
  <c r="F762" i="2"/>
  <c r="N762" i="2"/>
  <c r="G762" i="2"/>
  <c r="G761" i="2" s="1"/>
  <c r="F758" i="2"/>
  <c r="N758" i="2"/>
  <c r="G758" i="2"/>
  <c r="G757" i="2"/>
  <c r="F754" i="2"/>
  <c r="N754" i="2"/>
  <c r="G754" i="2"/>
  <c r="F749" i="2"/>
  <c r="N749" i="2"/>
  <c r="G749" i="2"/>
  <c r="G748" i="2" s="1"/>
  <c r="F745" i="2"/>
  <c r="N745" i="2"/>
  <c r="G745" i="2"/>
  <c r="G744" i="2" s="1"/>
  <c r="F741" i="2"/>
  <c r="N741" i="2"/>
  <c r="G741" i="2"/>
  <c r="G740" i="2" s="1"/>
  <c r="F737" i="2"/>
  <c r="N737" i="2"/>
  <c r="G737" i="2"/>
  <c r="G736" i="2" s="1"/>
  <c r="F733" i="2"/>
  <c r="N733" i="2"/>
  <c r="G733" i="2"/>
  <c r="G732" i="2" s="1"/>
  <c r="F728" i="2"/>
  <c r="N728" i="2"/>
  <c r="G728" i="2"/>
  <c r="G727" i="2" s="1"/>
  <c r="F724" i="2"/>
  <c r="N724" i="2"/>
  <c r="G724" i="2"/>
  <c r="G723" i="2" s="1"/>
  <c r="F720" i="2"/>
  <c r="N720" i="2"/>
  <c r="G720" i="2"/>
  <c r="G719" i="2" s="1"/>
  <c r="F716" i="2"/>
  <c r="N716" i="2"/>
  <c r="G716" i="2"/>
  <c r="G501" i="2"/>
  <c r="H501" i="2"/>
  <c r="I501" i="2"/>
  <c r="J501" i="2"/>
  <c r="K501" i="2"/>
  <c r="L501" i="2"/>
  <c r="M501" i="2"/>
  <c r="M500" i="2" s="1"/>
  <c r="N501" i="2"/>
  <c r="N500" i="2" s="1"/>
  <c r="G612" i="2"/>
  <c r="G610" i="2"/>
  <c r="F609" i="2"/>
  <c r="G608" i="2"/>
  <c r="G606" i="2"/>
  <c r="F605" i="2"/>
  <c r="G604" i="2"/>
  <c r="G602" i="2"/>
  <c r="F601" i="2"/>
  <c r="G600" i="2"/>
  <c r="G598" i="2"/>
  <c r="F597" i="2"/>
  <c r="G596" i="2"/>
  <c r="F593" i="2"/>
  <c r="G590" i="2"/>
  <c r="G588" i="2"/>
  <c r="F587" i="2"/>
  <c r="G586" i="2"/>
  <c r="G584" i="2"/>
  <c r="F583" i="2"/>
  <c r="G582" i="2"/>
  <c r="G580" i="2"/>
  <c r="F579" i="2"/>
  <c r="G578" i="2"/>
  <c r="G576" i="2"/>
  <c r="F575" i="2"/>
  <c r="G574" i="2"/>
  <c r="F571" i="2"/>
  <c r="G560" i="2"/>
  <c r="G558" i="2"/>
  <c r="G556" i="2"/>
  <c r="G554" i="2"/>
  <c r="G552" i="2"/>
  <c r="G550" i="2"/>
  <c r="G548" i="2"/>
  <c r="G546" i="2"/>
  <c r="G544" i="2"/>
  <c r="J113" i="5"/>
  <c r="J112" i="5"/>
  <c r="J105" i="5"/>
  <c r="J103" i="5"/>
  <c r="J102" i="5"/>
  <c r="J101" i="5"/>
  <c r="J100" i="5"/>
  <c r="J95" i="5"/>
  <c r="J94" i="5"/>
  <c r="J93" i="5"/>
  <c r="J92" i="5"/>
  <c r="J90" i="5"/>
  <c r="J88" i="5"/>
  <c r="J85" i="5"/>
  <c r="J83" i="5"/>
  <c r="J81" i="5"/>
  <c r="J79" i="5"/>
  <c r="J78" i="5"/>
  <c r="J77" i="5"/>
  <c r="J76" i="5"/>
  <c r="J73" i="5"/>
  <c r="J72" i="5"/>
  <c r="J71" i="5"/>
  <c r="J70" i="5"/>
  <c r="J69" i="5"/>
  <c r="J65" i="5"/>
  <c r="J64" i="5"/>
  <c r="J63" i="5"/>
  <c r="J62" i="5"/>
  <c r="J61" i="5"/>
  <c r="J57" i="5"/>
  <c r="J55" i="5"/>
  <c r="J54" i="5"/>
  <c r="J53" i="5"/>
  <c r="J52" i="5"/>
  <c r="J49" i="5"/>
  <c r="J48" i="5"/>
  <c r="J47" i="5"/>
  <c r="J46" i="5"/>
  <c r="J45" i="5"/>
  <c r="J44" i="5"/>
  <c r="J43" i="5"/>
  <c r="J39" i="5"/>
  <c r="J37" i="5"/>
  <c r="J36" i="5"/>
  <c r="J34" i="5"/>
  <c r="J33" i="5"/>
  <c r="J30" i="5"/>
  <c r="J29" i="5"/>
  <c r="J28" i="5"/>
  <c r="J25" i="5"/>
  <c r="J24" i="5"/>
  <c r="J23" i="5"/>
  <c r="J21" i="5"/>
  <c r="J20" i="5"/>
  <c r="J19" i="5"/>
  <c r="J18" i="5"/>
  <c r="J16" i="5"/>
  <c r="J15" i="5"/>
  <c r="J14" i="5"/>
  <c r="J13" i="5"/>
  <c r="J12" i="5"/>
  <c r="J11" i="5"/>
  <c r="J10" i="5"/>
  <c r="J9" i="5"/>
  <c r="J6" i="5"/>
  <c r="F3" i="8"/>
  <c r="F4" i="8"/>
  <c r="H4" i="8" s="1"/>
  <c r="F5" i="8"/>
  <c r="H5" i="8" s="1"/>
  <c r="F7" i="8"/>
  <c r="F8" i="8"/>
  <c r="H8" i="8" s="1"/>
  <c r="F9" i="8"/>
  <c r="F10" i="8"/>
  <c r="F11" i="8"/>
  <c r="F13" i="8"/>
  <c r="F14" i="8"/>
  <c r="F15" i="8"/>
  <c r="F16" i="8"/>
  <c r="H16" i="8" s="1"/>
  <c r="F17" i="8"/>
  <c r="H17" i="8" s="1"/>
  <c r="F19" i="8"/>
  <c r="F20" i="8"/>
  <c r="H20" i="8" s="1"/>
  <c r="F21" i="8"/>
  <c r="F22" i="8"/>
  <c r="F23" i="8"/>
  <c r="H23" i="8" s="1"/>
  <c r="F25" i="8"/>
  <c r="H25" i="8" s="1"/>
  <c r="F26" i="8"/>
  <c r="F27" i="8"/>
  <c r="H27" i="8" s="1"/>
  <c r="F28" i="8"/>
  <c r="H28" i="8" s="1"/>
  <c r="F29" i="8"/>
  <c r="H29" i="8" s="1"/>
  <c r="F31" i="8"/>
  <c r="F32" i="8"/>
  <c r="H32" i="8" s="1"/>
  <c r="F33" i="8"/>
  <c r="F34" i="8"/>
  <c r="F35" i="8"/>
  <c r="F37" i="8"/>
  <c r="H37" i="8" s="1"/>
  <c r="F38" i="8"/>
  <c r="F39" i="8"/>
  <c r="F40" i="8"/>
  <c r="H40" i="8" s="1"/>
  <c r="F41" i="8"/>
  <c r="F43" i="8"/>
  <c r="F44" i="8"/>
  <c r="H44" i="8" s="1"/>
  <c r="F45" i="8"/>
  <c r="F46" i="8"/>
  <c r="H46" i="8" s="1"/>
  <c r="F47" i="8"/>
  <c r="H47" i="8" s="1"/>
  <c r="F49" i="8"/>
  <c r="H49" i="8" s="1"/>
  <c r="F50" i="8"/>
  <c r="F51" i="8"/>
  <c r="F52" i="8"/>
  <c r="H52" i="8" s="1"/>
  <c r="F53" i="8"/>
  <c r="H53" i="8" s="1"/>
  <c r="F55" i="8"/>
  <c r="F56" i="8"/>
  <c r="H56" i="8" s="1"/>
  <c r="F57" i="8"/>
  <c r="F58" i="8"/>
  <c r="F59" i="8"/>
  <c r="F61" i="8"/>
  <c r="F62" i="8"/>
  <c r="F63" i="8"/>
  <c r="F64" i="8"/>
  <c r="H64" i="8" s="1"/>
  <c r="F65" i="8"/>
  <c r="H65" i="8" s="1"/>
  <c r="E3" i="8"/>
  <c r="E4" i="8"/>
  <c r="E5" i="8"/>
  <c r="E7" i="8"/>
  <c r="E8" i="8"/>
  <c r="E9" i="8"/>
  <c r="E10" i="8"/>
  <c r="E11" i="8"/>
  <c r="E13" i="8"/>
  <c r="E14" i="8"/>
  <c r="E15" i="8"/>
  <c r="E16" i="8"/>
  <c r="E17" i="8"/>
  <c r="E19" i="8"/>
  <c r="E20" i="8"/>
  <c r="E21" i="8"/>
  <c r="E22" i="8"/>
  <c r="E23" i="8"/>
  <c r="E25" i="8"/>
  <c r="E26" i="8"/>
  <c r="E27" i="8"/>
  <c r="E28" i="8"/>
  <c r="E29" i="8"/>
  <c r="E31" i="8"/>
  <c r="E32" i="8"/>
  <c r="E33" i="8"/>
  <c r="E34" i="8"/>
  <c r="E35" i="8"/>
  <c r="E37" i="8"/>
  <c r="E38" i="8"/>
  <c r="E39" i="8"/>
  <c r="E40" i="8"/>
  <c r="E41" i="8"/>
  <c r="E43" i="8"/>
  <c r="E44" i="8"/>
  <c r="E45" i="8"/>
  <c r="E46" i="8"/>
  <c r="E47" i="8"/>
  <c r="E49" i="8"/>
  <c r="E50" i="8"/>
  <c r="E51" i="8"/>
  <c r="E52" i="8"/>
  <c r="E53" i="8"/>
  <c r="E55" i="8"/>
  <c r="E56" i="8"/>
  <c r="E57" i="8"/>
  <c r="E58" i="8"/>
  <c r="E59" i="8"/>
  <c r="E61" i="8"/>
  <c r="E62" i="8"/>
  <c r="E63" i="8"/>
  <c r="E64" i="8"/>
  <c r="E65" i="8"/>
  <c r="H3" i="8"/>
  <c r="H7" i="8"/>
  <c r="H9" i="8"/>
  <c r="H10" i="8"/>
  <c r="H11" i="8"/>
  <c r="H13" i="8"/>
  <c r="H14" i="8"/>
  <c r="H15" i="8"/>
  <c r="H19" i="8"/>
  <c r="H21" i="8"/>
  <c r="H22" i="8"/>
  <c r="H26" i="8"/>
  <c r="H31" i="8"/>
  <c r="H33" i="8"/>
  <c r="H34" i="8"/>
  <c r="H35" i="8"/>
  <c r="H38" i="8"/>
  <c r="H39" i="8"/>
  <c r="H41" i="8"/>
  <c r="H43" i="8"/>
  <c r="H45" i="8"/>
  <c r="H50" i="8"/>
  <c r="H51" i="8"/>
  <c r="H55" i="8"/>
  <c r="H57" i="8"/>
  <c r="H58" i="8"/>
  <c r="H59" i="8"/>
  <c r="H61" i="8"/>
  <c r="H62" i="8"/>
  <c r="H63" i="8"/>
  <c r="C6" i="8"/>
  <c r="G2" i="8"/>
  <c r="C2" i="8"/>
  <c r="N1" i="2"/>
  <c r="O19" i="2"/>
  <c r="O20" i="2"/>
  <c r="O21" i="2"/>
  <c r="O24" i="2"/>
  <c r="O25" i="2"/>
  <c r="O29" i="2"/>
  <c r="O30" i="2"/>
  <c r="O31" i="2"/>
  <c r="O34" i="2"/>
  <c r="O35" i="2"/>
  <c r="O39" i="2"/>
  <c r="O40" i="2"/>
  <c r="O41" i="2"/>
  <c r="O44" i="2"/>
  <c r="O45" i="2"/>
  <c r="O49" i="2"/>
  <c r="O50" i="2"/>
  <c r="O51" i="2"/>
  <c r="O54" i="2"/>
  <c r="O55" i="2"/>
  <c r="O59" i="2"/>
  <c r="O60" i="2"/>
  <c r="O61" i="2"/>
  <c r="O64" i="2"/>
  <c r="O65" i="2"/>
  <c r="O69" i="2"/>
  <c r="O70" i="2"/>
  <c r="O71" i="2"/>
  <c r="O74" i="2"/>
  <c r="O75" i="2"/>
  <c r="O79" i="2"/>
  <c r="O80" i="2"/>
  <c r="O81" i="2"/>
  <c r="O84" i="2"/>
  <c r="O85" i="2"/>
  <c r="O89" i="2"/>
  <c r="O90" i="2"/>
  <c r="O91" i="2"/>
  <c r="O94" i="2"/>
  <c r="O95" i="2"/>
  <c r="O99" i="2"/>
  <c r="O100" i="2"/>
  <c r="O101" i="2"/>
  <c r="O104" i="2"/>
  <c r="O105" i="2"/>
  <c r="O109" i="2"/>
  <c r="O110" i="2"/>
  <c r="O111" i="2"/>
  <c r="O114" i="2"/>
  <c r="O115" i="2"/>
  <c r="O119" i="2"/>
  <c r="O120" i="2"/>
  <c r="O121" i="2"/>
  <c r="O124" i="2"/>
  <c r="O125" i="2"/>
  <c r="O129" i="2"/>
  <c r="O130" i="2"/>
  <c r="O131" i="2"/>
  <c r="O134" i="2"/>
  <c r="O135" i="2"/>
  <c r="O139" i="2"/>
  <c r="O140" i="2"/>
  <c r="O141" i="2"/>
  <c r="O144" i="2"/>
  <c r="O145" i="2"/>
  <c r="O149" i="2"/>
  <c r="O150" i="2"/>
  <c r="O151" i="2"/>
  <c r="O154" i="2"/>
  <c r="O155" i="2"/>
  <c r="O159" i="2"/>
  <c r="O160" i="2"/>
  <c r="O161" i="2"/>
  <c r="O164" i="2"/>
  <c r="O165" i="2"/>
  <c r="O169" i="2"/>
  <c r="O170" i="2"/>
  <c r="O171" i="2"/>
  <c r="O174" i="2"/>
  <c r="O175" i="2"/>
  <c r="O179" i="2"/>
  <c r="O180" i="2"/>
  <c r="O181" i="2"/>
  <c r="O184" i="2"/>
  <c r="O185" i="2"/>
  <c r="O189" i="2"/>
  <c r="O190" i="2"/>
  <c r="O191" i="2"/>
  <c r="O194" i="2"/>
  <c r="O195" i="2"/>
  <c r="O199" i="2"/>
  <c r="O200" i="2"/>
  <c r="O201" i="2"/>
  <c r="O204" i="2"/>
  <c r="O205" i="2"/>
  <c r="O209" i="2"/>
  <c r="O210" i="2"/>
  <c r="O211" i="2"/>
  <c r="O214" i="2"/>
  <c r="O215" i="2"/>
  <c r="O219" i="2"/>
  <c r="O220" i="2"/>
  <c r="O221" i="2"/>
  <c r="O224" i="2"/>
  <c r="O225" i="2"/>
  <c r="O229" i="2"/>
  <c r="O230" i="2"/>
  <c r="O231" i="2"/>
  <c r="O234" i="2"/>
  <c r="O235" i="2"/>
  <c r="O239" i="2"/>
  <c r="O240" i="2"/>
  <c r="O241" i="2"/>
  <c r="O244" i="2"/>
  <c r="O245" i="2"/>
  <c r="O249" i="2"/>
  <c r="O250" i="2"/>
  <c r="O251" i="2"/>
  <c r="O254" i="2"/>
  <c r="O255" i="2"/>
  <c r="O259" i="2"/>
  <c r="O260" i="2"/>
  <c r="O261" i="2"/>
  <c r="O264" i="2"/>
  <c r="O265" i="2"/>
  <c r="O269" i="2"/>
  <c r="O270" i="2"/>
  <c r="O271" i="2"/>
  <c r="O274" i="2"/>
  <c r="O275" i="2"/>
  <c r="O279" i="2"/>
  <c r="O280" i="2"/>
  <c r="O281" i="2"/>
  <c r="O284" i="2"/>
  <c r="O285" i="2"/>
  <c r="O289" i="2"/>
  <c r="O290" i="2"/>
  <c r="O291" i="2"/>
  <c r="O294" i="2"/>
  <c r="O295" i="2"/>
  <c r="O299" i="2"/>
  <c r="O300" i="2"/>
  <c r="O301" i="2"/>
  <c r="O304" i="2"/>
  <c r="O305" i="2"/>
  <c r="O309" i="2"/>
  <c r="O310" i="2"/>
  <c r="O311" i="2"/>
  <c r="O314" i="2"/>
  <c r="O315" i="2"/>
  <c r="O443" i="2"/>
  <c r="O630" i="2" s="1"/>
  <c r="O444" i="2"/>
  <c r="O631" i="2" s="1"/>
  <c r="O445" i="2"/>
  <c r="O632" i="2" s="1"/>
  <c r="O446" i="2"/>
  <c r="O633" i="2" s="1"/>
  <c r="O447" i="2"/>
  <c r="O634" i="2" s="1"/>
  <c r="O448" i="2"/>
  <c r="O449" i="2"/>
  <c r="O636" i="2" s="1"/>
  <c r="O450" i="2"/>
  <c r="O637" i="2" s="1"/>
  <c r="O451" i="2"/>
  <c r="O638" i="2" s="1"/>
  <c r="O452" i="2"/>
  <c r="O639" i="2" s="1"/>
  <c r="O455" i="2"/>
  <c r="O457" i="2"/>
  <c r="O641" i="2" s="1"/>
  <c r="O458" i="2"/>
  <c r="O642" i="2" s="1"/>
  <c r="O459" i="2"/>
  <c r="O643" i="2" s="1"/>
  <c r="O460" i="2"/>
  <c r="O644" i="2" s="1"/>
  <c r="O461" i="2"/>
  <c r="O462" i="2"/>
  <c r="O646" i="2" s="1"/>
  <c r="O463" i="2"/>
  <c r="O647" i="2" s="1"/>
  <c r="O464" i="2"/>
  <c r="O648" i="2" s="1"/>
  <c r="O465" i="2"/>
  <c r="O466" i="2"/>
  <c r="O650" i="2" s="1"/>
  <c r="O471" i="2"/>
  <c r="O652" i="2" s="1"/>
  <c r="O472" i="2"/>
  <c r="O653" i="2" s="1"/>
  <c r="O473" i="2"/>
  <c r="O474" i="2"/>
  <c r="O655" i="2" s="1"/>
  <c r="O475" i="2"/>
  <c r="O656" i="2" s="1"/>
  <c r="O476" i="2"/>
  <c r="O657" i="2" s="1"/>
  <c r="O477" i="2"/>
  <c r="O658" i="2" s="1"/>
  <c r="O478" i="2"/>
  <c r="O659" i="2" s="1"/>
  <c r="O479" i="2"/>
  <c r="O660" i="2" s="1"/>
  <c r="O480" i="2"/>
  <c r="O661" i="2" s="1"/>
  <c r="O481" i="2"/>
  <c r="O493" i="2"/>
  <c r="O494" i="2"/>
  <c r="O497" i="2"/>
  <c r="O498" i="2"/>
  <c r="O503" i="2"/>
  <c r="O663" i="2" s="1"/>
  <c r="O635" i="2"/>
  <c r="O645" i="2"/>
  <c r="O649" i="2"/>
  <c r="O654" i="2"/>
  <c r="G675" i="2"/>
  <c r="G8" i="2"/>
  <c r="G453" i="2" s="1"/>
  <c r="G432" i="2"/>
  <c r="G684" i="2"/>
  <c r="G1060" i="2"/>
  <c r="H8" i="2"/>
  <c r="H470" i="2" s="1"/>
  <c r="H651" i="2" s="1"/>
  <c r="H672" i="2"/>
  <c r="H671" i="2" s="1"/>
  <c r="G336" i="2"/>
  <c r="H336" i="2"/>
  <c r="I336" i="2"/>
  <c r="J336" i="2"/>
  <c r="K336" i="2"/>
  <c r="L336" i="2"/>
  <c r="M336" i="2"/>
  <c r="H17" i="2"/>
  <c r="H12" i="2" s="1"/>
  <c r="I8" i="2"/>
  <c r="I453" i="2" s="1"/>
  <c r="I672" i="2"/>
  <c r="I671" i="2" s="1"/>
  <c r="I17" i="2"/>
  <c r="I12" i="2" s="1"/>
  <c r="J8" i="2"/>
  <c r="J453" i="2" s="1"/>
  <c r="J662" i="2"/>
  <c r="J672" i="2"/>
  <c r="J671" i="2" s="1"/>
  <c r="J17" i="2"/>
  <c r="J12" i="2" s="1"/>
  <c r="K8" i="2"/>
  <c r="K453" i="2" s="1"/>
  <c r="K672" i="2"/>
  <c r="K671" i="2" s="1"/>
  <c r="K17" i="2"/>
  <c r="K12" i="2" s="1"/>
  <c r="L8" i="2"/>
  <c r="L453" i="2" s="1"/>
  <c r="L672" i="2"/>
  <c r="L671" i="2" s="1"/>
  <c r="L17" i="2"/>
  <c r="L12" i="2" s="1"/>
  <c r="M8" i="2"/>
  <c r="M453" i="2" s="1"/>
  <c r="M672" i="2"/>
  <c r="M671" i="2" s="1"/>
  <c r="M17" i="2"/>
  <c r="M12" i="2" s="1"/>
  <c r="N8" i="2"/>
  <c r="N453" i="2" s="1"/>
  <c r="F542" i="2"/>
  <c r="F544" i="2" s="1"/>
  <c r="G567" i="2"/>
  <c r="H567" i="2" s="1"/>
  <c r="I567" i="2" s="1"/>
  <c r="J567" i="2" s="1"/>
  <c r="K567" i="2" s="1"/>
  <c r="L567" i="2" s="1"/>
  <c r="M567" i="2" s="1"/>
  <c r="F572" i="2"/>
  <c r="F574" i="2" s="1"/>
  <c r="F594" i="2"/>
  <c r="F596" i="2" s="1"/>
  <c r="N672" i="2"/>
  <c r="N671" i="2" s="1"/>
  <c r="N2" i="2"/>
  <c r="N3" i="2"/>
  <c r="F7" i="2"/>
  <c r="G7" i="2"/>
  <c r="H7" i="2"/>
  <c r="I7" i="2"/>
  <c r="J7" i="2"/>
  <c r="K7" i="2"/>
  <c r="L7" i="2"/>
  <c r="M7" i="2"/>
  <c r="N7" i="2" s="1"/>
  <c r="F8" i="2"/>
  <c r="F453" i="2" s="1"/>
  <c r="F541" i="2" s="1"/>
  <c r="F16" i="2"/>
  <c r="F11" i="2" s="1"/>
  <c r="G16" i="2"/>
  <c r="G11" i="2" s="1"/>
  <c r="H16" i="2"/>
  <c r="H11" i="2" s="1"/>
  <c r="I16" i="2"/>
  <c r="I11" i="2" s="1"/>
  <c r="J16" i="2"/>
  <c r="J11" i="2" s="1"/>
  <c r="K16" i="2"/>
  <c r="K11" i="2" s="1"/>
  <c r="L16" i="2"/>
  <c r="L11" i="2" s="1"/>
  <c r="M16" i="2"/>
  <c r="P3" i="46" s="1"/>
  <c r="F17" i="2"/>
  <c r="F12" i="2" s="1"/>
  <c r="O13" i="2"/>
  <c r="G15" i="2"/>
  <c r="G1059" i="2"/>
  <c r="G1168" i="2" s="1"/>
  <c r="N15" i="2"/>
  <c r="B16" i="2"/>
  <c r="C16" i="2"/>
  <c r="C64" i="2" s="1"/>
  <c r="F21" i="2"/>
  <c r="F25" i="2"/>
  <c r="G25" i="2" s="1"/>
  <c r="H25" i="2" s="1"/>
  <c r="I25" i="2" s="1"/>
  <c r="J25" i="2" s="1"/>
  <c r="K25" i="2" s="1"/>
  <c r="L25" i="2" s="1"/>
  <c r="M25" i="2" s="1"/>
  <c r="N25" i="2" s="1"/>
  <c r="C26" i="2"/>
  <c r="C27" i="2"/>
  <c r="F31" i="2"/>
  <c r="F35" i="2"/>
  <c r="G35" i="2" s="1"/>
  <c r="H35" i="2" s="1"/>
  <c r="I35" i="2" s="1"/>
  <c r="J35" i="2" s="1"/>
  <c r="K35" i="2" s="1"/>
  <c r="L35" i="2" s="1"/>
  <c r="M35" i="2" s="1"/>
  <c r="N35" i="2" s="1"/>
  <c r="C36" i="2"/>
  <c r="C37" i="2"/>
  <c r="F41" i="2"/>
  <c r="F45" i="2"/>
  <c r="G45" i="2" s="1"/>
  <c r="H45" i="2" s="1"/>
  <c r="I45" i="2" s="1"/>
  <c r="J45" i="2" s="1"/>
  <c r="K45" i="2" s="1"/>
  <c r="L45" i="2" s="1"/>
  <c r="M45" i="2" s="1"/>
  <c r="N45" i="2" s="1"/>
  <c r="C46" i="2"/>
  <c r="C47" i="2"/>
  <c r="F51" i="2"/>
  <c r="F55" i="2"/>
  <c r="G55" i="2" s="1"/>
  <c r="H55" i="2" s="1"/>
  <c r="I55" i="2" s="1"/>
  <c r="J55" i="2" s="1"/>
  <c r="K55" i="2" s="1"/>
  <c r="L55" i="2" s="1"/>
  <c r="M55" i="2" s="1"/>
  <c r="N55" i="2" s="1"/>
  <c r="C56" i="2"/>
  <c r="C57" i="2"/>
  <c r="F61" i="2"/>
  <c r="F65" i="2"/>
  <c r="G65" i="2" s="1"/>
  <c r="H65" i="2" s="1"/>
  <c r="I65" i="2" s="1"/>
  <c r="J65" i="2" s="1"/>
  <c r="K65" i="2" s="1"/>
  <c r="L65" i="2" s="1"/>
  <c r="M65" i="2" s="1"/>
  <c r="N65" i="2" s="1"/>
  <c r="C66" i="2"/>
  <c r="C67" i="2"/>
  <c r="F71" i="2"/>
  <c r="F75" i="2"/>
  <c r="G75" i="2" s="1"/>
  <c r="H75" i="2" s="1"/>
  <c r="I75" i="2" s="1"/>
  <c r="J75" i="2" s="1"/>
  <c r="K75" i="2" s="1"/>
  <c r="L75" i="2" s="1"/>
  <c r="M75" i="2" s="1"/>
  <c r="N75" i="2" s="1"/>
  <c r="C76" i="2"/>
  <c r="C77" i="2"/>
  <c r="F81" i="2"/>
  <c r="F85" i="2"/>
  <c r="G85" i="2" s="1"/>
  <c r="H85" i="2" s="1"/>
  <c r="I85" i="2" s="1"/>
  <c r="J85" i="2" s="1"/>
  <c r="K85" i="2" s="1"/>
  <c r="L85" i="2" s="1"/>
  <c r="M85" i="2" s="1"/>
  <c r="N85" i="2" s="1"/>
  <c r="C86" i="2"/>
  <c r="C87" i="2"/>
  <c r="F91" i="2"/>
  <c r="F95" i="2"/>
  <c r="G95" i="2" s="1"/>
  <c r="H95" i="2" s="1"/>
  <c r="I95" i="2" s="1"/>
  <c r="J95" i="2" s="1"/>
  <c r="K95" i="2" s="1"/>
  <c r="L95" i="2" s="1"/>
  <c r="M95" i="2" s="1"/>
  <c r="N95" i="2" s="1"/>
  <c r="C96" i="2"/>
  <c r="C97" i="2"/>
  <c r="F101" i="2"/>
  <c r="F105" i="2"/>
  <c r="G105" i="2" s="1"/>
  <c r="H105" i="2" s="1"/>
  <c r="I105" i="2" s="1"/>
  <c r="J105" i="2" s="1"/>
  <c r="K105" i="2" s="1"/>
  <c r="L105" i="2" s="1"/>
  <c r="M105" i="2" s="1"/>
  <c r="N105" i="2" s="1"/>
  <c r="C106" i="2"/>
  <c r="C107" i="2"/>
  <c r="F111" i="2"/>
  <c r="F115" i="2"/>
  <c r="G115" i="2" s="1"/>
  <c r="H115" i="2" s="1"/>
  <c r="I115" i="2" s="1"/>
  <c r="J115" i="2" s="1"/>
  <c r="K115" i="2" s="1"/>
  <c r="L115" i="2" s="1"/>
  <c r="M115" i="2" s="1"/>
  <c r="N115" i="2" s="1"/>
  <c r="C116" i="2"/>
  <c r="C117" i="2"/>
  <c r="F121" i="2"/>
  <c r="F125" i="2"/>
  <c r="G125" i="2" s="1"/>
  <c r="H125" i="2" s="1"/>
  <c r="I125" i="2" s="1"/>
  <c r="J125" i="2" s="1"/>
  <c r="K125" i="2" s="1"/>
  <c r="L125" i="2" s="1"/>
  <c r="M125" i="2" s="1"/>
  <c r="N125" i="2" s="1"/>
  <c r="C126" i="2"/>
  <c r="C127" i="2"/>
  <c r="F131" i="2"/>
  <c r="F135" i="2"/>
  <c r="G135" i="2" s="1"/>
  <c r="H135" i="2" s="1"/>
  <c r="I135" i="2" s="1"/>
  <c r="J135" i="2" s="1"/>
  <c r="K135" i="2" s="1"/>
  <c r="L135" i="2" s="1"/>
  <c r="M135" i="2" s="1"/>
  <c r="N135" i="2" s="1"/>
  <c r="C136" i="2"/>
  <c r="C137" i="2"/>
  <c r="F141" i="2"/>
  <c r="C144" i="2"/>
  <c r="F145" i="2"/>
  <c r="G145" i="2" s="1"/>
  <c r="H145" i="2" s="1"/>
  <c r="I145" i="2" s="1"/>
  <c r="J145" i="2" s="1"/>
  <c r="K145" i="2" s="1"/>
  <c r="L145" i="2" s="1"/>
  <c r="M145" i="2" s="1"/>
  <c r="N145" i="2" s="1"/>
  <c r="C146" i="2"/>
  <c r="C147" i="2"/>
  <c r="F151" i="2"/>
  <c r="G151" i="2" s="1"/>
  <c r="H151" i="2" s="1"/>
  <c r="I151" i="2" s="1"/>
  <c r="J151" i="2" s="1"/>
  <c r="K151" i="2" s="1"/>
  <c r="L151" i="2" s="1"/>
  <c r="M151" i="2" s="1"/>
  <c r="F155" i="2"/>
  <c r="G155" i="2" s="1"/>
  <c r="H155" i="2" s="1"/>
  <c r="I155" i="2" s="1"/>
  <c r="J155" i="2" s="1"/>
  <c r="K155" i="2" s="1"/>
  <c r="L155" i="2" s="1"/>
  <c r="M155" i="2" s="1"/>
  <c r="N155" i="2" s="1"/>
  <c r="C156" i="2"/>
  <c r="C157" i="2"/>
  <c r="F161" i="2"/>
  <c r="G161" i="2" s="1"/>
  <c r="H161" i="2" s="1"/>
  <c r="I161" i="2" s="1"/>
  <c r="J161" i="2" s="1"/>
  <c r="K161" i="2" s="1"/>
  <c r="L161" i="2" s="1"/>
  <c r="M161" i="2" s="1"/>
  <c r="F165" i="2"/>
  <c r="G165" i="2" s="1"/>
  <c r="H165" i="2" s="1"/>
  <c r="I165" i="2" s="1"/>
  <c r="J165" i="2" s="1"/>
  <c r="K165" i="2" s="1"/>
  <c r="L165" i="2" s="1"/>
  <c r="M165" i="2" s="1"/>
  <c r="N165" i="2" s="1"/>
  <c r="C166" i="2"/>
  <c r="C167" i="2"/>
  <c r="F171" i="2"/>
  <c r="G171" i="2" s="1"/>
  <c r="H171" i="2" s="1"/>
  <c r="I171" i="2" s="1"/>
  <c r="J171" i="2" s="1"/>
  <c r="K171" i="2" s="1"/>
  <c r="L171" i="2" s="1"/>
  <c r="M171" i="2" s="1"/>
  <c r="C174" i="2"/>
  <c r="F175" i="2"/>
  <c r="G175" i="2" s="1"/>
  <c r="H175" i="2" s="1"/>
  <c r="I175" i="2" s="1"/>
  <c r="J175" i="2" s="1"/>
  <c r="K175" i="2" s="1"/>
  <c r="L175" i="2" s="1"/>
  <c r="M175" i="2" s="1"/>
  <c r="N175" i="2" s="1"/>
  <c r="C176" i="2"/>
  <c r="C177" i="2"/>
  <c r="F181" i="2"/>
  <c r="G181" i="2" s="1"/>
  <c r="H181" i="2" s="1"/>
  <c r="I181" i="2" s="1"/>
  <c r="J181" i="2" s="1"/>
  <c r="K181" i="2" s="1"/>
  <c r="L181" i="2" s="1"/>
  <c r="M181" i="2" s="1"/>
  <c r="F185" i="2"/>
  <c r="G185" i="2" s="1"/>
  <c r="H185" i="2" s="1"/>
  <c r="I185" i="2" s="1"/>
  <c r="J185" i="2" s="1"/>
  <c r="K185" i="2" s="1"/>
  <c r="L185" i="2" s="1"/>
  <c r="M185" i="2" s="1"/>
  <c r="N185" i="2" s="1"/>
  <c r="C186" i="2"/>
  <c r="C187" i="2"/>
  <c r="F191" i="2"/>
  <c r="G191" i="2" s="1"/>
  <c r="H191" i="2" s="1"/>
  <c r="I191" i="2" s="1"/>
  <c r="J191" i="2" s="1"/>
  <c r="K191" i="2" s="1"/>
  <c r="L191" i="2" s="1"/>
  <c r="M191" i="2" s="1"/>
  <c r="C194" i="2"/>
  <c r="F195" i="2"/>
  <c r="G195" i="2" s="1"/>
  <c r="H195" i="2" s="1"/>
  <c r="I195" i="2" s="1"/>
  <c r="J195" i="2" s="1"/>
  <c r="K195" i="2" s="1"/>
  <c r="L195" i="2" s="1"/>
  <c r="M195" i="2" s="1"/>
  <c r="N195" i="2" s="1"/>
  <c r="C196" i="2"/>
  <c r="C197" i="2"/>
  <c r="F201" i="2"/>
  <c r="G201" i="2" s="1"/>
  <c r="H201" i="2" s="1"/>
  <c r="I201" i="2" s="1"/>
  <c r="J201" i="2" s="1"/>
  <c r="K201" i="2" s="1"/>
  <c r="L201" i="2" s="1"/>
  <c r="M201" i="2" s="1"/>
  <c r="F205" i="2"/>
  <c r="G205" i="2" s="1"/>
  <c r="H205" i="2" s="1"/>
  <c r="I205" i="2" s="1"/>
  <c r="J205" i="2" s="1"/>
  <c r="K205" i="2" s="1"/>
  <c r="L205" i="2" s="1"/>
  <c r="M205" i="2" s="1"/>
  <c r="N205" i="2" s="1"/>
  <c r="C206" i="2"/>
  <c r="C207" i="2"/>
  <c r="F211" i="2"/>
  <c r="G211" i="2" s="1"/>
  <c r="H211" i="2" s="1"/>
  <c r="I211" i="2" s="1"/>
  <c r="J211" i="2" s="1"/>
  <c r="K211" i="2" s="1"/>
  <c r="L211" i="2" s="1"/>
  <c r="M211" i="2" s="1"/>
  <c r="F215" i="2"/>
  <c r="G215" i="2" s="1"/>
  <c r="H215" i="2" s="1"/>
  <c r="I215" i="2" s="1"/>
  <c r="J215" i="2" s="1"/>
  <c r="K215" i="2" s="1"/>
  <c r="L215" i="2" s="1"/>
  <c r="M215" i="2" s="1"/>
  <c r="N215" i="2" s="1"/>
  <c r="C216" i="2"/>
  <c r="C217" i="2"/>
  <c r="F221" i="2"/>
  <c r="G221" i="2" s="1"/>
  <c r="H221" i="2" s="1"/>
  <c r="I221" i="2" s="1"/>
  <c r="J221" i="2" s="1"/>
  <c r="K221" i="2" s="1"/>
  <c r="L221" i="2" s="1"/>
  <c r="M221" i="2" s="1"/>
  <c r="C224" i="2"/>
  <c r="F225" i="2"/>
  <c r="G225" i="2" s="1"/>
  <c r="H225" i="2" s="1"/>
  <c r="I225" i="2" s="1"/>
  <c r="J225" i="2" s="1"/>
  <c r="K225" i="2" s="1"/>
  <c r="L225" i="2" s="1"/>
  <c r="M225" i="2" s="1"/>
  <c r="N225" i="2" s="1"/>
  <c r="C226" i="2"/>
  <c r="C227" i="2"/>
  <c r="F231" i="2"/>
  <c r="G231" i="2" s="1"/>
  <c r="H231" i="2" s="1"/>
  <c r="I231" i="2" s="1"/>
  <c r="J231" i="2" s="1"/>
  <c r="K231" i="2" s="1"/>
  <c r="L231" i="2" s="1"/>
  <c r="M231" i="2" s="1"/>
  <c r="F235" i="2"/>
  <c r="G235" i="2" s="1"/>
  <c r="H235" i="2" s="1"/>
  <c r="I235" i="2" s="1"/>
  <c r="J235" i="2" s="1"/>
  <c r="K235" i="2" s="1"/>
  <c r="L235" i="2" s="1"/>
  <c r="M235" i="2" s="1"/>
  <c r="N235" i="2" s="1"/>
  <c r="C236" i="2"/>
  <c r="C237" i="2"/>
  <c r="F241" i="2"/>
  <c r="G241" i="2" s="1"/>
  <c r="H241" i="2" s="1"/>
  <c r="I241" i="2" s="1"/>
  <c r="J241" i="2" s="1"/>
  <c r="K241" i="2" s="1"/>
  <c r="L241" i="2" s="1"/>
  <c r="M241" i="2" s="1"/>
  <c r="F245" i="2"/>
  <c r="G245" i="2" s="1"/>
  <c r="H245" i="2" s="1"/>
  <c r="I245" i="2" s="1"/>
  <c r="J245" i="2" s="1"/>
  <c r="K245" i="2" s="1"/>
  <c r="L245" i="2" s="1"/>
  <c r="M245" i="2" s="1"/>
  <c r="N245" i="2" s="1"/>
  <c r="C246" i="2"/>
  <c r="C247" i="2"/>
  <c r="F251" i="2"/>
  <c r="G251" i="2" s="1"/>
  <c r="H251" i="2" s="1"/>
  <c r="I251" i="2" s="1"/>
  <c r="J251" i="2" s="1"/>
  <c r="K251" i="2" s="1"/>
  <c r="L251" i="2" s="1"/>
  <c r="M251" i="2" s="1"/>
  <c r="C254" i="2"/>
  <c r="F255" i="2"/>
  <c r="G255" i="2" s="1"/>
  <c r="H255" i="2" s="1"/>
  <c r="I255" i="2" s="1"/>
  <c r="J255" i="2" s="1"/>
  <c r="K255" i="2" s="1"/>
  <c r="L255" i="2" s="1"/>
  <c r="M255" i="2" s="1"/>
  <c r="N255" i="2" s="1"/>
  <c r="C256" i="2"/>
  <c r="C257" i="2"/>
  <c r="F261" i="2"/>
  <c r="G261" i="2" s="1"/>
  <c r="H261" i="2" s="1"/>
  <c r="I261" i="2" s="1"/>
  <c r="J261" i="2" s="1"/>
  <c r="K261" i="2" s="1"/>
  <c r="L261" i="2" s="1"/>
  <c r="M261" i="2" s="1"/>
  <c r="F265" i="2"/>
  <c r="G265" i="2" s="1"/>
  <c r="H265" i="2" s="1"/>
  <c r="I265" i="2" s="1"/>
  <c r="J265" i="2" s="1"/>
  <c r="K265" i="2" s="1"/>
  <c r="L265" i="2" s="1"/>
  <c r="M265" i="2" s="1"/>
  <c r="N265" i="2" s="1"/>
  <c r="C266" i="2"/>
  <c r="C267" i="2"/>
  <c r="F271" i="2"/>
  <c r="G271" i="2" s="1"/>
  <c r="H271" i="2" s="1"/>
  <c r="I271" i="2" s="1"/>
  <c r="J271" i="2" s="1"/>
  <c r="K271" i="2" s="1"/>
  <c r="L271" i="2" s="1"/>
  <c r="M271" i="2" s="1"/>
  <c r="C274" i="2"/>
  <c r="F275" i="2"/>
  <c r="G275" i="2" s="1"/>
  <c r="H275" i="2" s="1"/>
  <c r="I275" i="2" s="1"/>
  <c r="J275" i="2" s="1"/>
  <c r="K275" i="2" s="1"/>
  <c r="L275" i="2" s="1"/>
  <c r="M275" i="2" s="1"/>
  <c r="N275" i="2" s="1"/>
  <c r="C276" i="2"/>
  <c r="C277" i="2"/>
  <c r="F281" i="2"/>
  <c r="G281" i="2" s="1"/>
  <c r="H281" i="2" s="1"/>
  <c r="I281" i="2" s="1"/>
  <c r="J281" i="2" s="1"/>
  <c r="K281" i="2" s="1"/>
  <c r="L281" i="2" s="1"/>
  <c r="M281" i="2" s="1"/>
  <c r="F285" i="2"/>
  <c r="G285" i="2" s="1"/>
  <c r="H285" i="2" s="1"/>
  <c r="I285" i="2" s="1"/>
  <c r="J285" i="2" s="1"/>
  <c r="K285" i="2" s="1"/>
  <c r="L285" i="2" s="1"/>
  <c r="M285" i="2" s="1"/>
  <c r="N285" i="2" s="1"/>
  <c r="C286" i="2"/>
  <c r="C287" i="2"/>
  <c r="F291" i="2"/>
  <c r="G291" i="2" s="1"/>
  <c r="H291" i="2" s="1"/>
  <c r="I291" i="2" s="1"/>
  <c r="J291" i="2" s="1"/>
  <c r="K291" i="2" s="1"/>
  <c r="L291" i="2" s="1"/>
  <c r="M291" i="2" s="1"/>
  <c r="C294" i="2"/>
  <c r="F295" i="2"/>
  <c r="G295" i="2" s="1"/>
  <c r="H295" i="2" s="1"/>
  <c r="I295" i="2" s="1"/>
  <c r="J295" i="2" s="1"/>
  <c r="K295" i="2" s="1"/>
  <c r="L295" i="2" s="1"/>
  <c r="M295" i="2" s="1"/>
  <c r="N295" i="2" s="1"/>
  <c r="C296" i="2"/>
  <c r="C297" i="2"/>
  <c r="F301" i="2"/>
  <c r="G301" i="2" s="1"/>
  <c r="H301" i="2" s="1"/>
  <c r="I301" i="2" s="1"/>
  <c r="J301" i="2" s="1"/>
  <c r="K301" i="2" s="1"/>
  <c r="L301" i="2" s="1"/>
  <c r="M301" i="2" s="1"/>
  <c r="F305" i="2"/>
  <c r="G305" i="2" s="1"/>
  <c r="H305" i="2" s="1"/>
  <c r="I305" i="2" s="1"/>
  <c r="J305" i="2" s="1"/>
  <c r="K305" i="2" s="1"/>
  <c r="L305" i="2" s="1"/>
  <c r="M305" i="2" s="1"/>
  <c r="N305" i="2" s="1"/>
  <c r="C306" i="2"/>
  <c r="C307" i="2"/>
  <c r="F311" i="2"/>
  <c r="G311" i="2" s="1"/>
  <c r="H311" i="2" s="1"/>
  <c r="I311" i="2" s="1"/>
  <c r="J311" i="2" s="1"/>
  <c r="K311" i="2" s="1"/>
  <c r="L311" i="2" s="1"/>
  <c r="M311" i="2" s="1"/>
  <c r="C314" i="2"/>
  <c r="F315" i="2"/>
  <c r="G315" i="2" s="1"/>
  <c r="H315" i="2" s="1"/>
  <c r="I315" i="2" s="1"/>
  <c r="J315" i="2" s="1"/>
  <c r="K315" i="2" s="1"/>
  <c r="L315" i="2" s="1"/>
  <c r="M315" i="2" s="1"/>
  <c r="N315" i="2" s="1"/>
  <c r="C316" i="2"/>
  <c r="C317" i="2"/>
  <c r="F335" i="2"/>
  <c r="G335" i="2"/>
  <c r="I335" i="2"/>
  <c r="K335" i="2"/>
  <c r="L335" i="2"/>
  <c r="G825" i="2"/>
  <c r="G926" i="2"/>
  <c r="F926" i="2"/>
  <c r="H1018" i="2"/>
  <c r="H492" i="2"/>
  <c r="H500" i="2"/>
  <c r="F470" i="2"/>
  <c r="F651" i="2" s="1"/>
  <c r="F492" i="2"/>
  <c r="F682" i="2" s="1"/>
  <c r="F497" i="2"/>
  <c r="F496" i="2" s="1"/>
  <c r="F500" i="2"/>
  <c r="G506" i="2"/>
  <c r="H926" i="2"/>
  <c r="H825" i="2"/>
  <c r="H427" i="2" s="1"/>
  <c r="I1018" i="2"/>
  <c r="I492" i="2"/>
  <c r="I497" i="2"/>
  <c r="I496" i="2" s="1"/>
  <c r="I500" i="2"/>
  <c r="I926" i="2"/>
  <c r="I825" i="2"/>
  <c r="J1018" i="2"/>
  <c r="J492" i="2"/>
  <c r="J497" i="2"/>
  <c r="J496" i="2" s="1"/>
  <c r="J500" i="2"/>
  <c r="J926" i="2"/>
  <c r="J825" i="2"/>
  <c r="J427" i="2" s="1"/>
  <c r="K1018" i="2"/>
  <c r="K492" i="2"/>
  <c r="K500" i="2"/>
  <c r="K926" i="2"/>
  <c r="K825" i="2"/>
  <c r="G799" i="2"/>
  <c r="H342" i="2" s="1"/>
  <c r="L1018" i="2"/>
  <c r="L492" i="2"/>
  <c r="L497" i="2"/>
  <c r="L496" i="2" s="1"/>
  <c r="L500" i="2"/>
  <c r="G344" i="2"/>
  <c r="G346" i="2" s="1"/>
  <c r="A349" i="2"/>
  <c r="A350" i="2"/>
  <c r="A351" i="2"/>
  <c r="G351" i="2"/>
  <c r="H351" i="2" s="1"/>
  <c r="I351" i="2" s="1"/>
  <c r="J351" i="2" s="1"/>
  <c r="A352" i="2"/>
  <c r="A353" i="2"/>
  <c r="A354" i="2"/>
  <c r="A355" i="2"/>
  <c r="A356" i="2"/>
  <c r="A357" i="2"/>
  <c r="A358" i="2"/>
  <c r="A359" i="2"/>
  <c r="A360" i="2"/>
  <c r="A361" i="2"/>
  <c r="A362" i="2"/>
  <c r="A363" i="2"/>
  <c r="A364" i="2"/>
  <c r="A365" i="2"/>
  <c r="A366" i="2"/>
  <c r="A367" i="2"/>
  <c r="A368" i="2"/>
  <c r="A369" i="2"/>
  <c r="A370" i="2"/>
  <c r="A371" i="2"/>
  <c r="A372" i="2"/>
  <c r="A373" i="2"/>
  <c r="A374" i="2"/>
  <c r="A375" i="2"/>
  <c r="A376" i="2"/>
  <c r="A377" i="2"/>
  <c r="A378" i="2"/>
  <c r="A379" i="2"/>
  <c r="A380" i="2"/>
  <c r="A381" i="2"/>
  <c r="A382" i="2"/>
  <c r="A383" i="2"/>
  <c r="A384" i="2"/>
  <c r="G354" i="2"/>
  <c r="H354" i="2" s="1"/>
  <c r="G357" i="2"/>
  <c r="H357" i="2" s="1"/>
  <c r="I357" i="2" s="1"/>
  <c r="J357" i="2" s="1"/>
  <c r="K357" i="2" s="1"/>
  <c r="L357" i="2" s="1"/>
  <c r="M357" i="2" s="1"/>
  <c r="G360" i="2"/>
  <c r="H360" i="2" s="1"/>
  <c r="I360" i="2" s="1"/>
  <c r="J360" i="2" s="1"/>
  <c r="K360" i="2" s="1"/>
  <c r="L360" i="2" s="1"/>
  <c r="M360" i="2" s="1"/>
  <c r="G363" i="2"/>
  <c r="H363" i="2" s="1"/>
  <c r="I363" i="2" s="1"/>
  <c r="J363" i="2" s="1"/>
  <c r="K363" i="2" s="1"/>
  <c r="L363" i="2" s="1"/>
  <c r="M363" i="2" s="1"/>
  <c r="G366" i="2"/>
  <c r="H366" i="2" s="1"/>
  <c r="I366" i="2" s="1"/>
  <c r="J366" i="2" s="1"/>
  <c r="K366" i="2" s="1"/>
  <c r="L366" i="2" s="1"/>
  <c r="M366" i="2" s="1"/>
  <c r="G369" i="2"/>
  <c r="H369" i="2" s="1"/>
  <c r="I369" i="2" s="1"/>
  <c r="J369" i="2" s="1"/>
  <c r="K369" i="2" s="1"/>
  <c r="L369" i="2" s="1"/>
  <c r="M369" i="2" s="1"/>
  <c r="G372" i="2"/>
  <c r="H372" i="2" s="1"/>
  <c r="I372" i="2" s="1"/>
  <c r="J372" i="2" s="1"/>
  <c r="K372" i="2" s="1"/>
  <c r="L372" i="2" s="1"/>
  <c r="M372" i="2" s="1"/>
  <c r="G375" i="2"/>
  <c r="H375" i="2" s="1"/>
  <c r="I375" i="2" s="1"/>
  <c r="J375" i="2" s="1"/>
  <c r="K375" i="2" s="1"/>
  <c r="L375" i="2" s="1"/>
  <c r="M375" i="2" s="1"/>
  <c r="G378" i="2"/>
  <c r="H378" i="2" s="1"/>
  <c r="I378" i="2" s="1"/>
  <c r="J378" i="2" s="1"/>
  <c r="K378" i="2" s="1"/>
  <c r="L378" i="2" s="1"/>
  <c r="M378" i="2" s="1"/>
  <c r="G381" i="2"/>
  <c r="H381" i="2" s="1"/>
  <c r="I381" i="2" s="1"/>
  <c r="J381" i="2" s="1"/>
  <c r="K381" i="2" s="1"/>
  <c r="L381" i="2" s="1"/>
  <c r="M381" i="2" s="1"/>
  <c r="G384" i="2"/>
  <c r="H384" i="2" s="1"/>
  <c r="I384" i="2" s="1"/>
  <c r="J384" i="2" s="1"/>
  <c r="K384" i="2" s="1"/>
  <c r="L384" i="2" s="1"/>
  <c r="M384" i="2" s="1"/>
  <c r="C352" i="2"/>
  <c r="C353" i="2"/>
  <c r="C354" i="2"/>
  <c r="C355" i="2"/>
  <c r="C356" i="2"/>
  <c r="C357" i="2"/>
  <c r="C358" i="2"/>
  <c r="C359" i="2"/>
  <c r="C360" i="2"/>
  <c r="C361" i="2"/>
  <c r="C362" i="2"/>
  <c r="C363" i="2"/>
  <c r="C364" i="2"/>
  <c r="C365" i="2"/>
  <c r="C366" i="2"/>
  <c r="C367" i="2"/>
  <c r="C368" i="2"/>
  <c r="C369" i="2"/>
  <c r="C370" i="2"/>
  <c r="C371" i="2"/>
  <c r="C372" i="2"/>
  <c r="C373" i="2"/>
  <c r="C374" i="2"/>
  <c r="C375" i="2"/>
  <c r="C376" i="2"/>
  <c r="C377" i="2"/>
  <c r="C378" i="2"/>
  <c r="C379" i="2"/>
  <c r="C380" i="2"/>
  <c r="C381" i="2"/>
  <c r="C382" i="2"/>
  <c r="C383" i="2"/>
  <c r="C384" i="2"/>
  <c r="A386" i="2"/>
  <c r="C386" i="2"/>
  <c r="A387" i="2"/>
  <c r="C387" i="2"/>
  <c r="I387" i="2"/>
  <c r="A388" i="2"/>
  <c r="C388" i="2"/>
  <c r="A389" i="2"/>
  <c r="C389" i="2"/>
  <c r="A390" i="2"/>
  <c r="C390" i="2"/>
  <c r="L390" i="2"/>
  <c r="A391" i="2"/>
  <c r="C391" i="2"/>
  <c r="A392" i="2"/>
  <c r="C392" i="2"/>
  <c r="A393" i="2"/>
  <c r="C393" i="2"/>
  <c r="G393" i="2"/>
  <c r="A394" i="2"/>
  <c r="C394" i="2"/>
  <c r="A395" i="2"/>
  <c r="C395" i="2"/>
  <c r="A396" i="2"/>
  <c r="C396" i="2"/>
  <c r="J396" i="2"/>
  <c r="A397" i="2"/>
  <c r="C397" i="2"/>
  <c r="A398" i="2"/>
  <c r="C398" i="2"/>
  <c r="A399" i="2"/>
  <c r="C399" i="2"/>
  <c r="M399" i="2"/>
  <c r="A400" i="2"/>
  <c r="C400" i="2"/>
  <c r="A401" i="2"/>
  <c r="C401" i="2"/>
  <c r="A402" i="2"/>
  <c r="C402" i="2"/>
  <c r="H402" i="2"/>
  <c r="A403" i="2"/>
  <c r="C403" i="2"/>
  <c r="A404" i="2"/>
  <c r="C404" i="2"/>
  <c r="A405" i="2"/>
  <c r="C405" i="2"/>
  <c r="K405" i="2"/>
  <c r="A406" i="2"/>
  <c r="C406" i="2"/>
  <c r="A407" i="2"/>
  <c r="C407" i="2"/>
  <c r="A408" i="2"/>
  <c r="C408" i="2"/>
  <c r="A409" i="2"/>
  <c r="C409" i="2"/>
  <c r="A410" i="2"/>
  <c r="C410" i="2"/>
  <c r="A411" i="2"/>
  <c r="C411" i="2"/>
  <c r="I411" i="2"/>
  <c r="A412" i="2"/>
  <c r="C412" i="2"/>
  <c r="A413" i="2"/>
  <c r="C413" i="2"/>
  <c r="A414" i="2"/>
  <c r="C414" i="2"/>
  <c r="L414" i="2"/>
  <c r="A415" i="2"/>
  <c r="C415" i="2"/>
  <c r="A416" i="2"/>
  <c r="C416" i="2"/>
  <c r="A417" i="2"/>
  <c r="C417" i="2"/>
  <c r="G417" i="2"/>
  <c r="A418" i="2"/>
  <c r="C418" i="2"/>
  <c r="A419" i="2"/>
  <c r="C419" i="2"/>
  <c r="A420" i="2"/>
  <c r="C420" i="2"/>
  <c r="J420" i="2"/>
  <c r="A421" i="2"/>
  <c r="C421" i="2"/>
  <c r="I427" i="2"/>
  <c r="K427" i="2"/>
  <c r="L825" i="2"/>
  <c r="L427" i="2" s="1"/>
  <c r="M825" i="2"/>
  <c r="M427" i="2" s="1"/>
  <c r="F429" i="2"/>
  <c r="G429" i="2"/>
  <c r="H429" i="2"/>
  <c r="I429" i="2"/>
  <c r="J429" i="2"/>
  <c r="K429" i="2"/>
  <c r="L429" i="2"/>
  <c r="M429" i="2"/>
  <c r="N429" i="2"/>
  <c r="G431" i="2"/>
  <c r="B440" i="2"/>
  <c r="F440" i="2"/>
  <c r="G440" i="2"/>
  <c r="H440" i="2"/>
  <c r="H626" i="2" s="1"/>
  <c r="I440" i="2"/>
  <c r="I626" i="2" s="1"/>
  <c r="I1036" i="2" s="1"/>
  <c r="J440" i="2"/>
  <c r="K440" i="2"/>
  <c r="L440" i="2"/>
  <c r="L626" i="2" s="1"/>
  <c r="M440" i="2"/>
  <c r="M626" i="2" s="1"/>
  <c r="M1036" i="2" s="1"/>
  <c r="F441" i="2"/>
  <c r="H441" i="2"/>
  <c r="H1017" i="2" s="1"/>
  <c r="I441" i="2"/>
  <c r="J441" i="2"/>
  <c r="K441" i="2"/>
  <c r="B455" i="2"/>
  <c r="G467" i="2"/>
  <c r="G483" i="2"/>
  <c r="G1018" i="2"/>
  <c r="M1018" i="2"/>
  <c r="N487" i="2"/>
  <c r="N1018" i="2"/>
  <c r="N520" i="2" s="1"/>
  <c r="G489" i="2"/>
  <c r="G492" i="2"/>
  <c r="M492" i="2"/>
  <c r="N492" i="2"/>
  <c r="N1079" i="2" s="1"/>
  <c r="C493" i="2"/>
  <c r="G495" i="2"/>
  <c r="G496" i="2"/>
  <c r="M497" i="2"/>
  <c r="M496" i="2" s="1"/>
  <c r="N497" i="2"/>
  <c r="N496" i="2" s="1"/>
  <c r="G497" i="2"/>
  <c r="G499" i="2"/>
  <c r="G500" i="2"/>
  <c r="C502" i="2"/>
  <c r="N508" i="2"/>
  <c r="G620" i="2"/>
  <c r="F563" i="2"/>
  <c r="F564" i="2" s="1"/>
  <c r="F615" i="2"/>
  <c r="F616" i="2" s="1"/>
  <c r="N514" i="2"/>
  <c r="N515" i="2" s="1"/>
  <c r="N511" i="2" s="1"/>
  <c r="N521" i="2"/>
  <c r="N777" i="2"/>
  <c r="N778" i="2"/>
  <c r="N779" i="2"/>
  <c r="N780" i="2"/>
  <c r="N781" i="2"/>
  <c r="N782" i="2"/>
  <c r="N783" i="2"/>
  <c r="N784" i="2"/>
  <c r="N785" i="2"/>
  <c r="N786" i="2"/>
  <c r="N787" i="2"/>
  <c r="N788" i="2"/>
  <c r="B538" i="2"/>
  <c r="F538" i="2"/>
  <c r="G538" i="2"/>
  <c r="H538" i="2"/>
  <c r="I538" i="2"/>
  <c r="J538" i="2"/>
  <c r="K538" i="2"/>
  <c r="L538" i="2"/>
  <c r="M538" i="2"/>
  <c r="F539" i="2"/>
  <c r="H539" i="2"/>
  <c r="I539" i="2"/>
  <c r="J539" i="2"/>
  <c r="K539" i="2"/>
  <c r="L539" i="2"/>
  <c r="F561" i="2"/>
  <c r="F562" i="2" s="1"/>
  <c r="F565" i="2"/>
  <c r="F566" i="2" s="1"/>
  <c r="G569" i="2"/>
  <c r="G770" i="2" s="1"/>
  <c r="C542" i="2"/>
  <c r="H546" i="2"/>
  <c r="I546" i="2" s="1"/>
  <c r="J546" i="2" s="1"/>
  <c r="F548" i="2"/>
  <c r="F552" i="2"/>
  <c r="F556" i="2"/>
  <c r="F560" i="2"/>
  <c r="G591" i="2"/>
  <c r="G570" i="2" s="1"/>
  <c r="C572" i="2"/>
  <c r="G619" i="2"/>
  <c r="G592" i="2" s="1"/>
  <c r="C594" i="2"/>
  <c r="F600" i="2"/>
  <c r="F604" i="2"/>
  <c r="F608" i="2"/>
  <c r="F612" i="2"/>
  <c r="F613" i="2"/>
  <c r="F614" i="2" s="1"/>
  <c r="F617" i="2"/>
  <c r="F618" i="2" s="1"/>
  <c r="B626" i="2"/>
  <c r="F626" i="2"/>
  <c r="G626" i="2"/>
  <c r="J626" i="2"/>
  <c r="K626" i="2"/>
  <c r="F627" i="2"/>
  <c r="H627" i="2"/>
  <c r="I627" i="2"/>
  <c r="J627" i="2"/>
  <c r="K627" i="2"/>
  <c r="G629" i="2"/>
  <c r="C630" i="2"/>
  <c r="F630" i="2"/>
  <c r="G630" i="2"/>
  <c r="H630" i="2"/>
  <c r="I630" i="2"/>
  <c r="J630" i="2"/>
  <c r="K630" i="2"/>
  <c r="L630" i="2"/>
  <c r="M630" i="2"/>
  <c r="N630" i="2"/>
  <c r="C631" i="2"/>
  <c r="F631" i="2"/>
  <c r="G631" i="2"/>
  <c r="H631" i="2"/>
  <c r="I631" i="2"/>
  <c r="J631" i="2"/>
  <c r="K631" i="2"/>
  <c r="L631" i="2"/>
  <c r="M631" i="2"/>
  <c r="N631" i="2"/>
  <c r="C632" i="2"/>
  <c r="F632" i="2"/>
  <c r="G632" i="2"/>
  <c r="H632" i="2"/>
  <c r="I632" i="2"/>
  <c r="J632" i="2"/>
  <c r="K632" i="2"/>
  <c r="L632" i="2"/>
  <c r="M632" i="2"/>
  <c r="N632" i="2"/>
  <c r="C633" i="2"/>
  <c r="F633" i="2"/>
  <c r="G633" i="2"/>
  <c r="H633" i="2"/>
  <c r="I633" i="2"/>
  <c r="J633" i="2"/>
  <c r="K633" i="2"/>
  <c r="L633" i="2"/>
  <c r="M633" i="2"/>
  <c r="N633" i="2"/>
  <c r="C634" i="2"/>
  <c r="F634" i="2"/>
  <c r="G634" i="2"/>
  <c r="H634" i="2"/>
  <c r="I634" i="2"/>
  <c r="J634" i="2"/>
  <c r="K634" i="2"/>
  <c r="L634" i="2"/>
  <c r="M634" i="2"/>
  <c r="N634" i="2"/>
  <c r="C635" i="2"/>
  <c r="F635" i="2"/>
  <c r="G635" i="2"/>
  <c r="H635" i="2"/>
  <c r="I635" i="2"/>
  <c r="J635" i="2"/>
  <c r="K635" i="2"/>
  <c r="L635" i="2"/>
  <c r="M635" i="2"/>
  <c r="N635" i="2"/>
  <c r="C636" i="2"/>
  <c r="F636" i="2"/>
  <c r="G636" i="2"/>
  <c r="H636" i="2"/>
  <c r="I636" i="2"/>
  <c r="J636" i="2"/>
  <c r="K636" i="2"/>
  <c r="L636" i="2"/>
  <c r="M636" i="2"/>
  <c r="N636" i="2"/>
  <c r="C637" i="2"/>
  <c r="F637" i="2"/>
  <c r="G637" i="2"/>
  <c r="H637" i="2"/>
  <c r="I637" i="2"/>
  <c r="J637" i="2"/>
  <c r="K637" i="2"/>
  <c r="L637" i="2"/>
  <c r="M637" i="2"/>
  <c r="N637" i="2"/>
  <c r="C638" i="2"/>
  <c r="F638" i="2"/>
  <c r="G638" i="2"/>
  <c r="H638" i="2"/>
  <c r="I638" i="2"/>
  <c r="J638" i="2"/>
  <c r="K638" i="2"/>
  <c r="L638" i="2"/>
  <c r="M638" i="2"/>
  <c r="N638" i="2"/>
  <c r="C639" i="2"/>
  <c r="F639" i="2"/>
  <c r="G639" i="2"/>
  <c r="H639" i="2"/>
  <c r="I639" i="2"/>
  <c r="J639" i="2"/>
  <c r="K639" i="2"/>
  <c r="L639" i="2"/>
  <c r="M639" i="2"/>
  <c r="N639" i="2"/>
  <c r="C641" i="2"/>
  <c r="F641" i="2"/>
  <c r="G641" i="2"/>
  <c r="H641" i="2"/>
  <c r="I641" i="2"/>
  <c r="J641" i="2"/>
  <c r="K641" i="2"/>
  <c r="L641" i="2"/>
  <c r="M641" i="2"/>
  <c r="N641" i="2"/>
  <c r="C642" i="2"/>
  <c r="F642" i="2"/>
  <c r="G642" i="2"/>
  <c r="H642" i="2"/>
  <c r="I642" i="2"/>
  <c r="J642" i="2"/>
  <c r="K642" i="2"/>
  <c r="L642" i="2"/>
  <c r="M642" i="2"/>
  <c r="N642" i="2"/>
  <c r="C643" i="2"/>
  <c r="F643" i="2"/>
  <c r="G643" i="2"/>
  <c r="H643" i="2"/>
  <c r="I643" i="2"/>
  <c r="J643" i="2"/>
  <c r="K643" i="2"/>
  <c r="L643" i="2"/>
  <c r="M643" i="2"/>
  <c r="N643" i="2"/>
  <c r="C644" i="2"/>
  <c r="F644" i="2"/>
  <c r="G644" i="2"/>
  <c r="H644" i="2"/>
  <c r="I644" i="2"/>
  <c r="J644" i="2"/>
  <c r="K644" i="2"/>
  <c r="L644" i="2"/>
  <c r="M644" i="2"/>
  <c r="N644" i="2"/>
  <c r="C645" i="2"/>
  <c r="F645" i="2"/>
  <c r="G645" i="2"/>
  <c r="H645" i="2"/>
  <c r="I645" i="2"/>
  <c r="J645" i="2"/>
  <c r="K645" i="2"/>
  <c r="L645" i="2"/>
  <c r="M645" i="2"/>
  <c r="N645" i="2"/>
  <c r="C646" i="2"/>
  <c r="F646" i="2"/>
  <c r="G646" i="2"/>
  <c r="H646" i="2"/>
  <c r="I646" i="2"/>
  <c r="J646" i="2"/>
  <c r="K646" i="2"/>
  <c r="L646" i="2"/>
  <c r="M646" i="2"/>
  <c r="N646" i="2"/>
  <c r="C647" i="2"/>
  <c r="F647" i="2"/>
  <c r="G647" i="2"/>
  <c r="H647" i="2"/>
  <c r="I647" i="2"/>
  <c r="J647" i="2"/>
  <c r="K647" i="2"/>
  <c r="L647" i="2"/>
  <c r="M647" i="2"/>
  <c r="N647" i="2"/>
  <c r="C648" i="2"/>
  <c r="F648" i="2"/>
  <c r="G648" i="2"/>
  <c r="H648" i="2"/>
  <c r="I648" i="2"/>
  <c r="J648" i="2"/>
  <c r="K648" i="2"/>
  <c r="L648" i="2"/>
  <c r="M648" i="2"/>
  <c r="N648" i="2"/>
  <c r="C649" i="2"/>
  <c r="F649" i="2"/>
  <c r="G649" i="2"/>
  <c r="H649" i="2"/>
  <c r="I649" i="2"/>
  <c r="J649" i="2"/>
  <c r="K649" i="2"/>
  <c r="L649" i="2"/>
  <c r="M649" i="2"/>
  <c r="N649" i="2"/>
  <c r="C650" i="2"/>
  <c r="F650" i="2"/>
  <c r="G650" i="2"/>
  <c r="H650" i="2"/>
  <c r="I650" i="2"/>
  <c r="J650" i="2"/>
  <c r="K650" i="2"/>
  <c r="L650" i="2"/>
  <c r="M650" i="2"/>
  <c r="N650" i="2"/>
  <c r="C652" i="2"/>
  <c r="F652" i="2"/>
  <c r="G652" i="2"/>
  <c r="H652" i="2"/>
  <c r="I652" i="2"/>
  <c r="J652" i="2"/>
  <c r="K652" i="2"/>
  <c r="L652" i="2"/>
  <c r="M652" i="2"/>
  <c r="N652" i="2"/>
  <c r="C653" i="2"/>
  <c r="F653" i="2"/>
  <c r="G653" i="2"/>
  <c r="H653" i="2"/>
  <c r="I653" i="2"/>
  <c r="J653" i="2"/>
  <c r="K653" i="2"/>
  <c r="L653" i="2"/>
  <c r="M653" i="2"/>
  <c r="N653" i="2"/>
  <c r="C654" i="2"/>
  <c r="F654" i="2"/>
  <c r="G654" i="2"/>
  <c r="H654" i="2"/>
  <c r="I654" i="2"/>
  <c r="J654" i="2"/>
  <c r="K654" i="2"/>
  <c r="L654" i="2"/>
  <c r="M654" i="2"/>
  <c r="N654" i="2"/>
  <c r="C655" i="2"/>
  <c r="F655" i="2"/>
  <c r="G655" i="2"/>
  <c r="H655" i="2"/>
  <c r="I655" i="2"/>
  <c r="J655" i="2"/>
  <c r="K655" i="2"/>
  <c r="L655" i="2"/>
  <c r="M655" i="2"/>
  <c r="N655" i="2"/>
  <c r="C656" i="2"/>
  <c r="F656" i="2"/>
  <c r="G656" i="2"/>
  <c r="H656" i="2"/>
  <c r="I656" i="2"/>
  <c r="J656" i="2"/>
  <c r="K656" i="2"/>
  <c r="L656" i="2"/>
  <c r="M656" i="2"/>
  <c r="N656" i="2"/>
  <c r="C657" i="2"/>
  <c r="F657" i="2"/>
  <c r="G657" i="2"/>
  <c r="H657" i="2"/>
  <c r="I657" i="2"/>
  <c r="J657" i="2"/>
  <c r="K657" i="2"/>
  <c r="L657" i="2"/>
  <c r="M657" i="2"/>
  <c r="N657" i="2"/>
  <c r="C658" i="2"/>
  <c r="F658" i="2"/>
  <c r="G658" i="2"/>
  <c r="H658" i="2"/>
  <c r="I658" i="2"/>
  <c r="J658" i="2"/>
  <c r="K658" i="2"/>
  <c r="L658" i="2"/>
  <c r="M658" i="2"/>
  <c r="N658" i="2"/>
  <c r="C659" i="2"/>
  <c r="F659" i="2"/>
  <c r="G659" i="2"/>
  <c r="H659" i="2"/>
  <c r="I659" i="2"/>
  <c r="J659" i="2"/>
  <c r="K659" i="2"/>
  <c r="L659" i="2"/>
  <c r="M659" i="2"/>
  <c r="N659" i="2"/>
  <c r="C660" i="2"/>
  <c r="F660" i="2"/>
  <c r="G660" i="2"/>
  <c r="H660" i="2"/>
  <c r="I660" i="2"/>
  <c r="J660" i="2"/>
  <c r="K660" i="2"/>
  <c r="L660" i="2"/>
  <c r="M660" i="2"/>
  <c r="N660" i="2"/>
  <c r="C661" i="2"/>
  <c r="F661" i="2"/>
  <c r="G661" i="2"/>
  <c r="H661" i="2"/>
  <c r="I661" i="2"/>
  <c r="J661" i="2"/>
  <c r="K661" i="2"/>
  <c r="L661" i="2"/>
  <c r="M661" i="2"/>
  <c r="N661" i="2"/>
  <c r="F662" i="2"/>
  <c r="G662" i="2"/>
  <c r="F663" i="2"/>
  <c r="G664" i="2"/>
  <c r="C665" i="2"/>
  <c r="G665" i="2"/>
  <c r="C666" i="2"/>
  <c r="G666" i="2"/>
  <c r="C667" i="2"/>
  <c r="G667" i="2"/>
  <c r="G668" i="2"/>
  <c r="F669" i="2"/>
  <c r="G669" i="2"/>
  <c r="G672" i="2"/>
  <c r="G671" i="2" s="1"/>
  <c r="C673" i="2"/>
  <c r="B675" i="2"/>
  <c r="B676" i="2"/>
  <c r="G676" i="2"/>
  <c r="G677" i="2" s="1"/>
  <c r="B677" i="2"/>
  <c r="G678" i="2"/>
  <c r="H678" i="2"/>
  <c r="I678" i="2"/>
  <c r="J678" i="2"/>
  <c r="K678" i="2"/>
  <c r="L678" i="2"/>
  <c r="M678" i="2"/>
  <c r="N678" i="2"/>
  <c r="F805" i="2"/>
  <c r="F691" i="2"/>
  <c r="G685" i="2"/>
  <c r="G1075" i="2" s="1"/>
  <c r="G814" i="2" s="1"/>
  <c r="G806" i="2" s="1"/>
  <c r="C686" i="2"/>
  <c r="G695" i="2"/>
  <c r="H695" i="2"/>
  <c r="I695" i="2"/>
  <c r="J695" i="2"/>
  <c r="K695" i="2"/>
  <c r="L695" i="2"/>
  <c r="M695" i="2"/>
  <c r="N695" i="2"/>
  <c r="G696" i="2"/>
  <c r="H700" i="2"/>
  <c r="H696" i="2" s="1"/>
  <c r="K700" i="2"/>
  <c r="K696" i="2" s="1"/>
  <c r="L700" i="2"/>
  <c r="L696" i="2" s="1"/>
  <c r="M700" i="2"/>
  <c r="M696" i="2" s="1"/>
  <c r="N700" i="2"/>
  <c r="N696" i="2" s="1"/>
  <c r="F703" i="2"/>
  <c r="B708" i="2"/>
  <c r="F708" i="2"/>
  <c r="G708" i="2"/>
  <c r="H708" i="2"/>
  <c r="I708" i="2"/>
  <c r="J708" i="2"/>
  <c r="K708" i="2"/>
  <c r="L708" i="2"/>
  <c r="M708" i="2"/>
  <c r="F709" i="2"/>
  <c r="H709" i="2"/>
  <c r="I709" i="2"/>
  <c r="J709" i="2"/>
  <c r="K709" i="2"/>
  <c r="F775" i="2"/>
  <c r="F768" i="2" s="1"/>
  <c r="C767" i="2"/>
  <c r="C775" i="2"/>
  <c r="G1090" i="2"/>
  <c r="H1090" i="2"/>
  <c r="I1090" i="2"/>
  <c r="J1090" i="2"/>
  <c r="K1090" i="2"/>
  <c r="L1090" i="2"/>
  <c r="M1090" i="2"/>
  <c r="N1090" i="2"/>
  <c r="F812" i="2"/>
  <c r="F815" i="2"/>
  <c r="L926" i="2"/>
  <c r="F825" i="2"/>
  <c r="N825" i="2"/>
  <c r="N827" i="2"/>
  <c r="G1071" i="2"/>
  <c r="G829" i="2" s="1"/>
  <c r="H1071" i="2"/>
  <c r="H829" i="2" s="1"/>
  <c r="I1071" i="2"/>
  <c r="I829" i="2" s="1"/>
  <c r="J1071" i="2"/>
  <c r="J829" i="2" s="1"/>
  <c r="K1071" i="2"/>
  <c r="K829" i="2" s="1"/>
  <c r="L1071" i="2"/>
  <c r="L829" i="2" s="1"/>
  <c r="M1071" i="2"/>
  <c r="M829" i="2" s="1"/>
  <c r="N1071" i="2"/>
  <c r="N829" i="2" s="1"/>
  <c r="B835" i="2"/>
  <c r="A837" i="2"/>
  <c r="A839" i="2"/>
  <c r="A841" i="2"/>
  <c r="F841" i="2"/>
  <c r="G841" i="2"/>
  <c r="H841" i="2"/>
  <c r="I841" i="2"/>
  <c r="J841" i="2"/>
  <c r="K841" i="2"/>
  <c r="L841" i="2"/>
  <c r="M841" i="2"/>
  <c r="A842" i="2"/>
  <c r="F842" i="2"/>
  <c r="H842" i="2"/>
  <c r="I842" i="2"/>
  <c r="J842" i="2"/>
  <c r="K842" i="2"/>
  <c r="L842" i="2"/>
  <c r="A843" i="2"/>
  <c r="A844" i="2"/>
  <c r="A845" i="2"/>
  <c r="A846" i="2"/>
  <c r="A847" i="2"/>
  <c r="A848" i="2"/>
  <c r="A849" i="2"/>
  <c r="A850" i="2"/>
  <c r="A851" i="2"/>
  <c r="A852" i="2"/>
  <c r="A853" i="2"/>
  <c r="A854" i="2"/>
  <c r="A855" i="2"/>
  <c r="A856" i="2"/>
  <c r="A857" i="2"/>
  <c r="A858" i="2"/>
  <c r="A859" i="2"/>
  <c r="A860" i="2"/>
  <c r="A861" i="2"/>
  <c r="A862" i="2"/>
  <c r="A863" i="2"/>
  <c r="A864" i="2"/>
  <c r="A865" i="2"/>
  <c r="A866" i="2"/>
  <c r="A867" i="2"/>
  <c r="A868" i="2"/>
  <c r="A869" i="2"/>
  <c r="A870" i="2"/>
  <c r="A871" i="2"/>
  <c r="A872" i="2"/>
  <c r="A873" i="2"/>
  <c r="A874" i="2"/>
  <c r="A875" i="2"/>
  <c r="A876" i="2"/>
  <c r="A877" i="2"/>
  <c r="A878" i="2"/>
  <c r="A879" i="2"/>
  <c r="A880" i="2"/>
  <c r="A881" i="2"/>
  <c r="A882" i="2"/>
  <c r="A883" i="2"/>
  <c r="A884" i="2"/>
  <c r="A885" i="2"/>
  <c r="A886" i="2"/>
  <c r="A887" i="2"/>
  <c r="A888" i="2"/>
  <c r="A889" i="2"/>
  <c r="A890" i="2"/>
  <c r="A891" i="2"/>
  <c r="A892" i="2"/>
  <c r="A893" i="2"/>
  <c r="A894" i="2"/>
  <c r="A895" i="2"/>
  <c r="A896" i="2"/>
  <c r="A897" i="2"/>
  <c r="A898" i="2"/>
  <c r="A899" i="2"/>
  <c r="A900" i="2"/>
  <c r="A901" i="2"/>
  <c r="A902" i="2"/>
  <c r="M926" i="2"/>
  <c r="N926" i="2"/>
  <c r="F927" i="2"/>
  <c r="G927" i="2"/>
  <c r="H927" i="2"/>
  <c r="I927" i="2"/>
  <c r="J927" i="2"/>
  <c r="K927" i="2"/>
  <c r="L927" i="2"/>
  <c r="M927" i="2"/>
  <c r="N927" i="2"/>
  <c r="H1016" i="2"/>
  <c r="F1017" i="2"/>
  <c r="F1018" i="2"/>
  <c r="F1020" i="2"/>
  <c r="G1020" i="2"/>
  <c r="H1020" i="2"/>
  <c r="I1020" i="2"/>
  <c r="J1020" i="2"/>
  <c r="K1020" i="2"/>
  <c r="L1020" i="2"/>
  <c r="M1020" i="2"/>
  <c r="N1020" i="2"/>
  <c r="G1035" i="2"/>
  <c r="J1036" i="2"/>
  <c r="K1036" i="2"/>
  <c r="D1053" i="2"/>
  <c r="G1056" i="2"/>
  <c r="G1057" i="2" s="1"/>
  <c r="H1056" i="2"/>
  <c r="H1057" i="2" s="1"/>
  <c r="I1056" i="2"/>
  <c r="I1057" i="2" s="1"/>
  <c r="J1056" i="2"/>
  <c r="J1057" i="2" s="1"/>
  <c r="K1056" i="2"/>
  <c r="K1057" i="2" s="1"/>
  <c r="L1056" i="2"/>
  <c r="L1057" i="2" s="1"/>
  <c r="M1056" i="2"/>
  <c r="M1057" i="2" s="1"/>
  <c r="N1056" i="2"/>
  <c r="N1057" i="2" s="1"/>
  <c r="G1061" i="2"/>
  <c r="G1062" i="2"/>
  <c r="H1063" i="2"/>
  <c r="I1063" i="2"/>
  <c r="J1063" i="2"/>
  <c r="K1063" i="2"/>
  <c r="H1070" i="2"/>
  <c r="I1070" i="2" s="1"/>
  <c r="J1070" i="2" s="1"/>
  <c r="K1070" i="2" s="1"/>
  <c r="G1064" i="2"/>
  <c r="G1067" i="2" s="1"/>
  <c r="G1078" i="2"/>
  <c r="G1079" i="2"/>
  <c r="G1080" i="2"/>
  <c r="N1080" i="2"/>
  <c r="G1081" i="2"/>
  <c r="G1082" i="2"/>
  <c r="H1089" i="2"/>
  <c r="I1089" i="2"/>
  <c r="J1089" i="2"/>
  <c r="K1089" i="2"/>
  <c r="L1089" i="2"/>
  <c r="M1089" i="2"/>
  <c r="N1089" i="2"/>
  <c r="F1230" i="2"/>
  <c r="L21" i="7"/>
  <c r="K21" i="7"/>
  <c r="J21" i="7"/>
  <c r="B10" i="7"/>
  <c r="D7" i="2" l="1"/>
  <c r="H335" i="2"/>
  <c r="N669" i="2"/>
  <c r="F456" i="2"/>
  <c r="F640" i="2" s="1"/>
  <c r="M335" i="2"/>
  <c r="C284" i="2"/>
  <c r="C214" i="2"/>
  <c r="C44" i="2"/>
  <c r="K431" i="2"/>
  <c r="N662" i="2"/>
  <c r="I700" i="2"/>
  <c r="I696" i="2" s="1"/>
  <c r="H453" i="2"/>
  <c r="H629" i="2" s="1"/>
  <c r="N301" i="2"/>
  <c r="N299" i="2"/>
  <c r="N251" i="2"/>
  <c r="N249" i="2"/>
  <c r="C234" i="2"/>
  <c r="C184" i="2"/>
  <c r="G131" i="2"/>
  <c r="H131" i="2" s="1"/>
  <c r="I131" i="2" s="1"/>
  <c r="J131" i="2" s="1"/>
  <c r="K131" i="2" s="1"/>
  <c r="L131" i="2" s="1"/>
  <c r="M131" i="2" s="1"/>
  <c r="N131" i="2" s="1"/>
  <c r="N760" i="2" s="1"/>
  <c r="G111" i="2"/>
  <c r="H111" i="2" s="1"/>
  <c r="I111" i="2" s="1"/>
  <c r="J111" i="2" s="1"/>
  <c r="K111" i="2" s="1"/>
  <c r="L111" i="2" s="1"/>
  <c r="M111" i="2" s="1"/>
  <c r="N111" i="2" s="1"/>
  <c r="N752" i="2" s="1"/>
  <c r="L629" i="2"/>
  <c r="L1136" i="2"/>
  <c r="J629" i="2"/>
  <c r="J1136" i="2"/>
  <c r="G1210" i="2"/>
  <c r="G1206" i="2"/>
  <c r="G1217" i="2" s="1"/>
  <c r="G1221" i="2" s="1"/>
  <c r="L1207" i="2"/>
  <c r="L1218" i="2" s="1"/>
  <c r="L1222" i="2" s="1"/>
  <c r="L1211" i="2"/>
  <c r="N231" i="2"/>
  <c r="N229" i="2"/>
  <c r="N181" i="2"/>
  <c r="N179" i="2"/>
  <c r="G91" i="2"/>
  <c r="H91" i="2" s="1"/>
  <c r="I91" i="2" s="1"/>
  <c r="J91" i="2" s="1"/>
  <c r="K91" i="2" s="1"/>
  <c r="L91" i="2" s="1"/>
  <c r="M91" i="2" s="1"/>
  <c r="N91" i="2" s="1"/>
  <c r="N743" i="2" s="1"/>
  <c r="G71" i="2"/>
  <c r="H71" i="2" s="1"/>
  <c r="I71" i="2" s="1"/>
  <c r="J71" i="2" s="1"/>
  <c r="K71" i="2" s="1"/>
  <c r="L71" i="2" s="1"/>
  <c r="M71" i="2" s="1"/>
  <c r="N71" i="2" s="1"/>
  <c r="N735" i="2" s="1"/>
  <c r="G51" i="2"/>
  <c r="H51" i="2" s="1"/>
  <c r="I51" i="2" s="1"/>
  <c r="J51" i="2" s="1"/>
  <c r="K51" i="2" s="1"/>
  <c r="L51" i="2" s="1"/>
  <c r="M51" i="2" s="1"/>
  <c r="N51" i="2" s="1"/>
  <c r="N726" i="2" s="1"/>
  <c r="N281" i="2"/>
  <c r="N279" i="2"/>
  <c r="N161" i="2"/>
  <c r="N159" i="2"/>
  <c r="G31" i="2"/>
  <c r="H31" i="2" s="1"/>
  <c r="I31" i="2" s="1"/>
  <c r="J31" i="2" s="1"/>
  <c r="K31" i="2" s="1"/>
  <c r="L31" i="2" s="1"/>
  <c r="M31" i="2" s="1"/>
  <c r="N31" i="2" s="1"/>
  <c r="N718" i="2" s="1"/>
  <c r="N1136" i="2"/>
  <c r="N1134" i="2"/>
  <c r="H802" i="2"/>
  <c r="I802" i="2" s="1"/>
  <c r="J802" i="2" s="1"/>
  <c r="K802" i="2" s="1"/>
  <c r="L802" i="2" s="1"/>
  <c r="M802" i="2" s="1"/>
  <c r="N802" i="2" s="1"/>
  <c r="M319" i="2"/>
  <c r="M318" i="2" s="1"/>
  <c r="M670" i="2" s="1"/>
  <c r="A66" i="8"/>
  <c r="M1207" i="2"/>
  <c r="M1218" i="2" s="1"/>
  <c r="M1222" i="2" s="1"/>
  <c r="M1211" i="2"/>
  <c r="N261" i="2"/>
  <c r="N259" i="2"/>
  <c r="N211" i="2"/>
  <c r="N209" i="2"/>
  <c r="I629" i="2"/>
  <c r="I1136" i="2"/>
  <c r="G1136" i="2"/>
  <c r="G1134" i="2"/>
  <c r="H803" i="2"/>
  <c r="I803" i="2" s="1"/>
  <c r="J803" i="2" s="1"/>
  <c r="K803" i="2" s="1"/>
  <c r="L803" i="2" s="1"/>
  <c r="M803" i="2" s="1"/>
  <c r="N803" i="2" s="1"/>
  <c r="A42" i="8"/>
  <c r="K1211" i="2"/>
  <c r="K1207" i="2"/>
  <c r="K1218" i="2" s="1"/>
  <c r="K1222" i="2" s="1"/>
  <c r="N311" i="2"/>
  <c r="N309" i="2"/>
  <c r="N241" i="2"/>
  <c r="N239" i="2"/>
  <c r="N191" i="2"/>
  <c r="N189" i="2"/>
  <c r="G141" i="2"/>
  <c r="H141" i="2" s="1"/>
  <c r="I141" i="2" s="1"/>
  <c r="J141" i="2" s="1"/>
  <c r="K141" i="2" s="1"/>
  <c r="L141" i="2" s="1"/>
  <c r="M141" i="2" s="1"/>
  <c r="N141" i="2" s="1"/>
  <c r="N764" i="2" s="1"/>
  <c r="G121" i="2"/>
  <c r="H121" i="2" s="1"/>
  <c r="I121" i="2" s="1"/>
  <c r="J121" i="2" s="1"/>
  <c r="K121" i="2" s="1"/>
  <c r="L121" i="2" s="1"/>
  <c r="M121" i="2" s="1"/>
  <c r="N121" i="2" s="1"/>
  <c r="N756" i="2" s="1"/>
  <c r="C104" i="2"/>
  <c r="K629" i="2"/>
  <c r="K1136" i="2"/>
  <c r="G1219" i="2"/>
  <c r="G1216" i="2" s="1"/>
  <c r="H808" i="2"/>
  <c r="I808" i="2" s="1"/>
  <c r="J808" i="2" s="1"/>
  <c r="K808" i="2" s="1"/>
  <c r="L808" i="2" s="1"/>
  <c r="M808" i="2" s="1"/>
  <c r="N808" i="2" s="1"/>
  <c r="A30" i="8"/>
  <c r="J1211" i="2"/>
  <c r="J1207" i="2"/>
  <c r="J1218" i="2" s="1"/>
  <c r="J1222" i="2" s="1"/>
  <c r="H1211" i="2"/>
  <c r="H1207" i="2"/>
  <c r="H1218" i="2" s="1"/>
  <c r="H1222" i="2" s="1"/>
  <c r="N291" i="2"/>
  <c r="N289" i="2"/>
  <c r="G101" i="2"/>
  <c r="H101" i="2" s="1"/>
  <c r="I101" i="2" s="1"/>
  <c r="J101" i="2" s="1"/>
  <c r="K101" i="2" s="1"/>
  <c r="L101" i="2" s="1"/>
  <c r="M101" i="2" s="1"/>
  <c r="N101" i="2" s="1"/>
  <c r="N747" i="2" s="1"/>
  <c r="G81" i="2"/>
  <c r="H81" i="2" s="1"/>
  <c r="I81" i="2" s="1"/>
  <c r="J81" i="2" s="1"/>
  <c r="K81" i="2" s="1"/>
  <c r="L81" i="2" s="1"/>
  <c r="M81" i="2" s="1"/>
  <c r="N81" i="2" s="1"/>
  <c r="G61" i="2"/>
  <c r="H61" i="2" s="1"/>
  <c r="I61" i="2" s="1"/>
  <c r="J61" i="2" s="1"/>
  <c r="K61" i="2" s="1"/>
  <c r="L61" i="2" s="1"/>
  <c r="M61" i="2" s="1"/>
  <c r="N61" i="2" s="1"/>
  <c r="N731" i="2" s="1"/>
  <c r="M1136" i="2"/>
  <c r="H809" i="2"/>
  <c r="I809" i="2" s="1"/>
  <c r="J809" i="2" s="1"/>
  <c r="K809" i="2" s="1"/>
  <c r="L809" i="2" s="1"/>
  <c r="M809" i="2" s="1"/>
  <c r="N809" i="2" s="1"/>
  <c r="A18" i="8"/>
  <c r="I1211" i="2"/>
  <c r="I1207" i="2"/>
  <c r="I1218" i="2" s="1"/>
  <c r="I1222" i="2" s="1"/>
  <c r="N221" i="2"/>
  <c r="N219" i="2"/>
  <c r="N171" i="2"/>
  <c r="N169" i="2"/>
  <c r="C154" i="2"/>
  <c r="G41" i="2"/>
  <c r="H41" i="2" s="1"/>
  <c r="I41" i="2" s="1"/>
  <c r="J41" i="2" s="1"/>
  <c r="K41" i="2" s="1"/>
  <c r="L41" i="2" s="1"/>
  <c r="M41" i="2" s="1"/>
  <c r="N41" i="2" s="1"/>
  <c r="N722" i="2" s="1"/>
  <c r="G21" i="2"/>
  <c r="H21" i="2" s="1"/>
  <c r="I21" i="2" s="1"/>
  <c r="J21" i="2" s="1"/>
  <c r="K21" i="2" s="1"/>
  <c r="L21" i="2" s="1"/>
  <c r="M21" i="2" s="1"/>
  <c r="N21" i="2" s="1"/>
  <c r="H818" i="2"/>
  <c r="I818" i="2" s="1"/>
  <c r="J818" i="2" s="1"/>
  <c r="K818" i="2" s="1"/>
  <c r="L818" i="2" s="1"/>
  <c r="M818" i="2" s="1"/>
  <c r="H1214" i="2"/>
  <c r="A2" i="8"/>
  <c r="G1207" i="2"/>
  <c r="G1218" i="2" s="1"/>
  <c r="G1222" i="2" s="1"/>
  <c r="G1211" i="2"/>
  <c r="N271" i="2"/>
  <c r="N269" i="2"/>
  <c r="N201" i="2"/>
  <c r="N199" i="2"/>
  <c r="N151" i="2"/>
  <c r="N149" i="2"/>
  <c r="H662" i="2"/>
  <c r="H1136" i="2"/>
  <c r="L670" i="2"/>
  <c r="K319" i="2"/>
  <c r="K318" i="2" s="1"/>
  <c r="G715" i="2"/>
  <c r="N319" i="2"/>
  <c r="N670" i="2" s="1"/>
  <c r="J454" i="2"/>
  <c r="F756" i="2"/>
  <c r="F755" i="2" s="1"/>
  <c r="K454" i="2"/>
  <c r="J114" i="5"/>
  <c r="J115" i="5" s="1"/>
  <c r="F718" i="2"/>
  <c r="F717" i="2" s="1"/>
  <c r="N327" i="2"/>
  <c r="H431" i="2"/>
  <c r="M327" i="2"/>
  <c r="F714" i="2"/>
  <c r="F713" i="2" s="1"/>
  <c r="F752" i="2"/>
  <c r="F751" i="2" s="1"/>
  <c r="K327" i="2"/>
  <c r="F722" i="2"/>
  <c r="F721" i="2" s="1"/>
  <c r="F760" i="2"/>
  <c r="F759" i="2" s="1"/>
  <c r="J327" i="2"/>
  <c r="F726" i="2"/>
  <c r="F725" i="2" s="1"/>
  <c r="F764" i="2"/>
  <c r="F763" i="2" s="1"/>
  <c r="L327" i="2"/>
  <c r="I327" i="2"/>
  <c r="F731" i="2"/>
  <c r="F730" i="2" s="1"/>
  <c r="G735" i="2"/>
  <c r="G734" i="2" s="1"/>
  <c r="F743" i="2"/>
  <c r="F742" i="2" s="1"/>
  <c r="H327" i="2"/>
  <c r="F735" i="2"/>
  <c r="F734" i="2" s="1"/>
  <c r="F322" i="2"/>
  <c r="M735" i="2"/>
  <c r="F739" i="2"/>
  <c r="F738" i="2" s="1"/>
  <c r="F327" i="2"/>
  <c r="L735" i="2"/>
  <c r="F747" i="2"/>
  <c r="F746" i="2" s="1"/>
  <c r="H801" i="2"/>
  <c r="I801" i="2" s="1"/>
  <c r="J801" i="2" s="1"/>
  <c r="K801" i="2" s="1"/>
  <c r="L801" i="2" s="1"/>
  <c r="M801" i="2" s="1"/>
  <c r="N801" i="2" s="1"/>
  <c r="G821" i="2"/>
  <c r="H821" i="2" s="1"/>
  <c r="I821" i="2" s="1"/>
  <c r="J821" i="2" s="1"/>
  <c r="K821" i="2" s="1"/>
  <c r="L821" i="2" s="1"/>
  <c r="M821" i="2" s="1"/>
  <c r="N821" i="2" s="1"/>
  <c r="G670" i="2"/>
  <c r="J456" i="2"/>
  <c r="J640" i="2" s="1"/>
  <c r="H669" i="2"/>
  <c r="G753" i="2"/>
  <c r="J548" i="2"/>
  <c r="I548" i="2"/>
  <c r="G769" i="2"/>
  <c r="G771" i="2"/>
  <c r="H771" i="2" s="1"/>
  <c r="I771" i="2" s="1"/>
  <c r="J771" i="2" s="1"/>
  <c r="K771" i="2" s="1"/>
  <c r="L771" i="2" s="1"/>
  <c r="M771" i="2" s="1"/>
  <c r="G772" i="2"/>
  <c r="H772" i="2" s="1"/>
  <c r="I772" i="2" s="1"/>
  <c r="J772" i="2" s="1"/>
  <c r="K772" i="2" s="1"/>
  <c r="L772" i="2" s="1"/>
  <c r="M772" i="2" s="1"/>
  <c r="G773" i="2"/>
  <c r="H773" i="2" s="1"/>
  <c r="I773" i="2" s="1"/>
  <c r="J773" i="2" s="1"/>
  <c r="K773" i="2" s="1"/>
  <c r="L773" i="2" s="1"/>
  <c r="M773" i="2" s="1"/>
  <c r="G795" i="2"/>
  <c r="H795" i="2" s="1"/>
  <c r="I795" i="2" s="1"/>
  <c r="G796" i="2"/>
  <c r="H796" i="2" s="1"/>
  <c r="G807" i="2"/>
  <c r="H807" i="2" s="1"/>
  <c r="I807" i="2" s="1"/>
  <c r="J807" i="2" s="1"/>
  <c r="K807" i="2" s="1"/>
  <c r="L807" i="2" s="1"/>
  <c r="M807" i="2" s="1"/>
  <c r="N807" i="2" s="1"/>
  <c r="G810" i="2"/>
  <c r="G813" i="2"/>
  <c r="H813" i="2" s="1"/>
  <c r="I813" i="2" s="1"/>
  <c r="J813" i="2" s="1"/>
  <c r="K813" i="2" s="1"/>
  <c r="L813" i="2" s="1"/>
  <c r="M813" i="2" s="1"/>
  <c r="N813" i="2" s="1"/>
  <c r="G816" i="2"/>
  <c r="G817" i="2"/>
  <c r="H817" i="2" s="1"/>
  <c r="I817" i="2" s="1"/>
  <c r="J817" i="2" s="1"/>
  <c r="K817" i="2" s="1"/>
  <c r="L817" i="2" s="1"/>
  <c r="M817" i="2" s="1"/>
  <c r="M613" i="2" s="1"/>
  <c r="N614" i="2" s="1"/>
  <c r="G819" i="2"/>
  <c r="H819" i="2" s="1"/>
  <c r="I819" i="2" s="1"/>
  <c r="J819" i="2" s="1"/>
  <c r="K819" i="2" s="1"/>
  <c r="L819" i="2" s="1"/>
  <c r="M819" i="2" s="1"/>
  <c r="H548" i="2"/>
  <c r="G797" i="2"/>
  <c r="H797" i="2" s="1"/>
  <c r="J387" i="2"/>
  <c r="N1082" i="2"/>
  <c r="N904" i="2"/>
  <c r="A6" i="8"/>
  <c r="H1036" i="2"/>
  <c r="A54" i="8"/>
  <c r="L1036" i="2"/>
  <c r="G1089" i="2"/>
  <c r="G1087" i="2" s="1"/>
  <c r="G904" i="2"/>
  <c r="G905" i="2" s="1"/>
  <c r="G470" i="2"/>
  <c r="G651" i="2" s="1"/>
  <c r="I420" i="2"/>
  <c r="K414" i="2"/>
  <c r="H411" i="2"/>
  <c r="M408" i="2"/>
  <c r="J405" i="2"/>
  <c r="G402" i="2"/>
  <c r="L399" i="2"/>
  <c r="I396" i="2"/>
  <c r="K390" i="2"/>
  <c r="H387" i="2"/>
  <c r="C24" i="2"/>
  <c r="K662" i="2"/>
  <c r="J700" i="2"/>
  <c r="J696" i="2" s="1"/>
  <c r="M441" i="2"/>
  <c r="G427" i="2"/>
  <c r="H420" i="2"/>
  <c r="M417" i="2"/>
  <c r="J414" i="2"/>
  <c r="G411" i="2"/>
  <c r="L408" i="2"/>
  <c r="I405" i="2"/>
  <c r="K399" i="2"/>
  <c r="H396" i="2"/>
  <c r="M393" i="2"/>
  <c r="J390" i="2"/>
  <c r="G387" i="2"/>
  <c r="H497" i="2"/>
  <c r="H496" i="2" s="1"/>
  <c r="L1070" i="2"/>
  <c r="M1070" i="2" s="1"/>
  <c r="N1070" i="2" s="1"/>
  <c r="N1063" i="2" s="1"/>
  <c r="G1036" i="2"/>
  <c r="M627" i="2"/>
  <c r="G456" i="2"/>
  <c r="G640" i="2" s="1"/>
  <c r="L441" i="2"/>
  <c r="G420" i="2"/>
  <c r="L417" i="2"/>
  <c r="I414" i="2"/>
  <c r="K408" i="2"/>
  <c r="H405" i="2"/>
  <c r="M402" i="2"/>
  <c r="J399" i="2"/>
  <c r="G396" i="2"/>
  <c r="L393" i="2"/>
  <c r="I390" i="2"/>
  <c r="N17" i="2"/>
  <c r="M11" i="2"/>
  <c r="M669" i="2"/>
  <c r="J431" i="2"/>
  <c r="M1063" i="2"/>
  <c r="G826" i="2"/>
  <c r="M709" i="2"/>
  <c r="L627" i="2"/>
  <c r="K417" i="2"/>
  <c r="H414" i="2"/>
  <c r="M411" i="2"/>
  <c r="J408" i="2"/>
  <c r="G405" i="2"/>
  <c r="L402" i="2"/>
  <c r="I399" i="2"/>
  <c r="K393" i="2"/>
  <c r="H390" i="2"/>
  <c r="M387" i="2"/>
  <c r="K497" i="2"/>
  <c r="K496" i="2" s="1"/>
  <c r="M662" i="2"/>
  <c r="L1063" i="2"/>
  <c r="L709" i="2"/>
  <c r="G700" i="2"/>
  <c r="M420" i="2"/>
  <c r="J417" i="2"/>
  <c r="G414" i="2"/>
  <c r="L411" i="2"/>
  <c r="I408" i="2"/>
  <c r="K402" i="2"/>
  <c r="H399" i="2"/>
  <c r="M396" i="2"/>
  <c r="J393" i="2"/>
  <c r="G390" i="2"/>
  <c r="L387" i="2"/>
  <c r="M456" i="2"/>
  <c r="M640" i="2" s="1"/>
  <c r="I662" i="2"/>
  <c r="L420" i="2"/>
  <c r="I417" i="2"/>
  <c r="K411" i="2"/>
  <c r="H408" i="2"/>
  <c r="M405" i="2"/>
  <c r="J402" i="2"/>
  <c r="G399" i="2"/>
  <c r="L396" i="2"/>
  <c r="I393" i="2"/>
  <c r="K387" i="2"/>
  <c r="M842" i="2"/>
  <c r="M539" i="2"/>
  <c r="G487" i="2"/>
  <c r="G488" i="2" s="1"/>
  <c r="K420" i="2"/>
  <c r="H417" i="2"/>
  <c r="M414" i="2"/>
  <c r="J411" i="2"/>
  <c r="G408" i="2"/>
  <c r="L405" i="2"/>
  <c r="I402" i="2"/>
  <c r="K396" i="2"/>
  <c r="H393" i="2"/>
  <c r="M390" i="2"/>
  <c r="J335" i="2"/>
  <c r="C84" i="2"/>
  <c r="L431" i="2"/>
  <c r="G682" i="2"/>
  <c r="G692" i="2" s="1"/>
  <c r="G1223" i="2" s="1"/>
  <c r="G1220" i="2" s="1"/>
  <c r="M1087" i="2"/>
  <c r="G594" i="2"/>
  <c r="H1087" i="2"/>
  <c r="K1087" i="2"/>
  <c r="G572" i="2"/>
  <c r="L1087" i="2"/>
  <c r="F557" i="2"/>
  <c r="F467" i="2"/>
  <c r="F468" i="2" s="1"/>
  <c r="G468" i="2" s="1"/>
  <c r="I1087" i="2"/>
  <c r="F629" i="2"/>
  <c r="F454" i="2"/>
  <c r="G454" i="2" s="1"/>
  <c r="H454" i="2" s="1"/>
  <c r="G416" i="2"/>
  <c r="G418" i="2" s="1"/>
  <c r="G787" i="2" s="1"/>
  <c r="K546" i="2"/>
  <c r="G410" i="2"/>
  <c r="N1087" i="2"/>
  <c r="G407" i="2"/>
  <c r="F553" i="2"/>
  <c r="G1019" i="2"/>
  <c r="G423" i="2"/>
  <c r="G426" i="2" s="1"/>
  <c r="G789" i="2" s="1"/>
  <c r="G395" i="2"/>
  <c r="G389" i="2"/>
  <c r="J1087" i="2"/>
  <c r="N488" i="2"/>
  <c r="N486" i="2" s="1"/>
  <c r="H343" i="2"/>
  <c r="H598" i="2"/>
  <c r="H580" i="2"/>
  <c r="H610" i="2"/>
  <c r="F549" i="2"/>
  <c r="H602" i="2"/>
  <c r="H588" i="2"/>
  <c r="H576" i="2"/>
  <c r="G413" i="2"/>
  <c r="G386" i="2"/>
  <c r="H1012" i="2"/>
  <c r="H15" i="2" s="1"/>
  <c r="H606" i="2"/>
  <c r="G404" i="2"/>
  <c r="G401" i="2"/>
  <c r="F545" i="2"/>
  <c r="G419" i="2"/>
  <c r="G392" i="2"/>
  <c r="G394" i="2" s="1"/>
  <c r="G779" i="2" s="1"/>
  <c r="H584" i="2"/>
  <c r="H554" i="2"/>
  <c r="H550" i="2"/>
  <c r="G398" i="2"/>
  <c r="G347" i="2"/>
  <c r="F684" i="2"/>
  <c r="F681" i="2" s="1"/>
  <c r="H558" i="2"/>
  <c r="B541" i="2"/>
  <c r="F586" i="2"/>
  <c r="F590" i="2"/>
  <c r="F578" i="2"/>
  <c r="B571" i="2"/>
  <c r="F591" i="2"/>
  <c r="F666" i="2" s="1"/>
  <c r="F582" i="2"/>
  <c r="H1019" i="2"/>
  <c r="I354" i="2"/>
  <c r="I347" i="2" s="1"/>
  <c r="B593" i="2"/>
  <c r="M629" i="2"/>
  <c r="M454" i="2"/>
  <c r="D715" i="2"/>
  <c r="D732" i="2"/>
  <c r="D753" i="2"/>
  <c r="D765" i="2"/>
  <c r="D719" i="2"/>
  <c r="D744" i="2"/>
  <c r="D757" i="2"/>
  <c r="D736" i="2"/>
  <c r="D748" i="2"/>
  <c r="D723" i="2"/>
  <c r="D727" i="2"/>
  <c r="D740" i="2"/>
  <c r="D761" i="2"/>
  <c r="C60" i="8"/>
  <c r="C54" i="8"/>
  <c r="C36" i="8"/>
  <c r="D12" i="8"/>
  <c r="C42" i="8"/>
  <c r="C24" i="8"/>
  <c r="B60" i="8"/>
  <c r="B48" i="8"/>
  <c r="C30" i="8"/>
  <c r="C12" i="8"/>
  <c r="C66" i="8"/>
  <c r="G48" i="8"/>
  <c r="B36" i="8"/>
  <c r="C18" i="8"/>
  <c r="G36" i="8"/>
  <c r="B24" i="8"/>
  <c r="D48" i="8"/>
  <c r="G24" i="8"/>
  <c r="B12" i="8"/>
  <c r="G60" i="8"/>
  <c r="D36" i="8"/>
  <c r="G12" i="8"/>
  <c r="D60" i="8"/>
  <c r="C48" i="8"/>
  <c r="D24" i="8"/>
  <c r="M470" i="2"/>
  <c r="M651" i="2" s="1"/>
  <c r="L669" i="2"/>
  <c r="I470" i="2"/>
  <c r="I651" i="2" s="1"/>
  <c r="I602" i="2"/>
  <c r="I456" i="2"/>
  <c r="I640" i="2" s="1"/>
  <c r="C304" i="2"/>
  <c r="C204" i="2"/>
  <c r="L1012" i="2"/>
  <c r="L15" i="2" s="1"/>
  <c r="I669" i="2"/>
  <c r="G1012" i="2"/>
  <c r="F619" i="2"/>
  <c r="F667" i="2" s="1"/>
  <c r="F569" i="2"/>
  <c r="F540" i="2" s="1"/>
  <c r="G540" i="2" s="1"/>
  <c r="I1012" i="2"/>
  <c r="I15" i="2" s="1"/>
  <c r="P4" i="46"/>
  <c r="G542" i="2"/>
  <c r="F811" i="2"/>
  <c r="F822" i="2" s="1"/>
  <c r="F804" i="2" s="1"/>
  <c r="C264" i="2"/>
  <c r="C244" i="2"/>
  <c r="C124" i="2"/>
  <c r="L470" i="2"/>
  <c r="L651" i="2" s="1"/>
  <c r="K470" i="2"/>
  <c r="K651" i="2" s="1"/>
  <c r="F621" i="2"/>
  <c r="K351" i="2"/>
  <c r="I1017" i="2"/>
  <c r="J1017" i="2"/>
  <c r="K1017" i="2"/>
  <c r="L1017" i="2"/>
  <c r="M1017" i="2"/>
  <c r="H347" i="2"/>
  <c r="J1012" i="2"/>
  <c r="J15" i="2" s="1"/>
  <c r="C34" i="2"/>
  <c r="C74" i="2"/>
  <c r="C114" i="2"/>
  <c r="C164" i="2"/>
  <c r="C54" i="2"/>
  <c r="C94" i="2"/>
  <c r="C134" i="2"/>
  <c r="H1060" i="2"/>
  <c r="M1060" i="2"/>
  <c r="H1059" i="2"/>
  <c r="H1168" i="2" s="1"/>
  <c r="I1059" i="2"/>
  <c r="I1168" i="2" s="1"/>
  <c r="J1059" i="2"/>
  <c r="J1168" i="2" s="1"/>
  <c r="K1059" i="2"/>
  <c r="K1168" i="2" s="1"/>
  <c r="L1059" i="2"/>
  <c r="L1168" i="2" s="1"/>
  <c r="M1059" i="2"/>
  <c r="M1168" i="2" s="1"/>
  <c r="L1060" i="2"/>
  <c r="K1060" i="2"/>
  <c r="J1060" i="2"/>
  <c r="H337" i="2"/>
  <c r="I1060" i="2"/>
  <c r="N616" i="2"/>
  <c r="L662" i="2"/>
  <c r="J470" i="2"/>
  <c r="I431" i="2"/>
  <c r="H456" i="2"/>
  <c r="N682" i="2"/>
  <c r="K456" i="2"/>
  <c r="G430" i="2"/>
  <c r="N470" i="2"/>
  <c r="N651" i="2" s="1"/>
  <c r="M431" i="2"/>
  <c r="L456" i="2"/>
  <c r="J669" i="2"/>
  <c r="K669" i="2"/>
  <c r="N568" i="2"/>
  <c r="N456" i="2"/>
  <c r="N640" i="2" s="1"/>
  <c r="W2" i="54"/>
  <c r="C2" i="54"/>
  <c r="D46" i="52"/>
  <c r="H11" i="51"/>
  <c r="D24" i="51"/>
  <c r="D18" i="51"/>
  <c r="C686" i="50"/>
  <c r="B677" i="50"/>
  <c r="B676" i="50"/>
  <c r="B675" i="50"/>
  <c r="J735" i="2" l="1"/>
  <c r="K735" i="2"/>
  <c r="N818" i="2"/>
  <c r="J722" i="2"/>
  <c r="G718" i="2"/>
  <c r="G717" i="2" s="1"/>
  <c r="I718" i="2"/>
  <c r="K718" i="2"/>
  <c r="M718" i="2"/>
  <c r="H718" i="2"/>
  <c r="J718" i="2"/>
  <c r="L718" i="2"/>
  <c r="M743" i="2"/>
  <c r="L743" i="2"/>
  <c r="G743" i="2"/>
  <c r="G742" i="2" s="1"/>
  <c r="K743" i="2"/>
  <c r="L731" i="2"/>
  <c r="J743" i="2"/>
  <c r="I743" i="2"/>
  <c r="H743" i="2"/>
  <c r="H722" i="2"/>
  <c r="K731" i="2"/>
  <c r="L756" i="2"/>
  <c r="M756" i="2"/>
  <c r="J756" i="2"/>
  <c r="L722" i="2"/>
  <c r="G731" i="2"/>
  <c r="G730" i="2" s="1"/>
  <c r="I735" i="2"/>
  <c r="M731" i="2"/>
  <c r="H756" i="2"/>
  <c r="K756" i="2"/>
  <c r="G756" i="2"/>
  <c r="G755" i="2" s="1"/>
  <c r="I760" i="2"/>
  <c r="K726" i="2"/>
  <c r="H747" i="2"/>
  <c r="L760" i="2"/>
  <c r="H735" i="2"/>
  <c r="G764" i="2"/>
  <c r="G763" i="2" s="1"/>
  <c r="I726" i="2"/>
  <c r="I731" i="2"/>
  <c r="L454" i="2"/>
  <c r="J760" i="2"/>
  <c r="I747" i="2"/>
  <c r="I764" i="2"/>
  <c r="I756" i="2"/>
  <c r="L726" i="2"/>
  <c r="K747" i="2"/>
  <c r="H760" i="2"/>
  <c r="G760" i="2"/>
  <c r="G759" i="2" s="1"/>
  <c r="G747" i="2"/>
  <c r="G746" i="2" s="1"/>
  <c r="J726" i="2"/>
  <c r="L764" i="2"/>
  <c r="M726" i="2"/>
  <c r="M760" i="2"/>
  <c r="G726" i="2"/>
  <c r="G725" i="2" s="1"/>
  <c r="K764" i="2"/>
  <c r="H764" i="2"/>
  <c r="K760" i="2"/>
  <c r="H726" i="2"/>
  <c r="M747" i="2"/>
  <c r="L747" i="2"/>
  <c r="J764" i="2"/>
  <c r="M764" i="2"/>
  <c r="J747" i="2"/>
  <c r="I454" i="2"/>
  <c r="L752" i="2"/>
  <c r="G752" i="2"/>
  <c r="I752" i="2"/>
  <c r="K752" i="2"/>
  <c r="M752" i="2"/>
  <c r="H752" i="2"/>
  <c r="J752" i="2"/>
  <c r="M1012" i="2"/>
  <c r="M15" i="2" s="1"/>
  <c r="J1210" i="2"/>
  <c r="J1206" i="2"/>
  <c r="J1217" i="2" s="1"/>
  <c r="J1221" i="2" s="1"/>
  <c r="K1206" i="2"/>
  <c r="K1217" i="2" s="1"/>
  <c r="K1221" i="2" s="1"/>
  <c r="K1210" i="2"/>
  <c r="M1206" i="2"/>
  <c r="M1217" i="2" s="1"/>
  <c r="M1221" i="2" s="1"/>
  <c r="M1210" i="2"/>
  <c r="L1206" i="2"/>
  <c r="L1217" i="2" s="1"/>
  <c r="L1221" i="2" s="1"/>
  <c r="L1210" i="2"/>
  <c r="H1210" i="2"/>
  <c r="H1206" i="2"/>
  <c r="H1217" i="2" s="1"/>
  <c r="H1221" i="2" s="1"/>
  <c r="G322" i="2"/>
  <c r="M722" i="2"/>
  <c r="J731" i="2"/>
  <c r="G714" i="2"/>
  <c r="G713" i="2" s="1"/>
  <c r="G739" i="2"/>
  <c r="G738" i="2" s="1"/>
  <c r="G722" i="2"/>
  <c r="G721" i="2" s="1"/>
  <c r="I1210" i="2"/>
  <c r="I1206" i="2"/>
  <c r="I1217" i="2" s="1"/>
  <c r="I1221" i="2" s="1"/>
  <c r="I722" i="2"/>
  <c r="H731" i="2"/>
  <c r="K722" i="2"/>
  <c r="G397" i="2"/>
  <c r="G780" i="2" s="1"/>
  <c r="G812" i="2"/>
  <c r="G613" i="2"/>
  <c r="L613" i="2"/>
  <c r="J467" i="2"/>
  <c r="J468" i="2" s="1"/>
  <c r="J469" i="2" s="1"/>
  <c r="G409" i="2"/>
  <c r="G784" i="2" s="1"/>
  <c r="H340" i="2"/>
  <c r="H338" i="2"/>
  <c r="H810" i="2"/>
  <c r="I810" i="2" s="1"/>
  <c r="J810" i="2" s="1"/>
  <c r="K810" i="2" s="1"/>
  <c r="L810" i="2" s="1"/>
  <c r="M810" i="2" s="1"/>
  <c r="N810" i="2" s="1"/>
  <c r="M467" i="2"/>
  <c r="M483" i="2" s="1"/>
  <c r="M484" i="2" s="1"/>
  <c r="M485" i="2" s="1"/>
  <c r="G681" i="2"/>
  <c r="I343" i="2"/>
  <c r="G751" i="2"/>
  <c r="F712" i="2"/>
  <c r="G412" i="2"/>
  <c r="G785" i="2" s="1"/>
  <c r="J117" i="5"/>
  <c r="J120" i="5"/>
  <c r="I604" i="2"/>
  <c r="F750" i="2"/>
  <c r="F729" i="2"/>
  <c r="G815" i="2"/>
  <c r="H714" i="2"/>
  <c r="H322" i="2"/>
  <c r="H739" i="2"/>
  <c r="G415" i="2"/>
  <c r="G786" i="2" s="1"/>
  <c r="G421" i="2"/>
  <c r="G788" i="2" s="1"/>
  <c r="G400" i="2"/>
  <c r="G781" i="2" s="1"/>
  <c r="G486" i="2"/>
  <c r="I797" i="2"/>
  <c r="I340" i="2"/>
  <c r="I339" i="2"/>
  <c r="I796" i="2"/>
  <c r="J796" i="2" s="1"/>
  <c r="K796" i="2" s="1"/>
  <c r="L796" i="2" s="1"/>
  <c r="M796" i="2" s="1"/>
  <c r="N796" i="2" s="1"/>
  <c r="J338" i="2"/>
  <c r="J795" i="2"/>
  <c r="K795" i="2" s="1"/>
  <c r="L795" i="2" s="1"/>
  <c r="M795" i="2" s="1"/>
  <c r="N795" i="2" s="1"/>
  <c r="H741" i="2"/>
  <c r="H740" i="2" s="1"/>
  <c r="I741" i="2" s="1"/>
  <c r="H766" i="2"/>
  <c r="H765" i="2" s="1"/>
  <c r="I558" i="2"/>
  <c r="I560" i="2" s="1"/>
  <c r="H560" i="2"/>
  <c r="I584" i="2"/>
  <c r="I586" i="2" s="1"/>
  <c r="L546" i="2"/>
  <c r="L548" i="2" s="1"/>
  <c r="H594" i="2"/>
  <c r="H596" i="2" s="1"/>
  <c r="H619" i="2" s="1"/>
  <c r="H667" i="2" s="1"/>
  <c r="H728" i="2"/>
  <c r="H727" i="2" s="1"/>
  <c r="I728" i="2" s="1"/>
  <c r="H754" i="2"/>
  <c r="H753" i="2" s="1"/>
  <c r="I610" i="2"/>
  <c r="I612" i="2" s="1"/>
  <c r="H612" i="2"/>
  <c r="H745" i="2"/>
  <c r="H744" i="2" s="1"/>
  <c r="H742" i="2" s="1"/>
  <c r="I606" i="2"/>
  <c r="I608" i="2" s="1"/>
  <c r="H542" i="2"/>
  <c r="H544" i="2" s="1"/>
  <c r="H569" i="2" s="1"/>
  <c r="H724" i="2"/>
  <c r="H723" i="2" s="1"/>
  <c r="I724" i="2" s="1"/>
  <c r="I487" i="2" s="1"/>
  <c r="H733" i="2"/>
  <c r="H732" i="2" s="1"/>
  <c r="I733" i="2" s="1"/>
  <c r="H586" i="2"/>
  <c r="I576" i="2"/>
  <c r="I578" i="2" s="1"/>
  <c r="H578" i="2"/>
  <c r="I580" i="2"/>
  <c r="I582" i="2" s="1"/>
  <c r="N817" i="2"/>
  <c r="H604" i="2"/>
  <c r="H716" i="2"/>
  <c r="F469" i="2"/>
  <c r="H737" i="2"/>
  <c r="H736" i="2" s="1"/>
  <c r="I737" i="2" s="1"/>
  <c r="G403" i="2"/>
  <c r="G782" i="2" s="1"/>
  <c r="I598" i="2"/>
  <c r="I600" i="2" s="1"/>
  <c r="H600" i="2"/>
  <c r="H572" i="2"/>
  <c r="H574" i="2" s="1"/>
  <c r="H591" i="2" s="1"/>
  <c r="H608" i="2"/>
  <c r="H758" i="2"/>
  <c r="H757" i="2" s="1"/>
  <c r="I550" i="2"/>
  <c r="I552" i="2" s="1"/>
  <c r="H552" i="2"/>
  <c r="G406" i="2"/>
  <c r="G783" i="2" s="1"/>
  <c r="I588" i="2"/>
  <c r="I590" i="2" s="1"/>
  <c r="H590" i="2"/>
  <c r="H749" i="2"/>
  <c r="H748" i="2" s="1"/>
  <c r="H746" i="2" s="1"/>
  <c r="K548" i="2"/>
  <c r="H582" i="2"/>
  <c r="J602" i="2"/>
  <c r="J604" i="2" s="1"/>
  <c r="H762" i="2"/>
  <c r="H761" i="2" s="1"/>
  <c r="I762" i="2" s="1"/>
  <c r="H720" i="2"/>
  <c r="H719" i="2" s="1"/>
  <c r="H717" i="2" s="1"/>
  <c r="I554" i="2"/>
  <c r="I556" i="2" s="1"/>
  <c r="H556" i="2"/>
  <c r="G617" i="2"/>
  <c r="G563" i="2"/>
  <c r="H563" i="2" s="1"/>
  <c r="I563" i="2" s="1"/>
  <c r="J563" i="2" s="1"/>
  <c r="K563" i="2" s="1"/>
  <c r="L563" i="2" s="1"/>
  <c r="M563" i="2" s="1"/>
  <c r="N564" i="2" s="1"/>
  <c r="N772" i="2" s="1"/>
  <c r="G391" i="2"/>
  <c r="G778" i="2" s="1"/>
  <c r="J613" i="2"/>
  <c r="H339" i="2"/>
  <c r="H613" i="2"/>
  <c r="N539" i="2"/>
  <c r="N842" i="2"/>
  <c r="N709" i="2"/>
  <c r="N627" i="2"/>
  <c r="N441" i="2"/>
  <c r="N1017" i="2" s="1"/>
  <c r="G565" i="2"/>
  <c r="G388" i="2"/>
  <c r="G777" i="2" s="1"/>
  <c r="I613" i="2"/>
  <c r="K613" i="2"/>
  <c r="G561" i="2"/>
  <c r="F491" i="2"/>
  <c r="F483" i="2"/>
  <c r="F484" i="2" s="1"/>
  <c r="G484" i="2" s="1"/>
  <c r="F485" i="2"/>
  <c r="F508" i="2"/>
  <c r="I338" i="2"/>
  <c r="N584" i="2"/>
  <c r="F665" i="2"/>
  <c r="N572" i="2"/>
  <c r="N588" i="2"/>
  <c r="G385" i="2"/>
  <c r="G422" i="2" s="1"/>
  <c r="F24" i="8"/>
  <c r="H24" i="8" s="1"/>
  <c r="E24" i="8"/>
  <c r="F12" i="8"/>
  <c r="H12" i="8" s="1"/>
  <c r="E12" i="8"/>
  <c r="F48" i="8"/>
  <c r="H48" i="8" s="1"/>
  <c r="E48" i="8"/>
  <c r="F60" i="8"/>
  <c r="H60" i="8" s="1"/>
  <c r="E60" i="8"/>
  <c r="J354" i="2"/>
  <c r="I1019" i="2"/>
  <c r="F36" i="8"/>
  <c r="H36" i="8" s="1"/>
  <c r="E36" i="8"/>
  <c r="I467" i="2"/>
  <c r="I1061" i="2"/>
  <c r="K1062" i="2"/>
  <c r="K1035" i="2"/>
  <c r="N1060" i="2"/>
  <c r="N1062" i="2" s="1"/>
  <c r="M1035" i="2"/>
  <c r="M1062" i="2"/>
  <c r="L1062" i="2"/>
  <c r="L1035" i="2"/>
  <c r="H1062" i="2"/>
  <c r="H1035" i="2"/>
  <c r="J343" i="2"/>
  <c r="H430" i="2"/>
  <c r="G828" i="2"/>
  <c r="G688" i="2"/>
  <c r="G790" i="2" s="1"/>
  <c r="L1061" i="2"/>
  <c r="K1061" i="2"/>
  <c r="L351" i="2"/>
  <c r="G805" i="2"/>
  <c r="N629" i="2"/>
  <c r="N467" i="2"/>
  <c r="N483" i="2" s="1"/>
  <c r="N489" i="2" s="1"/>
  <c r="K640" i="2"/>
  <c r="K467" i="2"/>
  <c r="H640" i="2"/>
  <c r="H467" i="2"/>
  <c r="I1062" i="2"/>
  <c r="I1035" i="2"/>
  <c r="J1061" i="2"/>
  <c r="G621" i="2"/>
  <c r="F620" i="2"/>
  <c r="F664" i="2" s="1"/>
  <c r="F668" i="2" s="1"/>
  <c r="N1059" i="2"/>
  <c r="N1168" i="2" s="1"/>
  <c r="M1061" i="2"/>
  <c r="I337" i="2"/>
  <c r="J337" i="2" s="1"/>
  <c r="K337" i="2" s="1"/>
  <c r="L337" i="2" s="1"/>
  <c r="M337" i="2" s="1"/>
  <c r="H344" i="2"/>
  <c r="H524" i="2"/>
  <c r="H826" i="2" s="1"/>
  <c r="L640" i="2"/>
  <c r="L467" i="2"/>
  <c r="J651" i="2"/>
  <c r="J1062" i="2"/>
  <c r="J1035" i="2"/>
  <c r="H1061" i="2"/>
  <c r="B455" i="50"/>
  <c r="G16" i="49"/>
  <c r="J47" i="49"/>
  <c r="G17" i="49"/>
  <c r="K338" i="2" l="1"/>
  <c r="G729" i="2"/>
  <c r="J483" i="2"/>
  <c r="H763" i="2"/>
  <c r="G750" i="2"/>
  <c r="H755" i="2"/>
  <c r="G712" i="2"/>
  <c r="H1134" i="2"/>
  <c r="G1202" i="2"/>
  <c r="G1203" i="2"/>
  <c r="G1204" i="2" s="1"/>
  <c r="G1208" i="2" s="1"/>
  <c r="G1205" i="2" s="1"/>
  <c r="H715" i="2"/>
  <c r="I716" i="2" s="1"/>
  <c r="G702" i="2"/>
  <c r="K1012" i="2"/>
  <c r="K15" i="2" s="1"/>
  <c r="H46" i="4" s="1"/>
  <c r="K670" i="2"/>
  <c r="G811" i="2"/>
  <c r="G822" i="2" s="1"/>
  <c r="G804" i="2" s="1"/>
  <c r="J339" i="2"/>
  <c r="G1033" i="2"/>
  <c r="G1025" i="2"/>
  <c r="G1028" i="2"/>
  <c r="M468" i="2"/>
  <c r="M469" i="2" s="1"/>
  <c r="F767" i="2"/>
  <c r="F670" i="2" s="1"/>
  <c r="F675" i="2" s="1"/>
  <c r="H725" i="2"/>
  <c r="H730" i="2"/>
  <c r="H721" i="2"/>
  <c r="F489" i="2"/>
  <c r="F495" i="2" s="1"/>
  <c r="F499" i="2" s="1"/>
  <c r="F506" i="2" s="1"/>
  <c r="F507" i="2" s="1"/>
  <c r="H759" i="2"/>
  <c r="H738" i="2"/>
  <c r="I714" i="2"/>
  <c r="I322" i="2"/>
  <c r="G1026" i="2"/>
  <c r="I745" i="2"/>
  <c r="I744" i="2" s="1"/>
  <c r="I742" i="2" s="1"/>
  <c r="G1030" i="2"/>
  <c r="G1032" i="2"/>
  <c r="G1021" i="2"/>
  <c r="G827" i="2" s="1"/>
  <c r="G1022" i="2"/>
  <c r="G1024" i="2"/>
  <c r="I749" i="2"/>
  <c r="I739" i="2"/>
  <c r="G1029" i="2"/>
  <c r="G1031" i="2"/>
  <c r="G1023" i="2"/>
  <c r="G1027" i="2"/>
  <c r="H770" i="2"/>
  <c r="H540" i="2"/>
  <c r="H665" i="2"/>
  <c r="I758" i="2"/>
  <c r="I757" i="2" s="1"/>
  <c r="I720" i="2"/>
  <c r="I719" i="2" s="1"/>
  <c r="H734" i="2"/>
  <c r="H487" i="2"/>
  <c r="H666" i="2"/>
  <c r="H769" i="2"/>
  <c r="H570" i="2"/>
  <c r="H620" i="2"/>
  <c r="H664" i="2" s="1"/>
  <c r="H668" i="2" s="1"/>
  <c r="H675" i="2" s="1"/>
  <c r="I754" i="2"/>
  <c r="I753" i="2" s="1"/>
  <c r="H751" i="2"/>
  <c r="J598" i="2"/>
  <c r="J600" i="2" s="1"/>
  <c r="I723" i="2"/>
  <c r="J606" i="2"/>
  <c r="J608" i="2" s="1"/>
  <c r="I594" i="2"/>
  <c r="I596" i="2" s="1"/>
  <c r="I619" i="2" s="1"/>
  <c r="I715" i="2"/>
  <c r="J610" i="2"/>
  <c r="J612" i="2" s="1"/>
  <c r="J580" i="2"/>
  <c r="J582" i="2" s="1"/>
  <c r="M546" i="2"/>
  <c r="N548" i="2" s="1"/>
  <c r="N546" i="2" s="1"/>
  <c r="K602" i="2"/>
  <c r="K604" i="2" s="1"/>
  <c r="J550" i="2"/>
  <c r="J797" i="2"/>
  <c r="J340" i="2"/>
  <c r="J554" i="2"/>
  <c r="J556" i="2" s="1"/>
  <c r="I732" i="2"/>
  <c r="I727" i="2"/>
  <c r="I725" i="2" s="1"/>
  <c r="J584" i="2"/>
  <c r="J586" i="2" s="1"/>
  <c r="I572" i="2"/>
  <c r="I574" i="2" s="1"/>
  <c r="I591" i="2" s="1"/>
  <c r="J576" i="2"/>
  <c r="J578" i="2" s="1"/>
  <c r="I748" i="2"/>
  <c r="I542" i="2"/>
  <c r="I544" i="2" s="1"/>
  <c r="I569" i="2" s="1"/>
  <c r="I766" i="2"/>
  <c r="I765" i="2" s="1"/>
  <c r="I761" i="2"/>
  <c r="I759" i="2" s="1"/>
  <c r="J588" i="2"/>
  <c r="J590" i="2" s="1"/>
  <c r="I736" i="2"/>
  <c r="I734" i="2" s="1"/>
  <c r="H592" i="2"/>
  <c r="H816" i="2"/>
  <c r="H815" i="2" s="1"/>
  <c r="J558" i="2"/>
  <c r="J560" i="2" s="1"/>
  <c r="I740" i="2"/>
  <c r="H565" i="2"/>
  <c r="H561" i="2"/>
  <c r="H617" i="2"/>
  <c r="L344" i="2"/>
  <c r="L404" i="2" s="1"/>
  <c r="K344" i="2"/>
  <c r="K386" i="2" s="1"/>
  <c r="N594" i="2"/>
  <c r="I524" i="2"/>
  <c r="I826" i="2" s="1"/>
  <c r="I483" i="2"/>
  <c r="I484" i="2" s="1"/>
  <c r="I485" i="2" s="1"/>
  <c r="I468" i="2"/>
  <c r="I469" i="2" s="1"/>
  <c r="M524" i="2"/>
  <c r="M344" i="2"/>
  <c r="M389" i="2" s="1"/>
  <c r="K354" i="2"/>
  <c r="J1019" i="2"/>
  <c r="J347" i="2"/>
  <c r="L524" i="2"/>
  <c r="I430" i="2"/>
  <c r="H432" i="2"/>
  <c r="H688" i="2"/>
  <c r="H685" i="2" s="1"/>
  <c r="H828" i="2"/>
  <c r="K343" i="2"/>
  <c r="L338" i="2"/>
  <c r="J484" i="2"/>
  <c r="J485" i="2" s="1"/>
  <c r="K524" i="2"/>
  <c r="H483" i="2"/>
  <c r="H468" i="2"/>
  <c r="H469" i="2" s="1"/>
  <c r="N1061" i="2"/>
  <c r="K339" i="2"/>
  <c r="K468" i="2"/>
  <c r="K469" i="2" s="1"/>
  <c r="K483" i="2"/>
  <c r="L483" i="2"/>
  <c r="L468" i="2"/>
  <c r="L469" i="2" s="1"/>
  <c r="J344" i="2"/>
  <c r="I344" i="2"/>
  <c r="N495" i="2"/>
  <c r="N499" i="2" s="1"/>
  <c r="N530" i="2"/>
  <c r="M351" i="2"/>
  <c r="J524" i="2"/>
  <c r="H404" i="2"/>
  <c r="H406" i="2" s="1"/>
  <c r="H783" i="2" s="1"/>
  <c r="H423" i="2"/>
  <c r="H407" i="2"/>
  <c r="H409" i="2" s="1"/>
  <c r="H784" i="2" s="1"/>
  <c r="H386" i="2"/>
  <c r="H410" i="2"/>
  <c r="H412" i="2" s="1"/>
  <c r="H785" i="2" s="1"/>
  <c r="H389" i="2"/>
  <c r="H391" i="2" s="1"/>
  <c r="H778" i="2" s="1"/>
  <c r="H413" i="2"/>
  <c r="H415" i="2" s="1"/>
  <c r="H786" i="2" s="1"/>
  <c r="H392" i="2"/>
  <c r="H394" i="2" s="1"/>
  <c r="H779" i="2" s="1"/>
  <c r="H416" i="2"/>
  <c r="H418" i="2" s="1"/>
  <c r="H787" i="2" s="1"/>
  <c r="H395" i="2"/>
  <c r="H397" i="2" s="1"/>
  <c r="H780" i="2" s="1"/>
  <c r="H419" i="2"/>
  <c r="H421" i="2" s="1"/>
  <c r="H788" i="2" s="1"/>
  <c r="H398" i="2"/>
  <c r="H400" i="2" s="1"/>
  <c r="H781" i="2" s="1"/>
  <c r="H401" i="2"/>
  <c r="H403" i="2" s="1"/>
  <c r="H782" i="2" s="1"/>
  <c r="G23" i="49"/>
  <c r="G23" i="17"/>
  <c r="G23" i="16"/>
  <c r="G23" i="15"/>
  <c r="G23" i="13"/>
  <c r="G23" i="14"/>
  <c r="G23" i="12"/>
  <c r="G23" i="11"/>
  <c r="H108" i="51"/>
  <c r="D102" i="51"/>
  <c r="G767" i="2" l="1"/>
  <c r="G711" i="2" s="1"/>
  <c r="H713" i="2"/>
  <c r="H712" i="2" s="1"/>
  <c r="J46" i="4"/>
  <c r="I46" i="4"/>
  <c r="G46" i="4"/>
  <c r="F46" i="4"/>
  <c r="I1134" i="2"/>
  <c r="I488" i="2" s="1"/>
  <c r="I486" i="2" s="1"/>
  <c r="I489" i="2" s="1"/>
  <c r="I495" i="2" s="1"/>
  <c r="I499" i="2" s="1"/>
  <c r="H1219" i="2"/>
  <c r="H1216" i="2" s="1"/>
  <c r="H1213" i="2"/>
  <c r="B6" i="8"/>
  <c r="E6" i="8" s="1"/>
  <c r="G774" i="2"/>
  <c r="G775" i="2" s="1"/>
  <c r="G703" i="2"/>
  <c r="H729" i="2"/>
  <c r="F490" i="2"/>
  <c r="G490" i="2" s="1"/>
  <c r="H750" i="2"/>
  <c r="I540" i="2"/>
  <c r="F776" i="2"/>
  <c r="F710" i="2" s="1"/>
  <c r="H621" i="2"/>
  <c r="F711" i="2"/>
  <c r="I713" i="2"/>
  <c r="I738" i="2"/>
  <c r="I592" i="2"/>
  <c r="J714" i="2"/>
  <c r="J322" i="2"/>
  <c r="H488" i="2"/>
  <c r="H486" i="2" s="1"/>
  <c r="H489" i="2" s="1"/>
  <c r="J739" i="2"/>
  <c r="I763" i="2"/>
  <c r="J766" i="2"/>
  <c r="J765" i="2" s="1"/>
  <c r="I769" i="2"/>
  <c r="I666" i="2"/>
  <c r="I751" i="2"/>
  <c r="J754" i="2"/>
  <c r="J753" i="2" s="1"/>
  <c r="K550" i="2"/>
  <c r="K552" i="2" s="1"/>
  <c r="J724" i="2"/>
  <c r="J487" i="2" s="1"/>
  <c r="I730" i="2"/>
  <c r="I755" i="2"/>
  <c r="J758" i="2"/>
  <c r="J757" i="2" s="1"/>
  <c r="K554" i="2"/>
  <c r="K556" i="2" s="1"/>
  <c r="L602" i="2"/>
  <c r="L604" i="2" s="1"/>
  <c r="J716" i="2"/>
  <c r="K598" i="2"/>
  <c r="K600" i="2" s="1"/>
  <c r="K588" i="2"/>
  <c r="K590" i="2" s="1"/>
  <c r="J749" i="2"/>
  <c r="J748" i="2" s="1"/>
  <c r="J572" i="2"/>
  <c r="J574" i="2" s="1"/>
  <c r="J591" i="2" s="1"/>
  <c r="M548" i="2"/>
  <c r="J741" i="2"/>
  <c r="J740" i="2" s="1"/>
  <c r="J762" i="2"/>
  <c r="J761" i="2" s="1"/>
  <c r="I717" i="2"/>
  <c r="J720" i="2"/>
  <c r="J719" i="2" s="1"/>
  <c r="I667" i="2"/>
  <c r="I816" i="2"/>
  <c r="I815" i="2" s="1"/>
  <c r="K584" i="2"/>
  <c r="K586" i="2" s="1"/>
  <c r="J594" i="2"/>
  <c r="J596" i="2" s="1"/>
  <c r="J619" i="2" s="1"/>
  <c r="I746" i="2"/>
  <c r="K558" i="2"/>
  <c r="K560" i="2" s="1"/>
  <c r="J728" i="2"/>
  <c r="J727" i="2" s="1"/>
  <c r="K797" i="2"/>
  <c r="K340" i="2"/>
  <c r="K580" i="2"/>
  <c r="K582" i="2" s="1"/>
  <c r="J552" i="2"/>
  <c r="K606" i="2"/>
  <c r="K608" i="2" s="1"/>
  <c r="I570" i="2"/>
  <c r="I665" i="2"/>
  <c r="I770" i="2"/>
  <c r="I620" i="2"/>
  <c r="I664" i="2" s="1"/>
  <c r="I668" i="2" s="1"/>
  <c r="I675" i="2" s="1"/>
  <c r="J733" i="2"/>
  <c r="J732" i="2" s="1"/>
  <c r="K610" i="2"/>
  <c r="K612" i="2" s="1"/>
  <c r="J737" i="2"/>
  <c r="J736" i="2" s="1"/>
  <c r="J542" i="2"/>
  <c r="J544" i="2" s="1"/>
  <c r="J569" i="2" s="1"/>
  <c r="K576" i="2"/>
  <c r="K578" i="2" s="1"/>
  <c r="J745" i="2"/>
  <c r="J744" i="2" s="1"/>
  <c r="J742" i="2" s="1"/>
  <c r="I617" i="2"/>
  <c r="I561" i="2"/>
  <c r="I565" i="2"/>
  <c r="K413" i="2"/>
  <c r="I721" i="2"/>
  <c r="L392" i="2"/>
  <c r="M410" i="2"/>
  <c r="M398" i="2"/>
  <c r="M395" i="2"/>
  <c r="M401" i="2"/>
  <c r="M416" i="2"/>
  <c r="L423" i="2"/>
  <c r="L401" i="2"/>
  <c r="M392" i="2"/>
  <c r="M413" i="2"/>
  <c r="L395" i="2"/>
  <c r="M407" i="2"/>
  <c r="M419" i="2"/>
  <c r="M386" i="2"/>
  <c r="L386" i="2"/>
  <c r="L416" i="2"/>
  <c r="L413" i="2"/>
  <c r="L410" i="2"/>
  <c r="M423" i="2"/>
  <c r="M404" i="2"/>
  <c r="L389" i="2"/>
  <c r="K395" i="2"/>
  <c r="K416" i="2"/>
  <c r="L419" i="2"/>
  <c r="L398" i="2"/>
  <c r="K423" i="2"/>
  <c r="L407" i="2"/>
  <c r="K404" i="2"/>
  <c r="K389" i="2"/>
  <c r="K401" i="2"/>
  <c r="K410" i="2"/>
  <c r="K398" i="2"/>
  <c r="K407" i="2"/>
  <c r="K392" i="2"/>
  <c r="K419" i="2"/>
  <c r="J826" i="2"/>
  <c r="K826" i="2" s="1"/>
  <c r="L826" i="2" s="1"/>
  <c r="M826" i="2" s="1"/>
  <c r="N826" i="2" s="1"/>
  <c r="L354" i="2"/>
  <c r="K347" i="2"/>
  <c r="K1019" i="2"/>
  <c r="F692" i="2"/>
  <c r="I389" i="2"/>
  <c r="I391" i="2" s="1"/>
  <c r="I778" i="2" s="1"/>
  <c r="I413" i="2"/>
  <c r="I415" i="2" s="1"/>
  <c r="I786" i="2" s="1"/>
  <c r="I392" i="2"/>
  <c r="I394" i="2" s="1"/>
  <c r="I779" i="2" s="1"/>
  <c r="I416" i="2"/>
  <c r="I418" i="2" s="1"/>
  <c r="I787" i="2" s="1"/>
  <c r="I423" i="2"/>
  <c r="I395" i="2"/>
  <c r="I397" i="2" s="1"/>
  <c r="I780" i="2" s="1"/>
  <c r="I419" i="2"/>
  <c r="I421" i="2" s="1"/>
  <c r="I788" i="2" s="1"/>
  <c r="I398" i="2"/>
  <c r="I400" i="2" s="1"/>
  <c r="I781" i="2" s="1"/>
  <c r="I401" i="2"/>
  <c r="I403" i="2" s="1"/>
  <c r="I782" i="2" s="1"/>
  <c r="I404" i="2"/>
  <c r="I406" i="2" s="1"/>
  <c r="I783" i="2" s="1"/>
  <c r="I407" i="2"/>
  <c r="I409" i="2" s="1"/>
  <c r="I784" i="2" s="1"/>
  <c r="I386" i="2"/>
  <c r="I410" i="2"/>
  <c r="I412" i="2" s="1"/>
  <c r="I785" i="2" s="1"/>
  <c r="J398" i="2"/>
  <c r="J401" i="2"/>
  <c r="J404" i="2"/>
  <c r="J423" i="2"/>
  <c r="J407" i="2"/>
  <c r="J386" i="2"/>
  <c r="J410" i="2"/>
  <c r="J389" i="2"/>
  <c r="J413" i="2"/>
  <c r="J392" i="2"/>
  <c r="J416" i="2"/>
  <c r="J395" i="2"/>
  <c r="J419" i="2"/>
  <c r="H484" i="2"/>
  <c r="H485" i="2" s="1"/>
  <c r="A483" i="2"/>
  <c r="H684" i="2"/>
  <c r="H1075" i="2"/>
  <c r="H814" i="2" s="1"/>
  <c r="H806" i="2" s="1"/>
  <c r="H385" i="2"/>
  <c r="H388" i="2"/>
  <c r="H521" i="2"/>
  <c r="H682" i="2"/>
  <c r="H790" i="2"/>
  <c r="L484" i="2"/>
  <c r="L485" i="2" s="1"/>
  <c r="L339" i="2"/>
  <c r="I432" i="2"/>
  <c r="I682" i="2" s="1"/>
  <c r="I688" i="2"/>
  <c r="I685" i="2" s="1"/>
  <c r="I684" i="2" s="1"/>
  <c r="J430" i="2"/>
  <c r="I828" i="2"/>
  <c r="K484" i="2"/>
  <c r="K485" i="2" s="1"/>
  <c r="M338" i="2"/>
  <c r="G507" i="2"/>
  <c r="F799" i="2"/>
  <c r="N506" i="2"/>
  <c r="N519" i="2"/>
  <c r="N523" i="2" s="1"/>
  <c r="N1081" i="2"/>
  <c r="L343" i="2"/>
  <c r="H79" i="51"/>
  <c r="H78" i="51"/>
  <c r="E2" i="9"/>
  <c r="D22" i="51"/>
  <c r="D22" i="25"/>
  <c r="H28" i="51"/>
  <c r="I1219" i="2" l="1"/>
  <c r="I1213" i="2"/>
  <c r="J1134" i="2"/>
  <c r="J488" i="2" s="1"/>
  <c r="J486" i="2" s="1"/>
  <c r="J489" i="2" s="1"/>
  <c r="B18" i="8"/>
  <c r="E18" i="8" s="1"/>
  <c r="J715" i="2"/>
  <c r="J713" i="2" s="1"/>
  <c r="G768" i="2"/>
  <c r="G776" i="2"/>
  <c r="H767" i="2"/>
  <c r="H711" i="2" s="1"/>
  <c r="I729" i="2"/>
  <c r="I712" i="2"/>
  <c r="I621" i="2"/>
  <c r="K739" i="2"/>
  <c r="K322" i="2"/>
  <c r="K714" i="2"/>
  <c r="I750" i="2"/>
  <c r="J730" i="2"/>
  <c r="J723" i="2"/>
  <c r="K724" i="2" s="1"/>
  <c r="K723" i="2" s="1"/>
  <c r="J570" i="2"/>
  <c r="J770" i="2"/>
  <c r="J620" i="2"/>
  <c r="J664" i="2" s="1"/>
  <c r="J668" i="2" s="1"/>
  <c r="J675" i="2" s="1"/>
  <c r="J665" i="2"/>
  <c r="J540" i="2"/>
  <c r="K737" i="2"/>
  <c r="K736" i="2" s="1"/>
  <c r="J734" i="2"/>
  <c r="K720" i="2"/>
  <c r="K719" i="2" s="1"/>
  <c r="J717" i="2"/>
  <c r="K728" i="2"/>
  <c r="K727" i="2" s="1"/>
  <c r="J725" i="2"/>
  <c r="K766" i="2"/>
  <c r="K765" i="2" s="1"/>
  <c r="J763" i="2"/>
  <c r="J667" i="2"/>
  <c r="J816" i="2"/>
  <c r="J815" i="2" s="1"/>
  <c r="J592" i="2"/>
  <c r="K762" i="2"/>
  <c r="K761" i="2" s="1"/>
  <c r="K759" i="2" s="1"/>
  <c r="J759" i="2"/>
  <c r="K758" i="2"/>
  <c r="K757" i="2" s="1"/>
  <c r="J755" i="2"/>
  <c r="L580" i="2"/>
  <c r="L582" i="2" s="1"/>
  <c r="K572" i="2"/>
  <c r="K574" i="2" s="1"/>
  <c r="K591" i="2" s="1"/>
  <c r="K542" i="2"/>
  <c r="K544" i="2" s="1"/>
  <c r="K569" i="2" s="1"/>
  <c r="K594" i="2"/>
  <c r="K596" i="2" s="1"/>
  <c r="K619" i="2" s="1"/>
  <c r="F800" i="2"/>
  <c r="F823" i="2" s="1"/>
  <c r="G798" i="2"/>
  <c r="L797" i="2"/>
  <c r="L340" i="2"/>
  <c r="K749" i="2"/>
  <c r="K748" i="2" s="1"/>
  <c r="J746" i="2"/>
  <c r="M602" i="2"/>
  <c r="N604" i="2" s="1"/>
  <c r="N602" i="2" s="1"/>
  <c r="K754" i="2"/>
  <c r="K753" i="2" s="1"/>
  <c r="J751" i="2"/>
  <c r="L584" i="2"/>
  <c r="L586" i="2" s="1"/>
  <c r="L588" i="2"/>
  <c r="L590" i="2" s="1"/>
  <c r="L554" i="2"/>
  <c r="L556" i="2" s="1"/>
  <c r="L550" i="2"/>
  <c r="L552" i="2" s="1"/>
  <c r="K745" i="2"/>
  <c r="K744" i="2" s="1"/>
  <c r="K742" i="2" s="1"/>
  <c r="L610" i="2"/>
  <c r="L612" i="2" s="1"/>
  <c r="L606" i="2"/>
  <c r="L608" i="2" s="1"/>
  <c r="K741" i="2"/>
  <c r="K740" i="2" s="1"/>
  <c r="J738" i="2"/>
  <c r="L558" i="2"/>
  <c r="L560" i="2" s="1"/>
  <c r="L598" i="2"/>
  <c r="L600" i="2" s="1"/>
  <c r="L576" i="2"/>
  <c r="L578" i="2" s="1"/>
  <c r="K733" i="2"/>
  <c r="K732" i="2" s="1"/>
  <c r="K730" i="2" s="1"/>
  <c r="J666" i="2"/>
  <c r="J769" i="2"/>
  <c r="J565" i="2"/>
  <c r="J561" i="2"/>
  <c r="J617" i="2"/>
  <c r="I490" i="2"/>
  <c r="I491" i="2" s="1"/>
  <c r="M385" i="2"/>
  <c r="K385" i="2"/>
  <c r="K422" i="2" s="1"/>
  <c r="L385" i="2"/>
  <c r="J418" i="2"/>
  <c r="J787" i="2" s="1"/>
  <c r="H681" i="2"/>
  <c r="J415" i="2"/>
  <c r="J400" i="2"/>
  <c r="J391" i="2"/>
  <c r="J406" i="2"/>
  <c r="J783" i="2" s="1"/>
  <c r="J403" i="2"/>
  <c r="M354" i="2"/>
  <c r="L347" i="2"/>
  <c r="L1019" i="2"/>
  <c r="J394" i="2"/>
  <c r="J779" i="2" s="1"/>
  <c r="M339" i="2"/>
  <c r="H777" i="2"/>
  <c r="H1021" i="2"/>
  <c r="H827" i="2" s="1"/>
  <c r="I385" i="2"/>
  <c r="I388" i="2"/>
  <c r="J388" i="2" s="1"/>
  <c r="H495" i="2"/>
  <c r="H499" i="2" s="1"/>
  <c r="H490" i="2"/>
  <c r="H491" i="2" s="1"/>
  <c r="H1022" i="2"/>
  <c r="H1030" i="2"/>
  <c r="H1029" i="2"/>
  <c r="H1028" i="2"/>
  <c r="H1027" i="2"/>
  <c r="H1026" i="2"/>
  <c r="H1025" i="2"/>
  <c r="H1033" i="2"/>
  <c r="H1024" i="2"/>
  <c r="H1032" i="2"/>
  <c r="H1023" i="2"/>
  <c r="H1031" i="2"/>
  <c r="H422" i="2"/>
  <c r="I506" i="2"/>
  <c r="I507" i="2" s="1"/>
  <c r="I519" i="2"/>
  <c r="J721" i="2"/>
  <c r="J412" i="2"/>
  <c r="H812" i="2"/>
  <c r="H811" i="2" s="1"/>
  <c r="J385" i="2"/>
  <c r="I521" i="2"/>
  <c r="J421" i="2"/>
  <c r="J409" i="2"/>
  <c r="M343" i="2"/>
  <c r="J432" i="2"/>
  <c r="J688" i="2"/>
  <c r="J685" i="2" s="1"/>
  <c r="J684" i="2" s="1"/>
  <c r="K430" i="2"/>
  <c r="J828" i="2"/>
  <c r="F696" i="2"/>
  <c r="F702" i="2" s="1"/>
  <c r="I681" i="2"/>
  <c r="D18" i="8" s="1"/>
  <c r="F18" i="8" s="1"/>
  <c r="H18" i="8" s="1"/>
  <c r="I692" i="2"/>
  <c r="I790" i="2"/>
  <c r="H692" i="2"/>
  <c r="H1223" i="2" s="1"/>
  <c r="H1220" i="2" s="1"/>
  <c r="J397" i="2"/>
  <c r="C502" i="50"/>
  <c r="M2" i="7"/>
  <c r="E17" i="7"/>
  <c r="J14" i="7"/>
  <c r="J12" i="7"/>
  <c r="K7" i="7"/>
  <c r="L18" i="5" s="1"/>
  <c r="M4" i="7"/>
  <c r="H18" i="5"/>
  <c r="I18" i="5" s="1"/>
  <c r="K716" i="2" l="1"/>
  <c r="K1134" i="2" s="1"/>
  <c r="J1213" i="2"/>
  <c r="J1219" i="2"/>
  <c r="H1203" i="2"/>
  <c r="H1204" i="2" s="1"/>
  <c r="H1208" i="2" s="1"/>
  <c r="H1205" i="2" s="1"/>
  <c r="H1202" i="2"/>
  <c r="I1223" i="2"/>
  <c r="I1202" i="2"/>
  <c r="I1203" i="2"/>
  <c r="G710" i="2"/>
  <c r="G791" i="2"/>
  <c r="I1016" i="2"/>
  <c r="I767" i="2"/>
  <c r="I711" i="2" s="1"/>
  <c r="M604" i="2"/>
  <c r="F794" i="2"/>
  <c r="K487" i="2"/>
  <c r="J729" i="2"/>
  <c r="J712" i="2"/>
  <c r="L714" i="2"/>
  <c r="L322" i="2"/>
  <c r="L739" i="2"/>
  <c r="J495" i="2"/>
  <c r="J499" i="2" s="1"/>
  <c r="J506" i="2" s="1"/>
  <c r="J507" i="2" s="1"/>
  <c r="J490" i="2"/>
  <c r="J491" i="2" s="1"/>
  <c r="K592" i="2"/>
  <c r="J750" i="2"/>
  <c r="L728" i="2"/>
  <c r="L727" i="2" s="1"/>
  <c r="K725" i="2"/>
  <c r="L741" i="2"/>
  <c r="L740" i="2" s="1"/>
  <c r="K738" i="2"/>
  <c r="L720" i="2"/>
  <c r="L719" i="2" s="1"/>
  <c r="K717" i="2"/>
  <c r="K770" i="2"/>
  <c r="K620" i="2"/>
  <c r="K664" i="2" s="1"/>
  <c r="K668" i="2" s="1"/>
  <c r="K675" i="2" s="1"/>
  <c r="K665" i="2"/>
  <c r="L737" i="2"/>
  <c r="L736" i="2" s="1"/>
  <c r="K734" i="2"/>
  <c r="L754" i="2"/>
  <c r="L753" i="2" s="1"/>
  <c r="K751" i="2"/>
  <c r="K666" i="2"/>
  <c r="K769" i="2"/>
  <c r="K570" i="2"/>
  <c r="I799" i="2"/>
  <c r="J342" i="2" s="1"/>
  <c r="I508" i="2"/>
  <c r="M558" i="2"/>
  <c r="N560" i="2" s="1"/>
  <c r="N558" i="2" s="1"/>
  <c r="M588" i="2"/>
  <c r="N590" i="2" s="1"/>
  <c r="M797" i="2"/>
  <c r="N797" i="2" s="1"/>
  <c r="M340" i="2"/>
  <c r="L745" i="2"/>
  <c r="L744" i="2" s="1"/>
  <c r="L742" i="2" s="1"/>
  <c r="J621" i="2"/>
  <c r="L724" i="2"/>
  <c r="L723" i="2" s="1"/>
  <c r="H798" i="2"/>
  <c r="G800" i="2"/>
  <c r="H341" i="2"/>
  <c r="L572" i="2"/>
  <c r="L574" i="2" s="1"/>
  <c r="L591" i="2" s="1"/>
  <c r="L762" i="2"/>
  <c r="L761" i="2" s="1"/>
  <c r="L733" i="2"/>
  <c r="L732" i="2" s="1"/>
  <c r="M584" i="2"/>
  <c r="N586" i="2" s="1"/>
  <c r="M580" i="2"/>
  <c r="N582" i="2" s="1"/>
  <c r="N580" i="2" s="1"/>
  <c r="M576" i="2"/>
  <c r="N578" i="2" s="1"/>
  <c r="N576" i="2" s="1"/>
  <c r="M550" i="2"/>
  <c r="N552" i="2" s="1"/>
  <c r="N550" i="2" s="1"/>
  <c r="K667" i="2"/>
  <c r="K816" i="2"/>
  <c r="K815" i="2" s="1"/>
  <c r="K540" i="2"/>
  <c r="M606" i="2"/>
  <c r="N608" i="2" s="1"/>
  <c r="N606" i="2" s="1"/>
  <c r="L594" i="2"/>
  <c r="L596" i="2" s="1"/>
  <c r="L619" i="2" s="1"/>
  <c r="M598" i="2"/>
  <c r="N600" i="2" s="1"/>
  <c r="N598" i="2" s="1"/>
  <c r="M554" i="2"/>
  <c r="N556" i="2" s="1"/>
  <c r="N554" i="2" s="1"/>
  <c r="L749" i="2"/>
  <c r="L748" i="2" s="1"/>
  <c r="K746" i="2"/>
  <c r="L758" i="2"/>
  <c r="L757" i="2" s="1"/>
  <c r="K755" i="2"/>
  <c r="B30" i="8"/>
  <c r="E30" i="8" s="1"/>
  <c r="M610" i="2"/>
  <c r="N612" i="2" s="1"/>
  <c r="N610" i="2" s="1"/>
  <c r="L542" i="2"/>
  <c r="L544" i="2" s="1"/>
  <c r="L569" i="2" s="1"/>
  <c r="L766" i="2"/>
  <c r="L765" i="2" s="1"/>
  <c r="K763" i="2"/>
  <c r="K617" i="2"/>
  <c r="K561" i="2"/>
  <c r="K565" i="2"/>
  <c r="L422" i="2"/>
  <c r="K418" i="2"/>
  <c r="L418" i="2" s="1"/>
  <c r="D6" i="8"/>
  <c r="F6" i="8" s="1"/>
  <c r="H6" i="8" s="1"/>
  <c r="H702" i="2"/>
  <c r="H774" i="2" s="1"/>
  <c r="J782" i="2"/>
  <c r="K403" i="2"/>
  <c r="K406" i="2"/>
  <c r="J778" i="2"/>
  <c r="K391" i="2"/>
  <c r="J781" i="2"/>
  <c r="K400" i="2"/>
  <c r="J786" i="2"/>
  <c r="K415" i="2"/>
  <c r="M1019" i="2"/>
  <c r="M347" i="2"/>
  <c r="M422" i="2" s="1"/>
  <c r="G424" i="2"/>
  <c r="H424" i="2" s="1"/>
  <c r="I424" i="2" s="1"/>
  <c r="J424" i="2" s="1"/>
  <c r="K424" i="2" s="1"/>
  <c r="L424" i="2" s="1"/>
  <c r="M424" i="2" s="1"/>
  <c r="K394" i="2"/>
  <c r="K779" i="2" s="1"/>
  <c r="K688" i="2"/>
  <c r="K685" i="2" s="1"/>
  <c r="K684" i="2" s="1"/>
  <c r="L430" i="2"/>
  <c r="K432" i="2"/>
  <c r="K828" i="2"/>
  <c r="J788" i="2"/>
  <c r="K421" i="2"/>
  <c r="H805" i="2"/>
  <c r="H822" i="2" s="1"/>
  <c r="H804" i="2" s="1"/>
  <c r="I1075" i="2"/>
  <c r="J790" i="2"/>
  <c r="I1023" i="2"/>
  <c r="I1031" i="2"/>
  <c r="I1022" i="2"/>
  <c r="I1030" i="2"/>
  <c r="I1029" i="2"/>
  <c r="I1028" i="2"/>
  <c r="I1027" i="2"/>
  <c r="I1026" i="2"/>
  <c r="I1025" i="2"/>
  <c r="I1033" i="2"/>
  <c r="I1024" i="2"/>
  <c r="I1032" i="2"/>
  <c r="I422" i="2"/>
  <c r="J780" i="2"/>
  <c r="K397" i="2"/>
  <c r="J682" i="2"/>
  <c r="J785" i="2"/>
  <c r="K412" i="2"/>
  <c r="I702" i="2"/>
  <c r="F793" i="2"/>
  <c r="F824" i="2"/>
  <c r="J777" i="2"/>
  <c r="J1021" i="2"/>
  <c r="J827" i="2" s="1"/>
  <c r="K388" i="2"/>
  <c r="J784" i="2"/>
  <c r="K409" i="2"/>
  <c r="J1024" i="2"/>
  <c r="J1032" i="2"/>
  <c r="J1023" i="2"/>
  <c r="J1031" i="2"/>
  <c r="J1022" i="2"/>
  <c r="J1030" i="2"/>
  <c r="J1029" i="2"/>
  <c r="J1028" i="2"/>
  <c r="J1027" i="2"/>
  <c r="J1026" i="2"/>
  <c r="J1025" i="2"/>
  <c r="J1033" i="2"/>
  <c r="J422" i="2"/>
  <c r="J521" i="2"/>
  <c r="H506" i="2"/>
  <c r="H507" i="2" s="1"/>
  <c r="H519" i="2"/>
  <c r="I777" i="2"/>
  <c r="I1021" i="2"/>
  <c r="I827" i="2" s="1"/>
  <c r="N18" i="5"/>
  <c r="M18" i="5"/>
  <c r="K18" i="5"/>
  <c r="G251" i="7"/>
  <c r="G250" i="7"/>
  <c r="G249" i="7" s="1"/>
  <c r="G248" i="7"/>
  <c r="G247" i="7" s="1"/>
  <c r="G246" i="7"/>
  <c r="G245" i="7" s="1"/>
  <c r="G244" i="7"/>
  <c r="G243" i="7"/>
  <c r="G242" i="7"/>
  <c r="G241" i="7"/>
  <c r="G240" i="7" s="1"/>
  <c r="G239" i="7"/>
  <c r="G238" i="7" s="1"/>
  <c r="G237" i="7"/>
  <c r="G236" i="7" s="1"/>
  <c r="G235" i="7"/>
  <c r="G234" i="7"/>
  <c r="G233" i="7"/>
  <c r="G232" i="7"/>
  <c r="G231" i="7"/>
  <c r="G230" i="7"/>
  <c r="G148" i="7"/>
  <c r="G147" i="7"/>
  <c r="G146" i="7" s="1"/>
  <c r="G145" i="7"/>
  <c r="G144" i="7" s="1"/>
  <c r="G143" i="7"/>
  <c r="G142" i="7" s="1"/>
  <c r="G141" i="7"/>
  <c r="G140" i="7"/>
  <c r="G139" i="7"/>
  <c r="G138" i="7"/>
  <c r="G137" i="7" s="1"/>
  <c r="G136" i="7"/>
  <c r="G135" i="7" s="1"/>
  <c r="G134" i="7"/>
  <c r="G133" i="7" s="1"/>
  <c r="G132" i="7"/>
  <c r="G131" i="7"/>
  <c r="G130" i="7"/>
  <c r="G129" i="7"/>
  <c r="G128" i="7"/>
  <c r="G127" i="7"/>
  <c r="K488" i="2" l="1"/>
  <c r="K486" i="2" s="1"/>
  <c r="K489" i="2" s="1"/>
  <c r="K1213" i="2"/>
  <c r="K1219" i="2"/>
  <c r="K715" i="2"/>
  <c r="K713" i="2" s="1"/>
  <c r="I1204" i="2"/>
  <c r="I1208" i="2" s="1"/>
  <c r="J1016" i="2"/>
  <c r="J519" i="2"/>
  <c r="L394" i="2"/>
  <c r="L779" i="2" s="1"/>
  <c r="J767" i="2"/>
  <c r="J711" i="2" s="1"/>
  <c r="K729" i="2"/>
  <c r="K787" i="2"/>
  <c r="M552" i="2"/>
  <c r="M600" i="2"/>
  <c r="M608" i="2"/>
  <c r="M582" i="2"/>
  <c r="M560" i="2"/>
  <c r="M322" i="2"/>
  <c r="M714" i="2"/>
  <c r="N739" i="2"/>
  <c r="M739" i="2"/>
  <c r="M612" i="2"/>
  <c r="M556" i="2"/>
  <c r="K750" i="2"/>
  <c r="M737" i="2"/>
  <c r="M736" i="2" s="1"/>
  <c r="L734" i="2"/>
  <c r="M741" i="2"/>
  <c r="M740" i="2" s="1"/>
  <c r="L738" i="2"/>
  <c r="M733" i="2"/>
  <c r="M732" i="2" s="1"/>
  <c r="N732" i="2" s="1"/>
  <c r="M762" i="2"/>
  <c r="M761" i="2" s="1"/>
  <c r="L759" i="2"/>
  <c r="M728" i="2"/>
  <c r="M727" i="2" s="1"/>
  <c r="N727" i="2" s="1"/>
  <c r="N725" i="2" s="1"/>
  <c r="L725" i="2"/>
  <c r="L666" i="2"/>
  <c r="L769" i="2"/>
  <c r="M766" i="2"/>
  <c r="M765" i="2" s="1"/>
  <c r="L763" i="2"/>
  <c r="L770" i="2"/>
  <c r="L620" i="2"/>
  <c r="L664" i="2" s="1"/>
  <c r="L668" i="2" s="1"/>
  <c r="L675" i="2" s="1"/>
  <c r="L665" i="2"/>
  <c r="M749" i="2"/>
  <c r="M748" i="2" s="1"/>
  <c r="L746" i="2"/>
  <c r="M754" i="2"/>
  <c r="M753" i="2" s="1"/>
  <c r="L751" i="2"/>
  <c r="M724" i="2"/>
  <c r="M723" i="2" s="1"/>
  <c r="N723" i="2" s="1"/>
  <c r="M586" i="2"/>
  <c r="K621" i="2"/>
  <c r="M758" i="2"/>
  <c r="M757" i="2" s="1"/>
  <c r="L755" i="2"/>
  <c r="M720" i="2"/>
  <c r="M719" i="2" s="1"/>
  <c r="L717" i="2"/>
  <c r="M542" i="2"/>
  <c r="N544" i="2" s="1"/>
  <c r="N542" i="2" s="1"/>
  <c r="M572" i="2"/>
  <c r="N574" i="2" s="1"/>
  <c r="N591" i="2" s="1"/>
  <c r="M745" i="2"/>
  <c r="M744" i="2" s="1"/>
  <c r="J799" i="2"/>
  <c r="K342" i="2" s="1"/>
  <c r="J508" i="2"/>
  <c r="L667" i="2"/>
  <c r="L816" i="2"/>
  <c r="L815" i="2" s="1"/>
  <c r="L570" i="2"/>
  <c r="H799" i="2"/>
  <c r="I798" i="2" s="1"/>
  <c r="J798" i="2" s="1"/>
  <c r="H508" i="2"/>
  <c r="M594" i="2"/>
  <c r="N596" i="2" s="1"/>
  <c r="M578" i="2"/>
  <c r="L592" i="2"/>
  <c r="G794" i="2"/>
  <c r="G823" i="2"/>
  <c r="L730" i="2"/>
  <c r="I814" i="2"/>
  <c r="I806" i="2" s="1"/>
  <c r="J1075" i="2" s="1"/>
  <c r="J814" i="2" s="1"/>
  <c r="J806" i="2" s="1"/>
  <c r="M590" i="2"/>
  <c r="B42" i="8"/>
  <c r="E42" i="8" s="1"/>
  <c r="I774" i="2"/>
  <c r="L540" i="2"/>
  <c r="M565" i="2"/>
  <c r="N566" i="2" s="1"/>
  <c r="N773" i="2" s="1"/>
  <c r="L565" i="2"/>
  <c r="L561" i="2"/>
  <c r="M617" i="2"/>
  <c r="N618" i="2" s="1"/>
  <c r="N819" i="2" s="1"/>
  <c r="L617" i="2"/>
  <c r="H703" i="2"/>
  <c r="I703" i="2" s="1"/>
  <c r="H775" i="2"/>
  <c r="H768" i="2" s="1"/>
  <c r="K778" i="2"/>
  <c r="L391" i="2"/>
  <c r="K783" i="2"/>
  <c r="L406" i="2"/>
  <c r="K786" i="2"/>
  <c r="L415" i="2"/>
  <c r="K781" i="2"/>
  <c r="L400" i="2"/>
  <c r="K782" i="2"/>
  <c r="L403" i="2"/>
  <c r="K790" i="2"/>
  <c r="K682" i="2"/>
  <c r="K721" i="2"/>
  <c r="K712" i="2" s="1"/>
  <c r="L787" i="2"/>
  <c r="M418" i="2"/>
  <c r="M787" i="2" s="1"/>
  <c r="K788" i="2"/>
  <c r="L421" i="2"/>
  <c r="L688" i="2"/>
  <c r="L685" i="2" s="1"/>
  <c r="L684" i="2" s="1"/>
  <c r="M430" i="2"/>
  <c r="L432" i="2"/>
  <c r="L828" i="2"/>
  <c r="K784" i="2"/>
  <c r="L409" i="2"/>
  <c r="K1021" i="2"/>
  <c r="K827" i="2" s="1"/>
  <c r="K777" i="2"/>
  <c r="L388" i="2"/>
  <c r="K1032" i="2"/>
  <c r="K1030" i="2"/>
  <c r="K1027" i="2"/>
  <c r="K1025" i="2"/>
  <c r="K1023" i="2"/>
  <c r="K1029" i="2"/>
  <c r="K1026" i="2"/>
  <c r="K1024" i="2"/>
  <c r="K1028" i="2"/>
  <c r="K1031" i="2"/>
  <c r="K1033" i="2"/>
  <c r="K1022" i="2"/>
  <c r="K780" i="2"/>
  <c r="L397" i="2"/>
  <c r="K521" i="2"/>
  <c r="K785" i="2"/>
  <c r="L412" i="2"/>
  <c r="J681" i="2"/>
  <c r="J692" i="2"/>
  <c r="J1223" i="2" s="1"/>
  <c r="K12" i="9"/>
  <c r="G69" i="7"/>
  <c r="K2" i="9"/>
  <c r="J32" i="9"/>
  <c r="J22" i="9"/>
  <c r="C502" i="21"/>
  <c r="B481" i="21"/>
  <c r="H776" i="2" l="1"/>
  <c r="K1016" i="2"/>
  <c r="L716" i="2"/>
  <c r="L1134" i="2" s="1"/>
  <c r="J1203" i="2"/>
  <c r="J1204" i="2" s="1"/>
  <c r="J1208" i="2" s="1"/>
  <c r="J1202" i="2"/>
  <c r="L1213" i="2"/>
  <c r="L1219" i="2"/>
  <c r="D30" i="8"/>
  <c r="F30" i="8" s="1"/>
  <c r="H30" i="8" s="1"/>
  <c r="M394" i="2"/>
  <c r="M779" i="2" s="1"/>
  <c r="N744" i="2"/>
  <c r="N742" i="2" s="1"/>
  <c r="M742" i="2"/>
  <c r="M574" i="2"/>
  <c r="M591" i="2" s="1"/>
  <c r="M570" i="2" s="1"/>
  <c r="N570" i="2" s="1"/>
  <c r="K767" i="2"/>
  <c r="K711" i="2" s="1"/>
  <c r="L729" i="2"/>
  <c r="N322" i="2"/>
  <c r="N714" i="2"/>
  <c r="I342" i="2"/>
  <c r="L621" i="2"/>
  <c r="M725" i="2"/>
  <c r="M596" i="2"/>
  <c r="M619" i="2" s="1"/>
  <c r="M667" i="2" s="1"/>
  <c r="N736" i="2"/>
  <c r="N734" i="2" s="1"/>
  <c r="M734" i="2"/>
  <c r="N761" i="2"/>
  <c r="N759" i="2" s="1"/>
  <c r="M759" i="2"/>
  <c r="N765" i="2"/>
  <c r="N763" i="2" s="1"/>
  <c r="M763" i="2"/>
  <c r="K495" i="2"/>
  <c r="K499" i="2" s="1"/>
  <c r="K490" i="2"/>
  <c r="K491" i="2" s="1"/>
  <c r="N748" i="2"/>
  <c r="N746" i="2" s="1"/>
  <c r="M746" i="2"/>
  <c r="N719" i="2"/>
  <c r="N717" i="2" s="1"/>
  <c r="M717" i="2"/>
  <c r="B54" i="8"/>
  <c r="E54" i="8" s="1"/>
  <c r="G793" i="2"/>
  <c r="G824" i="2"/>
  <c r="G830" i="2"/>
  <c r="G831" i="2" s="1"/>
  <c r="N740" i="2"/>
  <c r="N738" i="2" s="1"/>
  <c r="M738" i="2"/>
  <c r="N666" i="2"/>
  <c r="L750" i="2"/>
  <c r="N757" i="2"/>
  <c r="N755" i="2" s="1"/>
  <c r="M755" i="2"/>
  <c r="N753" i="2"/>
  <c r="N751" i="2" s="1"/>
  <c r="M751" i="2"/>
  <c r="M544" i="2"/>
  <c r="M569" i="2" s="1"/>
  <c r="K798" i="2"/>
  <c r="M730" i="2"/>
  <c r="I812" i="2"/>
  <c r="I811" i="2" s="1"/>
  <c r="N619" i="2"/>
  <c r="M561" i="2"/>
  <c r="N562" i="2" s="1"/>
  <c r="L790" i="2"/>
  <c r="I805" i="2"/>
  <c r="L782" i="2"/>
  <c r="M403" i="2"/>
  <c r="M782" i="2" s="1"/>
  <c r="L786" i="2"/>
  <c r="M415" i="2"/>
  <c r="M786" i="2" s="1"/>
  <c r="L781" i="2"/>
  <c r="M400" i="2"/>
  <c r="M781" i="2" s="1"/>
  <c r="L783" i="2"/>
  <c r="M406" i="2"/>
  <c r="M783" i="2" s="1"/>
  <c r="L778" i="2"/>
  <c r="M391" i="2"/>
  <c r="M778" i="2" s="1"/>
  <c r="J812" i="2"/>
  <c r="J811" i="2" s="1"/>
  <c r="L721" i="2"/>
  <c r="K681" i="2"/>
  <c r="K692" i="2"/>
  <c r="K1223" i="2" s="1"/>
  <c r="N730" i="2"/>
  <c r="L785" i="2"/>
  <c r="M412" i="2"/>
  <c r="M785" i="2" s="1"/>
  <c r="L1021" i="2"/>
  <c r="L827" i="2" s="1"/>
  <c r="L777" i="2"/>
  <c r="M388" i="2"/>
  <c r="L1023" i="2"/>
  <c r="L1022" i="2"/>
  <c r="L1025" i="2"/>
  <c r="L1031" i="2"/>
  <c r="L1030" i="2"/>
  <c r="L1029" i="2"/>
  <c r="L1024" i="2"/>
  <c r="L1028" i="2"/>
  <c r="L1026" i="2"/>
  <c r="L1032" i="2"/>
  <c r="L1027" i="2"/>
  <c r="L1033" i="2"/>
  <c r="H710" i="2"/>
  <c r="J702" i="2"/>
  <c r="J703" i="2" s="1"/>
  <c r="L780" i="2"/>
  <c r="M397" i="2"/>
  <c r="M780" i="2" s="1"/>
  <c r="L682" i="2"/>
  <c r="L521" i="2"/>
  <c r="M432" i="2"/>
  <c r="M682" i="2" s="1"/>
  <c r="M688" i="2"/>
  <c r="M685" i="2" s="1"/>
  <c r="M684" i="2" s="1"/>
  <c r="N430" i="2"/>
  <c r="M828" i="2"/>
  <c r="I775" i="2"/>
  <c r="L784" i="2"/>
  <c r="M409" i="2"/>
  <c r="M784" i="2" s="1"/>
  <c r="K506" i="2"/>
  <c r="K507" i="2" s="1"/>
  <c r="K519" i="2"/>
  <c r="L487" i="2"/>
  <c r="K1075" i="2"/>
  <c r="J805" i="2"/>
  <c r="L788" i="2"/>
  <c r="M421" i="2"/>
  <c r="M788" i="2" s="1"/>
  <c r="D98" i="51"/>
  <c r="D104" i="51"/>
  <c r="J12" i="9"/>
  <c r="F4" i="46" s="1"/>
  <c r="L1016" i="2" l="1"/>
  <c r="K1203" i="2"/>
  <c r="K1204" i="2" s="1"/>
  <c r="K1208" i="2" s="1"/>
  <c r="K1202" i="2"/>
  <c r="L715" i="2"/>
  <c r="D42" i="8"/>
  <c r="F42" i="8" s="1"/>
  <c r="H42" i="8" s="1"/>
  <c r="M666" i="2"/>
  <c r="M729" i="2"/>
  <c r="M769" i="2"/>
  <c r="N769" i="2" s="1"/>
  <c r="M592" i="2"/>
  <c r="N592" i="2" s="1"/>
  <c r="M816" i="2"/>
  <c r="M815" i="2" s="1"/>
  <c r="N729" i="2"/>
  <c r="I822" i="2"/>
  <c r="I804" i="2" s="1"/>
  <c r="M750" i="2"/>
  <c r="K814" i="2"/>
  <c r="K806" i="2" s="1"/>
  <c r="K805" i="2" s="1"/>
  <c r="N750" i="2"/>
  <c r="N569" i="2"/>
  <c r="N620" i="2" s="1"/>
  <c r="N771" i="2"/>
  <c r="M665" i="2"/>
  <c r="M770" i="2"/>
  <c r="M620" i="2"/>
  <c r="K799" i="2"/>
  <c r="L798" i="2" s="1"/>
  <c r="K508" i="2"/>
  <c r="J774" i="2"/>
  <c r="J775" i="2" s="1"/>
  <c r="M540" i="2"/>
  <c r="N667" i="2"/>
  <c r="J822" i="2"/>
  <c r="J804" i="2" s="1"/>
  <c r="M521" i="2"/>
  <c r="M790" i="2"/>
  <c r="K702" i="2"/>
  <c r="K703" i="2" s="1"/>
  <c r="N688" i="2"/>
  <c r="N685" i="2" s="1"/>
  <c r="N684" i="2" s="1"/>
  <c r="N828" i="2"/>
  <c r="L681" i="2"/>
  <c r="L692" i="2"/>
  <c r="L1223" i="2" s="1"/>
  <c r="L488" i="2"/>
  <c r="L486" i="2" s="1"/>
  <c r="L489" i="2" s="1"/>
  <c r="M681" i="2"/>
  <c r="M1021" i="2"/>
  <c r="M827" i="2" s="1"/>
  <c r="M1028" i="2"/>
  <c r="M777" i="2"/>
  <c r="M1022" i="2"/>
  <c r="M1026" i="2"/>
  <c r="M1027" i="2"/>
  <c r="M1032" i="2"/>
  <c r="M1024" i="2"/>
  <c r="M1029" i="2"/>
  <c r="M1033" i="2"/>
  <c r="M1031" i="2"/>
  <c r="M1023" i="2"/>
  <c r="M1030" i="2"/>
  <c r="M1025" i="2"/>
  <c r="M487" i="2"/>
  <c r="I768" i="2"/>
  <c r="I776" i="2"/>
  <c r="J2" i="9"/>
  <c r="M223" i="4" s="1"/>
  <c r="B44" i="48"/>
  <c r="C44" i="48" s="1"/>
  <c r="A44" i="48"/>
  <c r="B43" i="48"/>
  <c r="C43" i="48" s="1"/>
  <c r="A43" i="48"/>
  <c r="B42" i="48"/>
  <c r="C42" i="48" s="1"/>
  <c r="A42" i="48"/>
  <c r="B41" i="48"/>
  <c r="C41" i="48" s="1"/>
  <c r="A41" i="48"/>
  <c r="B40" i="48"/>
  <c r="C40" i="48" s="1"/>
  <c r="A40" i="48"/>
  <c r="B39" i="48"/>
  <c r="C39" i="48" s="1"/>
  <c r="A39" i="48"/>
  <c r="B38" i="48"/>
  <c r="C38" i="48" s="1"/>
  <c r="A38" i="48"/>
  <c r="B37" i="48"/>
  <c r="C37" i="48" s="1"/>
  <c r="A37" i="48"/>
  <c r="B36" i="48"/>
  <c r="C36" i="48" s="1"/>
  <c r="A36" i="48"/>
  <c r="B35" i="48"/>
  <c r="C35" i="48" s="1"/>
  <c r="A35" i="48"/>
  <c r="B34" i="48"/>
  <c r="C34" i="48" s="1"/>
  <c r="A34" i="48"/>
  <c r="B33" i="48"/>
  <c r="C33" i="48" s="1"/>
  <c r="A33" i="48"/>
  <c r="B32" i="48"/>
  <c r="C32" i="48" s="1"/>
  <c r="A32" i="48"/>
  <c r="B31" i="48"/>
  <c r="C31" i="48" s="1"/>
  <c r="A31" i="48"/>
  <c r="B30" i="48"/>
  <c r="C30" i="48" s="1"/>
  <c r="A30" i="48"/>
  <c r="B29" i="48"/>
  <c r="C29" i="48" s="1"/>
  <c r="A29" i="48"/>
  <c r="B28" i="48"/>
  <c r="C28" i="48" s="1"/>
  <c r="A28" i="48"/>
  <c r="B27" i="48"/>
  <c r="C27" i="48" s="1"/>
  <c r="A27" i="48"/>
  <c r="B26" i="48"/>
  <c r="C26" i="48" s="1"/>
  <c r="A26" i="48"/>
  <c r="B25" i="48"/>
  <c r="C25" i="48" s="1"/>
  <c r="A25" i="48"/>
  <c r="B24" i="48"/>
  <c r="C24" i="48" s="1"/>
  <c r="A24" i="48"/>
  <c r="B23" i="48"/>
  <c r="A23" i="48"/>
  <c r="B22" i="48"/>
  <c r="C22" i="48" s="1"/>
  <c r="A22" i="48"/>
  <c r="B21" i="48"/>
  <c r="C21" i="48" s="1"/>
  <c r="A21" i="48"/>
  <c r="B20" i="48"/>
  <c r="C20" i="48" s="1"/>
  <c r="A20" i="48"/>
  <c r="B19" i="48"/>
  <c r="C19" i="48" s="1"/>
  <c r="A19" i="48"/>
  <c r="B18" i="48"/>
  <c r="C18" i="48" s="1"/>
  <c r="A18" i="48"/>
  <c r="B17" i="48"/>
  <c r="C17" i="48" s="1"/>
  <c r="A17" i="48"/>
  <c r="B16" i="48"/>
  <c r="C16" i="48" s="1"/>
  <c r="A16" i="48"/>
  <c r="B15" i="48"/>
  <c r="C15" i="48" s="1"/>
  <c r="A15" i="48"/>
  <c r="B14" i="48"/>
  <c r="C14" i="48" s="1"/>
  <c r="A14" i="48"/>
  <c r="B13" i="48"/>
  <c r="C13" i="48" s="1"/>
  <c r="A13" i="48"/>
  <c r="B12" i="48"/>
  <c r="C12" i="48" s="1"/>
  <c r="A12" i="48"/>
  <c r="B11" i="48"/>
  <c r="C11" i="48" s="1"/>
  <c r="A11" i="48"/>
  <c r="B10" i="48"/>
  <c r="C10" i="48" s="1"/>
  <c r="A10" i="48"/>
  <c r="B9" i="48"/>
  <c r="C9" i="48" s="1"/>
  <c r="A9" i="48"/>
  <c r="B8" i="48"/>
  <c r="C8" i="48" s="1"/>
  <c r="A8" i="48"/>
  <c r="B7" i="48"/>
  <c r="C7" i="48" s="1"/>
  <c r="A7" i="48"/>
  <c r="B6" i="48"/>
  <c r="C6" i="48" s="1"/>
  <c r="A6" i="48"/>
  <c r="B5" i="48"/>
  <c r="C5" i="48" s="1"/>
  <c r="A5" i="48"/>
  <c r="B4" i="48"/>
  <c r="C4" i="48" s="1"/>
  <c r="A4" i="48"/>
  <c r="B3" i="48"/>
  <c r="A3" i="48"/>
  <c r="I2" i="9"/>
  <c r="C2" i="48" s="1"/>
  <c r="N540" i="2" l="1"/>
  <c r="M716" i="2"/>
  <c r="M1134" i="2" s="1"/>
  <c r="M488" i="2" s="1"/>
  <c r="L713" i="2"/>
  <c r="L712" i="2" s="1"/>
  <c r="L767" i="2" s="1"/>
  <c r="L1203" i="2"/>
  <c r="L1204" i="2" s="1"/>
  <c r="L1208" i="2" s="1"/>
  <c r="L1202" i="2"/>
  <c r="D54" i="8"/>
  <c r="F54" i="8" s="1"/>
  <c r="H54" i="8" s="1"/>
  <c r="N665" i="2"/>
  <c r="L1075" i="2"/>
  <c r="L814" i="2" s="1"/>
  <c r="L806" i="2" s="1"/>
  <c r="L342" i="2"/>
  <c r="N816" i="2"/>
  <c r="N815" i="2" s="1"/>
  <c r="N770" i="2"/>
  <c r="K774" i="2"/>
  <c r="K812" i="2"/>
  <c r="K811" i="2" s="1"/>
  <c r="K822" i="2" s="1"/>
  <c r="K804" i="2" s="1"/>
  <c r="M664" i="2"/>
  <c r="M668" i="2" s="1"/>
  <c r="M675" i="2" s="1"/>
  <c r="M621" i="2"/>
  <c r="N621" i="2" s="1"/>
  <c r="N664" i="2"/>
  <c r="N668" i="2" s="1"/>
  <c r="N675" i="2" s="1"/>
  <c r="N790" i="2"/>
  <c r="N681" i="2"/>
  <c r="D66" i="8" s="1"/>
  <c r="L490" i="2"/>
  <c r="L491" i="2" s="1"/>
  <c r="L495" i="2"/>
  <c r="L499" i="2" s="1"/>
  <c r="N721" i="2"/>
  <c r="M721" i="2"/>
  <c r="L702" i="2"/>
  <c r="L703" i="2" s="1"/>
  <c r="I710" i="2"/>
  <c r="J768" i="2"/>
  <c r="J776" i="2"/>
  <c r="F407" i="4"/>
  <c r="F453" i="4"/>
  <c r="F315" i="4"/>
  <c r="F361" i="4"/>
  <c r="F223" i="4"/>
  <c r="F269" i="4"/>
  <c r="M453" i="4"/>
  <c r="M407" i="4"/>
  <c r="M361" i="4"/>
  <c r="M315" i="4"/>
  <c r="M269" i="4"/>
  <c r="M1213" i="2" l="1"/>
  <c r="M1203" i="2"/>
  <c r="M1204" i="2" s="1"/>
  <c r="M1208" i="2" s="1"/>
  <c r="M1202" i="2"/>
  <c r="M1219" i="2"/>
  <c r="N1203" i="2"/>
  <c r="N1202" i="2"/>
  <c r="M715" i="2"/>
  <c r="M1016" i="2"/>
  <c r="N1016" i="2"/>
  <c r="L711" i="2"/>
  <c r="M702" i="2"/>
  <c r="M703" i="2" s="1"/>
  <c r="N692" i="2"/>
  <c r="L774" i="2"/>
  <c r="L812" i="2"/>
  <c r="L811" i="2" s="1"/>
  <c r="K775" i="2"/>
  <c r="K768" i="2" s="1"/>
  <c r="M486" i="2"/>
  <c r="M489" i="2" s="1"/>
  <c r="M692" i="2"/>
  <c r="M1223" i="2" s="1"/>
  <c r="B66" i="8"/>
  <c r="E66" i="8" s="1"/>
  <c r="J710" i="2"/>
  <c r="L506" i="2"/>
  <c r="L507" i="2" s="1"/>
  <c r="L519" i="2"/>
  <c r="N702" i="2"/>
  <c r="L805" i="2"/>
  <c r="M1075" i="2"/>
  <c r="O45" i="7"/>
  <c r="O44" i="7"/>
  <c r="O46" i="7"/>
  <c r="J1220" i="2" l="1"/>
  <c r="I1220" i="2"/>
  <c r="J1216" i="2"/>
  <c r="I1216" i="2"/>
  <c r="M1205" i="2"/>
  <c r="I1205" i="2"/>
  <c r="J1205" i="2"/>
  <c r="N1204" i="2"/>
  <c r="M774" i="2"/>
  <c r="N774" i="2" s="1"/>
  <c r="N775" i="2" s="1"/>
  <c r="N715" i="2"/>
  <c r="N713" i="2" s="1"/>
  <c r="N712" i="2" s="1"/>
  <c r="N767" i="2" s="1"/>
  <c r="M713" i="2"/>
  <c r="M712" i="2" s="1"/>
  <c r="M767" i="2" s="1"/>
  <c r="M711" i="2" s="1"/>
  <c r="L1205" i="2"/>
  <c r="M1216" i="2"/>
  <c r="K1216" i="2"/>
  <c r="L1216" i="2"/>
  <c r="M1220" i="2"/>
  <c r="L1220" i="2"/>
  <c r="K1220" i="2"/>
  <c r="K1205" i="2"/>
  <c r="L822" i="2"/>
  <c r="L804" i="2" s="1"/>
  <c r="M490" i="2"/>
  <c r="M491" i="2" s="1"/>
  <c r="M495" i="2"/>
  <c r="M499" i="2" s="1"/>
  <c r="M506" i="2" s="1"/>
  <c r="M507" i="2" s="1"/>
  <c r="M508" i="2" s="1"/>
  <c r="M814" i="2"/>
  <c r="M806" i="2" s="1"/>
  <c r="F66" i="8" s="1"/>
  <c r="H66" i="8" s="1"/>
  <c r="L799" i="2"/>
  <c r="M798" i="2" s="1"/>
  <c r="N798" i="2" s="1"/>
  <c r="L508" i="2"/>
  <c r="K776" i="2"/>
  <c r="K710" i="2" s="1"/>
  <c r="N703" i="2"/>
  <c r="L775" i="2"/>
  <c r="L768" i="2" s="1"/>
  <c r="F14" i="3"/>
  <c r="E14" i="3"/>
  <c r="M775" i="2" l="1"/>
  <c r="M776" i="2" s="1"/>
  <c r="N516" i="2"/>
  <c r="N711" i="2"/>
  <c r="M519" i="2"/>
  <c r="M342" i="2"/>
  <c r="M812" i="2"/>
  <c r="M811" i="2" s="1"/>
  <c r="L776" i="2"/>
  <c r="L710" i="2" s="1"/>
  <c r="N507" i="2"/>
  <c r="N799" i="2" s="1"/>
  <c r="M799" i="2"/>
  <c r="N1075" i="2"/>
  <c r="M805" i="2"/>
  <c r="N768" i="2"/>
  <c r="N776" i="2"/>
  <c r="C451" i="4"/>
  <c r="D455" i="4"/>
  <c r="D454" i="4"/>
  <c r="D453" i="4"/>
  <c r="C405" i="4"/>
  <c r="D409" i="4"/>
  <c r="D408" i="4"/>
  <c r="D407" i="4"/>
  <c r="C359" i="4"/>
  <c r="D363" i="4"/>
  <c r="D362" i="4"/>
  <c r="D361" i="4"/>
  <c r="C313" i="4"/>
  <c r="D317" i="4"/>
  <c r="D316" i="4"/>
  <c r="D315" i="4"/>
  <c r="C267" i="4"/>
  <c r="D271" i="4"/>
  <c r="D270" i="4"/>
  <c r="D269" i="4"/>
  <c r="I20" i="7"/>
  <c r="I19" i="7"/>
  <c r="I17" i="7"/>
  <c r="I16" i="7"/>
  <c r="I15" i="7"/>
  <c r="I14" i="7"/>
  <c r="A29" i="7"/>
  <c r="A28" i="7"/>
  <c r="A26" i="7"/>
  <c r="A23" i="7"/>
  <c r="A22" i="7"/>
  <c r="A20" i="7"/>
  <c r="A18" i="7"/>
  <c r="M768" i="2" l="1"/>
  <c r="N1053" i="2"/>
  <c r="N510" i="2"/>
  <c r="N814" i="2"/>
  <c r="N806" i="2" s="1"/>
  <c r="N805" i="2" s="1"/>
  <c r="M822" i="2"/>
  <c r="M804" i="2" s="1"/>
  <c r="N710" i="2"/>
  <c r="M710" i="2"/>
  <c r="B2" i="7"/>
  <c r="N812" i="2" l="1"/>
  <c r="N811" i="2" s="1"/>
  <c r="N822" i="2" s="1"/>
  <c r="N804" i="2" s="1"/>
  <c r="J486" i="4"/>
  <c r="I486" i="4"/>
  <c r="H486" i="4"/>
  <c r="G486" i="4"/>
  <c r="F486" i="4"/>
  <c r="D486" i="4"/>
  <c r="J471" i="4"/>
  <c r="I471" i="4"/>
  <c r="G471" i="4"/>
  <c r="F471" i="4"/>
  <c r="D471" i="4"/>
  <c r="J452" i="4"/>
  <c r="I452" i="4"/>
  <c r="F452" i="4"/>
  <c r="G452" i="4" s="1"/>
  <c r="J440" i="4"/>
  <c r="I440" i="4"/>
  <c r="H440" i="4"/>
  <c r="G440" i="4"/>
  <c r="F440" i="4"/>
  <c r="D440" i="4"/>
  <c r="J425" i="4"/>
  <c r="I425" i="4"/>
  <c r="G425" i="4"/>
  <c r="F425" i="4"/>
  <c r="D425" i="4"/>
  <c r="J406" i="4"/>
  <c r="I406" i="4"/>
  <c r="F406" i="4"/>
  <c r="G406" i="4" s="1"/>
  <c r="J394" i="4"/>
  <c r="I394" i="4"/>
  <c r="H394" i="4"/>
  <c r="G394" i="4"/>
  <c r="F394" i="4"/>
  <c r="D394" i="4"/>
  <c r="J379" i="4"/>
  <c r="I379" i="4"/>
  <c r="G379" i="4"/>
  <c r="F379" i="4"/>
  <c r="D379" i="4"/>
  <c r="J360" i="4"/>
  <c r="I360" i="4"/>
  <c r="F360" i="4"/>
  <c r="G360" i="4" s="1"/>
  <c r="J348" i="4"/>
  <c r="I348" i="4"/>
  <c r="H348" i="4"/>
  <c r="G348" i="4"/>
  <c r="F348" i="4"/>
  <c r="D348" i="4"/>
  <c r="J333" i="4"/>
  <c r="I333" i="4"/>
  <c r="G333" i="4"/>
  <c r="F333" i="4"/>
  <c r="D333" i="4"/>
  <c r="J314" i="4"/>
  <c r="I314" i="4"/>
  <c r="F314" i="4"/>
  <c r="G314" i="4" s="1"/>
  <c r="J302" i="4"/>
  <c r="I302" i="4"/>
  <c r="H302" i="4"/>
  <c r="G302" i="4"/>
  <c r="F302" i="4"/>
  <c r="D302" i="4"/>
  <c r="J287" i="4"/>
  <c r="I287" i="4"/>
  <c r="G287" i="4"/>
  <c r="F287" i="4"/>
  <c r="D287" i="4"/>
  <c r="J268" i="4"/>
  <c r="I268" i="4"/>
  <c r="F268" i="4"/>
  <c r="G268" i="4" s="1"/>
  <c r="L36" i="7" l="1"/>
  <c r="D104" i="27"/>
  <c r="D98" i="27"/>
  <c r="D24" i="27"/>
  <c r="D18" i="27"/>
  <c r="C3" i="48"/>
  <c r="J4" i="46"/>
  <c r="G4" i="46"/>
  <c r="I4" i="46"/>
  <c r="C23" i="48"/>
  <c r="I32" i="9"/>
  <c r="G7" i="46" s="1"/>
  <c r="I22" i="9"/>
  <c r="G6" i="46" s="1"/>
  <c r="O4" i="46" l="1"/>
  <c r="I9" i="5"/>
  <c r="N9" i="5"/>
  <c r="K9" i="5"/>
  <c r="L9" i="5"/>
  <c r="M9" i="5"/>
  <c r="D491" i="4"/>
  <c r="D492" i="4"/>
  <c r="E35" i="3"/>
  <c r="D303" i="4"/>
  <c r="D395" i="4"/>
  <c r="D487" i="4"/>
  <c r="D349" i="4"/>
  <c r="D441" i="4"/>
  <c r="D351" i="4"/>
  <c r="D443" i="4"/>
  <c r="D305" i="4"/>
  <c r="D397" i="4"/>
  <c r="D489" i="4"/>
  <c r="D352" i="4"/>
  <c r="D490" i="4"/>
  <c r="D444" i="4"/>
  <c r="D306" i="4"/>
  <c r="D398" i="4"/>
  <c r="D442" i="4"/>
  <c r="D396" i="4"/>
  <c r="D304" i="4"/>
  <c r="D350" i="4"/>
  <c r="D488" i="4"/>
  <c r="D400" i="4"/>
  <c r="D446" i="4"/>
  <c r="D399" i="4"/>
  <c r="D445" i="4"/>
  <c r="D308" i="4"/>
  <c r="D354" i="4"/>
  <c r="D307" i="4"/>
  <c r="D353" i="4"/>
  <c r="L4" i="46"/>
  <c r="K4" i="46"/>
  <c r="M4" i="46"/>
  <c r="N4" i="46"/>
  <c r="N64" i="7" l="1"/>
  <c r="AA10" i="54"/>
  <c r="AA11" i="54" s="1"/>
  <c r="AA13" i="54" s="1"/>
  <c r="H72" i="5"/>
  <c r="H61" i="5"/>
  <c r="N62" i="7"/>
  <c r="N63" i="7"/>
  <c r="N60" i="7"/>
  <c r="N61" i="7"/>
  <c r="AA12" i="54" l="1"/>
  <c r="AA14" i="54" s="1"/>
  <c r="I78" i="5"/>
  <c r="I72" i="5"/>
  <c r="J3" i="46"/>
  <c r="I3" i="46"/>
  <c r="AA16" i="54" l="1"/>
  <c r="C26" i="54" s="1"/>
  <c r="D119" i="51"/>
  <c r="D120" i="51"/>
  <c r="D87" i="51"/>
  <c r="D88" i="51"/>
  <c r="D73" i="51"/>
  <c r="D74" i="51"/>
  <c r="K78" i="5"/>
  <c r="K72" i="5"/>
  <c r="K3" i="46"/>
  <c r="C36" i="54" l="1"/>
  <c r="L78" i="5"/>
  <c r="L72" i="5"/>
  <c r="H69" i="5"/>
  <c r="L3" i="46"/>
  <c r="M78" i="5" l="1"/>
  <c r="M72" i="5"/>
  <c r="M3" i="46"/>
  <c r="N78" i="5" l="1"/>
  <c r="N72" i="5"/>
  <c r="I69" i="5"/>
  <c r="G26" i="54"/>
  <c r="N3" i="46"/>
  <c r="C39" i="54" l="1"/>
  <c r="K11" i="54"/>
  <c r="AA17" i="54"/>
  <c r="O3" i="46"/>
  <c r="C7" i="54" l="1"/>
  <c r="S48" i="54" s="1"/>
  <c r="S51" i="54"/>
  <c r="C10" i="54"/>
  <c r="C13" i="54"/>
  <c r="K14" i="54"/>
  <c r="C16" i="54"/>
  <c r="H102" i="51"/>
  <c r="H106" i="51"/>
  <c r="H22" i="51"/>
  <c r="H26" i="51"/>
  <c r="G41" i="54"/>
  <c r="K69" i="5"/>
  <c r="Q4" i="46"/>
  <c r="W50" i="54" l="1"/>
  <c r="O20" i="54"/>
  <c r="G9" i="54"/>
  <c r="C19" i="54" s="1"/>
  <c r="G15" i="54" s="1"/>
  <c r="K26" i="54"/>
  <c r="L69" i="5" l="1"/>
  <c r="G3" i="46" l="1"/>
  <c r="M69" i="5" l="1"/>
  <c r="N69" i="5" l="1"/>
  <c r="E54" i="3" l="1"/>
  <c r="H28" i="31"/>
  <c r="D34" i="4"/>
  <c r="D37" i="4"/>
  <c r="G49" i="7"/>
  <c r="D46" i="38"/>
  <c r="D46" i="37"/>
  <c r="D46" i="36"/>
  <c r="D46" i="34"/>
  <c r="D46" i="33"/>
  <c r="D46" i="32"/>
  <c r="H108" i="31"/>
  <c r="D102" i="31"/>
  <c r="H79" i="31"/>
  <c r="H78" i="31"/>
  <c r="D22" i="31"/>
  <c r="H11" i="31"/>
  <c r="H10" i="31"/>
  <c r="H108" i="30"/>
  <c r="D102" i="30"/>
  <c r="D96" i="30"/>
  <c r="H79" i="30"/>
  <c r="H78" i="30"/>
  <c r="H28" i="30"/>
  <c r="D22" i="30"/>
  <c r="H11" i="30"/>
  <c r="H108" i="29"/>
  <c r="D102" i="29"/>
  <c r="D96" i="29"/>
  <c r="H79" i="29"/>
  <c r="H78" i="29"/>
  <c r="H28" i="29"/>
  <c r="D22" i="29"/>
  <c r="D16" i="29"/>
  <c r="H11" i="29"/>
  <c r="H108" i="28"/>
  <c r="D98" i="28"/>
  <c r="H79" i="28"/>
  <c r="H78" i="28"/>
  <c r="H28" i="28"/>
  <c r="D18" i="28"/>
  <c r="H11" i="28"/>
  <c r="H108" i="27"/>
  <c r="D102" i="27"/>
  <c r="H79" i="27"/>
  <c r="H78" i="27"/>
  <c r="H28" i="27"/>
  <c r="D22" i="27"/>
  <c r="H11" i="27"/>
  <c r="H108" i="26"/>
  <c r="D104" i="26"/>
  <c r="D102" i="26"/>
  <c r="D98" i="26"/>
  <c r="H79" i="26"/>
  <c r="H78" i="26"/>
  <c r="H28" i="26"/>
  <c r="D24" i="26"/>
  <c r="D22" i="26"/>
  <c r="D18" i="26"/>
  <c r="H11" i="26"/>
  <c r="H108" i="25"/>
  <c r="D104" i="25"/>
  <c r="D102" i="25"/>
  <c r="D98" i="25"/>
  <c r="H79" i="25"/>
  <c r="H78" i="25"/>
  <c r="H28" i="25"/>
  <c r="D24" i="25"/>
  <c r="D18" i="25"/>
  <c r="H11" i="25"/>
  <c r="C686" i="24"/>
  <c r="B677" i="24"/>
  <c r="B676" i="24"/>
  <c r="B675" i="24"/>
  <c r="C502" i="24"/>
  <c r="B455" i="24"/>
  <c r="C686" i="23"/>
  <c r="C502" i="23"/>
  <c r="B455" i="23"/>
  <c r="C686" i="22"/>
  <c r="B677" i="22"/>
  <c r="B676" i="22"/>
  <c r="B675" i="22"/>
  <c r="C502" i="22"/>
  <c r="B455" i="22"/>
  <c r="C686" i="21"/>
  <c r="B677" i="21"/>
  <c r="B676" i="21"/>
  <c r="B675" i="21"/>
  <c r="B455" i="21"/>
  <c r="C686" i="20"/>
  <c r="B677" i="20"/>
  <c r="B676" i="20"/>
  <c r="B675" i="20"/>
  <c r="C502" i="20"/>
  <c r="B455" i="20"/>
  <c r="C686" i="19"/>
  <c r="B677" i="19"/>
  <c r="B676" i="19"/>
  <c r="B675" i="19"/>
  <c r="C502" i="19"/>
  <c r="B455" i="19"/>
  <c r="C767" i="18"/>
  <c r="C686" i="18"/>
  <c r="B677" i="18"/>
  <c r="B676" i="18"/>
  <c r="B675" i="18"/>
  <c r="C502" i="18"/>
  <c r="B455" i="18"/>
  <c r="J47" i="17"/>
  <c r="G17" i="17"/>
  <c r="G16" i="17"/>
  <c r="J47" i="16"/>
  <c r="G17" i="16"/>
  <c r="G16" i="16"/>
  <c r="J47" i="15"/>
  <c r="G17" i="15"/>
  <c r="G16" i="15"/>
  <c r="J47" i="14"/>
  <c r="G17" i="14"/>
  <c r="G16" i="14"/>
  <c r="J47" i="13"/>
  <c r="G17" i="13"/>
  <c r="G16" i="13"/>
  <c r="J47" i="12"/>
  <c r="G17" i="12"/>
  <c r="G16" i="12"/>
  <c r="J47" i="11"/>
  <c r="G17" i="11"/>
  <c r="G16" i="11"/>
  <c r="H32" i="9"/>
  <c r="G32" i="9"/>
  <c r="F32" i="9"/>
  <c r="E32" i="9"/>
  <c r="D32" i="9"/>
  <c r="C32" i="9"/>
  <c r="B32" i="9"/>
  <c r="H22" i="9"/>
  <c r="C663" i="2" s="1"/>
  <c r="G22" i="9"/>
  <c r="F22" i="9"/>
  <c r="C3" i="6" s="1"/>
  <c r="E22" i="9"/>
  <c r="B1" i="6" s="1"/>
  <c r="D22" i="9"/>
  <c r="A1" i="6" s="1"/>
  <c r="C22" i="9"/>
  <c r="C501" i="2" s="1"/>
  <c r="B22" i="9"/>
  <c r="I12" i="9"/>
  <c r="K2" i="7" s="1"/>
  <c r="H12" i="9"/>
  <c r="K3" i="7" s="1"/>
  <c r="G12" i="9"/>
  <c r="F12" i="9"/>
  <c r="N16" i="2" s="1"/>
  <c r="E12" i="9"/>
  <c r="D12" i="9"/>
  <c r="J4" i="7" s="1"/>
  <c r="C12" i="9"/>
  <c r="J3" i="7" s="1"/>
  <c r="B12" i="9"/>
  <c r="J2" i="7" s="1"/>
  <c r="H2" i="9"/>
  <c r="G2" i="9"/>
  <c r="F2" i="9"/>
  <c r="V78" i="7"/>
  <c r="D2" i="9"/>
  <c r="C2" i="9"/>
  <c r="B2" i="9"/>
  <c r="A3" i="6" s="1"/>
  <c r="AA178" i="7"/>
  <c r="AB178" i="7" s="1"/>
  <c r="Y178" i="7"/>
  <c r="Z178" i="7" s="1"/>
  <c r="X178" i="7"/>
  <c r="V178" i="7" s="1"/>
  <c r="AA177" i="7"/>
  <c r="AB177" i="7" s="1"/>
  <c r="Y177" i="7"/>
  <c r="X177" i="7"/>
  <c r="V177" i="7" s="1"/>
  <c r="AA176" i="7"/>
  <c r="AB176" i="7" s="1"/>
  <c r="Y176" i="7"/>
  <c r="AF176" i="7" s="1"/>
  <c r="X176" i="7"/>
  <c r="V176" i="7" s="1"/>
  <c r="AA175" i="7"/>
  <c r="AB175" i="7" s="1"/>
  <c r="Y175" i="7"/>
  <c r="AF175" i="7" s="1"/>
  <c r="X175" i="7"/>
  <c r="V175" i="7" s="1"/>
  <c r="AA174" i="7"/>
  <c r="AB174" i="7" s="1"/>
  <c r="Y174" i="7"/>
  <c r="Z174" i="7" s="1"/>
  <c r="X174" i="7"/>
  <c r="V174" i="7" s="1"/>
  <c r="AA173" i="7"/>
  <c r="AB173" i="7" s="1"/>
  <c r="Y173" i="7"/>
  <c r="AD173" i="7" s="1"/>
  <c r="X173" i="7"/>
  <c r="V173" i="7" s="1"/>
  <c r="AA172" i="7"/>
  <c r="AB172" i="7" s="1"/>
  <c r="Y172" i="7"/>
  <c r="Z172" i="7" s="1"/>
  <c r="X172" i="7"/>
  <c r="V172" i="7" s="1"/>
  <c r="AA171" i="7"/>
  <c r="AB171" i="7" s="1"/>
  <c r="Y171" i="7"/>
  <c r="AF171" i="7" s="1"/>
  <c r="X171" i="7"/>
  <c r="V171" i="7" s="1"/>
  <c r="AA170" i="7"/>
  <c r="AB170" i="7" s="1"/>
  <c r="Y170" i="7"/>
  <c r="AE170" i="7" s="1"/>
  <c r="X170" i="7"/>
  <c r="V170" i="7" s="1"/>
  <c r="AA169" i="7"/>
  <c r="AB169" i="7" s="1"/>
  <c r="Y169" i="7"/>
  <c r="AF169" i="7" s="1"/>
  <c r="X169" i="7"/>
  <c r="V169" i="7" s="1"/>
  <c r="AA168" i="7"/>
  <c r="AB168" i="7" s="1"/>
  <c r="Y168" i="7"/>
  <c r="AF168" i="7" s="1"/>
  <c r="X168" i="7"/>
  <c r="V168" i="7" s="1"/>
  <c r="AA167" i="7"/>
  <c r="AB167" i="7" s="1"/>
  <c r="Y167" i="7"/>
  <c r="AF167" i="7" s="1"/>
  <c r="X167" i="7"/>
  <c r="V167" i="7" s="1"/>
  <c r="AA166" i="7"/>
  <c r="AB166" i="7" s="1"/>
  <c r="Y166" i="7"/>
  <c r="AD166" i="7" s="1"/>
  <c r="X166" i="7"/>
  <c r="V166" i="7" s="1"/>
  <c r="AA165" i="7"/>
  <c r="AB165" i="7" s="1"/>
  <c r="Y165" i="7"/>
  <c r="AF165" i="7" s="1"/>
  <c r="X165" i="7"/>
  <c r="V165" i="7" s="1"/>
  <c r="AA164" i="7"/>
  <c r="AB164" i="7" s="1"/>
  <c r="Y164" i="7"/>
  <c r="X164" i="7"/>
  <c r="V164" i="7" s="1"/>
  <c r="AA163" i="7"/>
  <c r="AB163" i="7" s="1"/>
  <c r="Y163" i="7"/>
  <c r="AF163" i="7" s="1"/>
  <c r="X163" i="7"/>
  <c r="V163" i="7" s="1"/>
  <c r="AA162" i="7"/>
  <c r="AB162" i="7" s="1"/>
  <c r="Y162" i="7"/>
  <c r="X162" i="7"/>
  <c r="V162" i="7" s="1"/>
  <c r="AA161" i="7"/>
  <c r="AB161" i="7" s="1"/>
  <c r="Y161" i="7"/>
  <c r="AF161" i="7" s="1"/>
  <c r="X161" i="7"/>
  <c r="V161" i="7" s="1"/>
  <c r="AA160" i="7"/>
  <c r="AB160" i="7" s="1"/>
  <c r="Y160" i="7"/>
  <c r="AE160" i="7" s="1"/>
  <c r="X160" i="7"/>
  <c r="V160" i="7" s="1"/>
  <c r="AA159" i="7"/>
  <c r="AB159" i="7" s="1"/>
  <c r="Y159" i="7"/>
  <c r="AF159" i="7" s="1"/>
  <c r="X159" i="7"/>
  <c r="V159" i="7" s="1"/>
  <c r="AA158" i="7"/>
  <c r="AB158" i="7" s="1"/>
  <c r="Y158" i="7"/>
  <c r="X158" i="7"/>
  <c r="V158" i="7" s="1"/>
  <c r="AA157" i="7"/>
  <c r="AB157" i="7" s="1"/>
  <c r="Y157" i="7"/>
  <c r="AF157" i="7" s="1"/>
  <c r="X157" i="7"/>
  <c r="V157" i="7" s="1"/>
  <c r="AA156" i="7"/>
  <c r="AB156" i="7" s="1"/>
  <c r="Y156" i="7"/>
  <c r="AF156" i="7" s="1"/>
  <c r="X156" i="7"/>
  <c r="V156" i="7" s="1"/>
  <c r="AA155" i="7"/>
  <c r="AB155" i="7" s="1"/>
  <c r="Y155" i="7"/>
  <c r="AF155" i="7" s="1"/>
  <c r="X155" i="7"/>
  <c r="V155" i="7" s="1"/>
  <c r="AA154" i="7"/>
  <c r="AB154" i="7" s="1"/>
  <c r="Y154" i="7"/>
  <c r="AE154" i="7" s="1"/>
  <c r="X154" i="7"/>
  <c r="V154" i="7" s="1"/>
  <c r="AA153" i="7"/>
  <c r="AB153" i="7" s="1"/>
  <c r="Y153" i="7"/>
  <c r="AF153" i="7" s="1"/>
  <c r="X153" i="7"/>
  <c r="V153" i="7" s="1"/>
  <c r="AA152" i="7"/>
  <c r="AB152" i="7" s="1"/>
  <c r="Y152" i="7"/>
  <c r="AF152" i="7" s="1"/>
  <c r="X152" i="7"/>
  <c r="V152" i="7" s="1"/>
  <c r="AA151" i="7"/>
  <c r="AB151" i="7" s="1"/>
  <c r="Y151" i="7"/>
  <c r="AF151" i="7" s="1"/>
  <c r="X151" i="7"/>
  <c r="V151" i="7" s="1"/>
  <c r="AA150" i="7"/>
  <c r="AB150" i="7" s="1"/>
  <c r="Y150" i="7"/>
  <c r="AD150" i="7" s="1"/>
  <c r="X150" i="7"/>
  <c r="V150" i="7" s="1"/>
  <c r="AA149" i="7"/>
  <c r="AB149" i="7" s="1"/>
  <c r="Y149" i="7"/>
  <c r="AF149" i="7" s="1"/>
  <c r="X149" i="7"/>
  <c r="V149" i="7" s="1"/>
  <c r="AA148" i="7"/>
  <c r="AB148" i="7" s="1"/>
  <c r="Y148" i="7"/>
  <c r="AC148" i="7" s="1"/>
  <c r="X148" i="7"/>
  <c r="V148" i="7" s="1"/>
  <c r="AA147" i="7"/>
  <c r="AB147" i="7" s="1"/>
  <c r="Y147" i="7"/>
  <c r="X147" i="7"/>
  <c r="V147" i="7" s="1"/>
  <c r="AA146" i="7"/>
  <c r="AB146" i="7" s="1"/>
  <c r="Y146" i="7"/>
  <c r="Z146" i="7" s="1"/>
  <c r="X146" i="7"/>
  <c r="V146" i="7" s="1"/>
  <c r="AA145" i="7"/>
  <c r="AB145" i="7" s="1"/>
  <c r="Y145" i="7"/>
  <c r="AD145" i="7" s="1"/>
  <c r="X145" i="7"/>
  <c r="V145" i="7" s="1"/>
  <c r="AA144" i="7"/>
  <c r="AB144" i="7" s="1"/>
  <c r="Y144" i="7"/>
  <c r="Z144" i="7" s="1"/>
  <c r="X144" i="7"/>
  <c r="V144" i="7" s="1"/>
  <c r="AA143" i="7"/>
  <c r="AB143" i="7" s="1"/>
  <c r="Y143" i="7"/>
  <c r="AE143" i="7" s="1"/>
  <c r="X143" i="7"/>
  <c r="V143" i="7" s="1"/>
  <c r="AA142" i="7"/>
  <c r="AB142" i="7" s="1"/>
  <c r="Y142" i="7"/>
  <c r="AE142" i="7" s="1"/>
  <c r="X142" i="7"/>
  <c r="V142" i="7" s="1"/>
  <c r="AA141" i="7"/>
  <c r="AB141" i="7" s="1"/>
  <c r="Y141" i="7"/>
  <c r="AF141" i="7" s="1"/>
  <c r="X141" i="7"/>
  <c r="V141" i="7" s="1"/>
  <c r="AA140" i="7"/>
  <c r="AB140" i="7" s="1"/>
  <c r="Y140" i="7"/>
  <c r="AE140" i="7" s="1"/>
  <c r="X140" i="7"/>
  <c r="V140" i="7" s="1"/>
  <c r="AA139" i="7"/>
  <c r="AB139" i="7" s="1"/>
  <c r="Y139" i="7"/>
  <c r="X139" i="7"/>
  <c r="V139" i="7" s="1"/>
  <c r="AA138" i="7"/>
  <c r="AB138" i="7" s="1"/>
  <c r="Y138" i="7"/>
  <c r="Z138" i="7" s="1"/>
  <c r="X138" i="7"/>
  <c r="V138" i="7" s="1"/>
  <c r="AA137" i="7"/>
  <c r="AB137" i="7" s="1"/>
  <c r="Y137" i="7"/>
  <c r="AD137" i="7" s="1"/>
  <c r="X137" i="7"/>
  <c r="V137" i="7" s="1"/>
  <c r="AA136" i="7"/>
  <c r="AB136" i="7" s="1"/>
  <c r="Y136" i="7"/>
  <c r="AD136" i="7" s="1"/>
  <c r="X136" i="7"/>
  <c r="V136" i="7" s="1"/>
  <c r="AA135" i="7"/>
  <c r="AB135" i="7" s="1"/>
  <c r="Y135" i="7"/>
  <c r="AE135" i="7" s="1"/>
  <c r="X135" i="7"/>
  <c r="V135" i="7" s="1"/>
  <c r="AA134" i="7"/>
  <c r="AB134" i="7" s="1"/>
  <c r="Y134" i="7"/>
  <c r="X134" i="7"/>
  <c r="V134" i="7" s="1"/>
  <c r="AA133" i="7"/>
  <c r="AB133" i="7" s="1"/>
  <c r="Y133" i="7"/>
  <c r="AF133" i="7" s="1"/>
  <c r="X133" i="7"/>
  <c r="V133" i="7" s="1"/>
  <c r="AA132" i="7"/>
  <c r="AB132" i="7" s="1"/>
  <c r="Y132" i="7"/>
  <c r="AF132" i="7" s="1"/>
  <c r="X132" i="7"/>
  <c r="V132" i="7" s="1"/>
  <c r="AA131" i="7"/>
  <c r="AB131" i="7" s="1"/>
  <c r="Y131" i="7"/>
  <c r="X131" i="7"/>
  <c r="V131" i="7" s="1"/>
  <c r="AA130" i="7"/>
  <c r="AB130" i="7" s="1"/>
  <c r="Y130" i="7"/>
  <c r="AE130" i="7" s="1"/>
  <c r="X130" i="7"/>
  <c r="V130" i="7" s="1"/>
  <c r="AA129" i="7"/>
  <c r="AB129" i="7" s="1"/>
  <c r="Y129" i="7"/>
  <c r="AD129" i="7" s="1"/>
  <c r="X129" i="7"/>
  <c r="V129" i="7" s="1"/>
  <c r="AA128" i="7"/>
  <c r="AB128" i="7" s="1"/>
  <c r="Y128" i="7"/>
  <c r="AF128" i="7" s="1"/>
  <c r="X128" i="7"/>
  <c r="V128" i="7" s="1"/>
  <c r="AA127" i="7"/>
  <c r="AB127" i="7" s="1"/>
  <c r="Y127" i="7"/>
  <c r="Z127" i="7" s="1"/>
  <c r="X127" i="7"/>
  <c r="V127" i="7" s="1"/>
  <c r="AA126" i="7"/>
  <c r="AB126" i="7" s="1"/>
  <c r="Y126" i="7"/>
  <c r="AF126" i="7" s="1"/>
  <c r="X126" i="7"/>
  <c r="V126" i="7" s="1"/>
  <c r="AA125" i="7"/>
  <c r="AB125" i="7" s="1"/>
  <c r="Y125" i="7"/>
  <c r="AF125" i="7" s="1"/>
  <c r="X125" i="7"/>
  <c r="V125" i="7" s="1"/>
  <c r="AA124" i="7"/>
  <c r="AB124" i="7" s="1"/>
  <c r="Y124" i="7"/>
  <c r="AF124" i="7" s="1"/>
  <c r="X124" i="7"/>
  <c r="V124" i="7" s="1"/>
  <c r="AA123" i="7"/>
  <c r="AB123" i="7" s="1"/>
  <c r="Y123" i="7"/>
  <c r="AD123" i="7" s="1"/>
  <c r="X123" i="7"/>
  <c r="V123" i="7" s="1"/>
  <c r="AA122" i="7"/>
  <c r="AB122" i="7" s="1"/>
  <c r="Y122" i="7"/>
  <c r="X122" i="7"/>
  <c r="V122" i="7" s="1"/>
  <c r="AA121" i="7"/>
  <c r="AB121" i="7" s="1"/>
  <c r="Y121" i="7"/>
  <c r="AF121" i="7" s="1"/>
  <c r="X121" i="7"/>
  <c r="V121" i="7" s="1"/>
  <c r="AA120" i="7"/>
  <c r="AB120" i="7" s="1"/>
  <c r="Y120" i="7"/>
  <c r="AD120" i="7" s="1"/>
  <c r="X120" i="7"/>
  <c r="V120" i="7" s="1"/>
  <c r="AA119" i="7"/>
  <c r="AB119" i="7" s="1"/>
  <c r="Y119" i="7"/>
  <c r="Z119" i="7" s="1"/>
  <c r="X119" i="7"/>
  <c r="V119" i="7" s="1"/>
  <c r="AA118" i="7"/>
  <c r="AB118" i="7" s="1"/>
  <c r="Y118" i="7"/>
  <c r="AE118" i="7" s="1"/>
  <c r="X118" i="7"/>
  <c r="V118" i="7" s="1"/>
  <c r="AA117" i="7"/>
  <c r="AB117" i="7" s="1"/>
  <c r="Y117" i="7"/>
  <c r="AC117" i="7" s="1"/>
  <c r="X117" i="7"/>
  <c r="V117" i="7" s="1"/>
  <c r="AA116" i="7"/>
  <c r="AB116" i="7" s="1"/>
  <c r="Y116" i="7"/>
  <c r="AE116" i="7" s="1"/>
  <c r="X116" i="7"/>
  <c r="V116" i="7" s="1"/>
  <c r="AA115" i="7"/>
  <c r="AB115" i="7" s="1"/>
  <c r="Y115" i="7"/>
  <c r="X115" i="7"/>
  <c r="V115" i="7" s="1"/>
  <c r="AA114" i="7"/>
  <c r="AB114" i="7" s="1"/>
  <c r="Y114" i="7"/>
  <c r="AC114" i="7" s="1"/>
  <c r="X114" i="7"/>
  <c r="V114" i="7" s="1"/>
  <c r="AA113" i="7"/>
  <c r="AB113" i="7" s="1"/>
  <c r="Y113" i="7"/>
  <c r="AF113" i="7" s="1"/>
  <c r="X113" i="7"/>
  <c r="V113" i="7" s="1"/>
  <c r="AA112" i="7"/>
  <c r="AB112" i="7" s="1"/>
  <c r="Y112" i="7"/>
  <c r="X112" i="7"/>
  <c r="V112" i="7" s="1"/>
  <c r="AA111" i="7"/>
  <c r="AB111" i="7" s="1"/>
  <c r="Y111" i="7"/>
  <c r="AC111" i="7" s="1"/>
  <c r="X111" i="7"/>
  <c r="V111" i="7" s="1"/>
  <c r="AA110" i="7"/>
  <c r="AB110" i="7" s="1"/>
  <c r="Y110" i="7"/>
  <c r="AC110" i="7" s="1"/>
  <c r="X110" i="7"/>
  <c r="V110" i="7" s="1"/>
  <c r="AA109" i="7"/>
  <c r="AB109" i="7" s="1"/>
  <c r="Y109" i="7"/>
  <c r="Z109" i="7" s="1"/>
  <c r="X109" i="7"/>
  <c r="V109" i="7" s="1"/>
  <c r="AA108" i="7"/>
  <c r="AB108" i="7" s="1"/>
  <c r="Y108" i="7"/>
  <c r="AD108" i="7" s="1"/>
  <c r="X108" i="7"/>
  <c r="V108" i="7" s="1"/>
  <c r="AA107" i="7"/>
  <c r="AB107" i="7" s="1"/>
  <c r="Y107" i="7"/>
  <c r="AF107" i="7" s="1"/>
  <c r="X107" i="7"/>
  <c r="V107" i="7" s="1"/>
  <c r="AA106" i="7"/>
  <c r="AB106" i="7" s="1"/>
  <c r="Y106" i="7"/>
  <c r="AE106" i="7" s="1"/>
  <c r="X106" i="7"/>
  <c r="V106" i="7" s="1"/>
  <c r="AA105" i="7"/>
  <c r="AB105" i="7" s="1"/>
  <c r="Y105" i="7"/>
  <c r="AF105" i="7" s="1"/>
  <c r="X105" i="7"/>
  <c r="V105" i="7" s="1"/>
  <c r="AA104" i="7"/>
  <c r="AB104" i="7" s="1"/>
  <c r="Y104" i="7"/>
  <c r="X104" i="7"/>
  <c r="V104" i="7" s="1"/>
  <c r="AA103" i="7"/>
  <c r="AB103" i="7" s="1"/>
  <c r="Y103" i="7"/>
  <c r="Z103" i="7" s="1"/>
  <c r="X103" i="7"/>
  <c r="V103" i="7" s="1"/>
  <c r="AA102" i="7"/>
  <c r="AB102" i="7" s="1"/>
  <c r="Y102" i="7"/>
  <c r="AE102" i="7" s="1"/>
  <c r="X102" i="7"/>
  <c r="V102" i="7" s="1"/>
  <c r="AA101" i="7"/>
  <c r="AB101" i="7" s="1"/>
  <c r="Y101" i="7"/>
  <c r="AF101" i="7" s="1"/>
  <c r="X101" i="7"/>
  <c r="V101" i="7" s="1"/>
  <c r="AA100" i="7"/>
  <c r="AB100" i="7" s="1"/>
  <c r="Y100" i="7"/>
  <c r="AC100" i="7" s="1"/>
  <c r="X100" i="7"/>
  <c r="V100" i="7" s="1"/>
  <c r="AA99" i="7"/>
  <c r="AB99" i="7" s="1"/>
  <c r="Y99" i="7"/>
  <c r="X99" i="7"/>
  <c r="V99" i="7" s="1"/>
  <c r="AA98" i="7"/>
  <c r="AB98" i="7" s="1"/>
  <c r="Y98" i="7"/>
  <c r="AC98" i="7" s="1"/>
  <c r="X98" i="7"/>
  <c r="V98" i="7" s="1"/>
  <c r="AA97" i="7"/>
  <c r="AB97" i="7" s="1"/>
  <c r="Y97" i="7"/>
  <c r="Z97" i="7" s="1"/>
  <c r="X97" i="7"/>
  <c r="V97" i="7" s="1"/>
  <c r="AA96" i="7"/>
  <c r="AB96" i="7" s="1"/>
  <c r="Y96" i="7"/>
  <c r="AF96" i="7" s="1"/>
  <c r="X96" i="7"/>
  <c r="V96" i="7" s="1"/>
  <c r="AA95" i="7"/>
  <c r="AB95" i="7" s="1"/>
  <c r="Y95" i="7"/>
  <c r="AD95" i="7" s="1"/>
  <c r="X95" i="7"/>
  <c r="V95" i="7" s="1"/>
  <c r="AA94" i="7"/>
  <c r="AB94" i="7" s="1"/>
  <c r="Y94" i="7"/>
  <c r="AC94" i="7" s="1"/>
  <c r="X94" i="7"/>
  <c r="V94" i="7" s="1"/>
  <c r="AA93" i="7"/>
  <c r="AB93" i="7" s="1"/>
  <c r="Y93" i="7"/>
  <c r="Z93" i="7" s="1"/>
  <c r="X93" i="7"/>
  <c r="V93" i="7" s="1"/>
  <c r="AA92" i="7"/>
  <c r="AB92" i="7" s="1"/>
  <c r="Y92" i="7"/>
  <c r="AD92" i="7" s="1"/>
  <c r="X92" i="7"/>
  <c r="V92" i="7" s="1"/>
  <c r="AA91" i="7"/>
  <c r="AB91" i="7" s="1"/>
  <c r="Y91" i="7"/>
  <c r="X91" i="7"/>
  <c r="V91" i="7" s="1"/>
  <c r="AA90" i="7"/>
  <c r="AB90" i="7" s="1"/>
  <c r="Y90" i="7"/>
  <c r="AF90" i="7" s="1"/>
  <c r="X90" i="7"/>
  <c r="V90" i="7" s="1"/>
  <c r="AA89" i="7"/>
  <c r="AB89" i="7" s="1"/>
  <c r="Y89" i="7"/>
  <c r="AD89" i="7" s="1"/>
  <c r="X89" i="7"/>
  <c r="V89" i="7" s="1"/>
  <c r="AA88" i="7"/>
  <c r="AB88" i="7" s="1"/>
  <c r="Y88" i="7"/>
  <c r="AD88" i="7" s="1"/>
  <c r="X88" i="7"/>
  <c r="V88" i="7" s="1"/>
  <c r="AA87" i="7"/>
  <c r="AB87" i="7" s="1"/>
  <c r="Y87" i="7"/>
  <c r="AD87" i="7" s="1"/>
  <c r="X87" i="7"/>
  <c r="V87" i="7" s="1"/>
  <c r="AA86" i="7"/>
  <c r="AB86" i="7" s="1"/>
  <c r="Y86" i="7"/>
  <c r="AC86" i="7" s="1"/>
  <c r="X86" i="7"/>
  <c r="V86" i="7" s="1"/>
  <c r="AA85" i="7"/>
  <c r="AB85" i="7" s="1"/>
  <c r="Y85" i="7"/>
  <c r="AD85" i="7" s="1"/>
  <c r="X85" i="7"/>
  <c r="V85" i="7" s="1"/>
  <c r="AA84" i="7"/>
  <c r="AB84" i="7" s="1"/>
  <c r="Y84" i="7"/>
  <c r="AD84" i="7" s="1"/>
  <c r="X84" i="7"/>
  <c r="V84" i="7" s="1"/>
  <c r="AA83" i="7"/>
  <c r="AB83" i="7" s="1"/>
  <c r="Y83" i="7"/>
  <c r="Z83" i="7" s="1"/>
  <c r="X83" i="7"/>
  <c r="V83" i="7" s="1"/>
  <c r="AA82" i="7"/>
  <c r="AB82" i="7" s="1"/>
  <c r="Y82" i="7"/>
  <c r="AF82" i="7" s="1"/>
  <c r="X82" i="7"/>
  <c r="V82" i="7" s="1"/>
  <c r="AA81" i="7"/>
  <c r="AB81" i="7" s="1"/>
  <c r="Y81" i="7"/>
  <c r="AC81" i="7" s="1"/>
  <c r="X81" i="7"/>
  <c r="V81" i="7" s="1"/>
  <c r="AA80" i="7"/>
  <c r="AB80" i="7" s="1"/>
  <c r="Y80" i="7"/>
  <c r="AC80" i="7" s="1"/>
  <c r="X80" i="7"/>
  <c r="V80" i="7" s="1"/>
  <c r="AA79" i="7"/>
  <c r="AB79" i="7" s="1"/>
  <c r="Y79" i="7"/>
  <c r="Z79" i="7" s="1"/>
  <c r="X79" i="7"/>
  <c r="V79" i="7" s="1"/>
  <c r="AB75" i="7"/>
  <c r="AA75" i="7"/>
  <c r="Z75" i="7"/>
  <c r="Y75" i="7"/>
  <c r="W75" i="7"/>
  <c r="AB74" i="7"/>
  <c r="AA74" i="7"/>
  <c r="Z74" i="7"/>
  <c r="Y74" i="7"/>
  <c r="W74" i="7"/>
  <c r="AB73" i="7"/>
  <c r="AA73" i="7"/>
  <c r="Z73" i="7"/>
  <c r="Y73" i="7"/>
  <c r="W73" i="7"/>
  <c r="AB72" i="7"/>
  <c r="AA72" i="7"/>
  <c r="Z72" i="7"/>
  <c r="Y72" i="7"/>
  <c r="W72" i="7"/>
  <c r="O74" i="7"/>
  <c r="AB71" i="7"/>
  <c r="AA71" i="7"/>
  <c r="Z71" i="7"/>
  <c r="Y71" i="7"/>
  <c r="W71" i="7"/>
  <c r="O73" i="7"/>
  <c r="AB70" i="7"/>
  <c r="AA70" i="7"/>
  <c r="Z70" i="7"/>
  <c r="Y70" i="7"/>
  <c r="W70" i="7"/>
  <c r="O72" i="7"/>
  <c r="AB69" i="7"/>
  <c r="AA69" i="7"/>
  <c r="Z69" i="7"/>
  <c r="Y69" i="7"/>
  <c r="W69" i="7"/>
  <c r="O71" i="7"/>
  <c r="AB68" i="7"/>
  <c r="AA68" i="7"/>
  <c r="Z68" i="7"/>
  <c r="Y68" i="7"/>
  <c r="W68" i="7"/>
  <c r="O70" i="7"/>
  <c r="AB67" i="7"/>
  <c r="AA67" i="7"/>
  <c r="Z67" i="7"/>
  <c r="Y67" i="7"/>
  <c r="W67" i="7"/>
  <c r="O69" i="7"/>
  <c r="AB66" i="7"/>
  <c r="AA66" i="7"/>
  <c r="Z66" i="7"/>
  <c r="Y66" i="7"/>
  <c r="W66" i="7"/>
  <c r="O68" i="7"/>
  <c r="AB65" i="7"/>
  <c r="AA65" i="7"/>
  <c r="Z65" i="7"/>
  <c r="Y65" i="7"/>
  <c r="W65" i="7"/>
  <c r="O67" i="7"/>
  <c r="AB64" i="7"/>
  <c r="AA64" i="7"/>
  <c r="Z64" i="7"/>
  <c r="Y64" i="7"/>
  <c r="W64" i="7"/>
  <c r="O66" i="7"/>
  <c r="AB63" i="7"/>
  <c r="AA63" i="7"/>
  <c r="Z63" i="7"/>
  <c r="Y63" i="7"/>
  <c r="W63" i="7"/>
  <c r="O65" i="7"/>
  <c r="AB62" i="7"/>
  <c r="AA62" i="7"/>
  <c r="Z62" i="7"/>
  <c r="Y62" i="7"/>
  <c r="W62" i="7"/>
  <c r="O64" i="7"/>
  <c r="AB61" i="7"/>
  <c r="AA61" i="7"/>
  <c r="Z61" i="7"/>
  <c r="Y61" i="7"/>
  <c r="W61" i="7"/>
  <c r="O63" i="7"/>
  <c r="AB60" i="7"/>
  <c r="AA60" i="7"/>
  <c r="Z60" i="7"/>
  <c r="Y60" i="7"/>
  <c r="W60" i="7"/>
  <c r="O62" i="7"/>
  <c r="AB59" i="7"/>
  <c r="AA59" i="7"/>
  <c r="Z59" i="7"/>
  <c r="Y59" i="7"/>
  <c r="W59" i="7"/>
  <c r="O61" i="7"/>
  <c r="AB58" i="7"/>
  <c r="AA58" i="7"/>
  <c r="Z58" i="7"/>
  <c r="Y58" i="7"/>
  <c r="W58" i="7"/>
  <c r="O60" i="7"/>
  <c r="AB57" i="7"/>
  <c r="AA57" i="7"/>
  <c r="Z57" i="7"/>
  <c r="Y57" i="7"/>
  <c r="W57" i="7"/>
  <c r="O59" i="7"/>
  <c r="AB56" i="7"/>
  <c r="AA56" i="7"/>
  <c r="Z56" i="7"/>
  <c r="Y56" i="7"/>
  <c r="W56" i="7"/>
  <c r="O58" i="7"/>
  <c r="AB55" i="7"/>
  <c r="AA55" i="7"/>
  <c r="Z55" i="7"/>
  <c r="Y55" i="7"/>
  <c r="W55" i="7"/>
  <c r="O57" i="7"/>
  <c r="AB54" i="7"/>
  <c r="AA54" i="7"/>
  <c r="Z54" i="7"/>
  <c r="Y54" i="7"/>
  <c r="W54" i="7"/>
  <c r="O56" i="7"/>
  <c r="N59" i="7"/>
  <c r="AB53" i="7"/>
  <c r="AA53" i="7"/>
  <c r="Z53" i="7"/>
  <c r="Y53" i="7"/>
  <c r="W53" i="7"/>
  <c r="O55" i="7"/>
  <c r="N58" i="7"/>
  <c r="E486" i="4" s="1"/>
  <c r="AB52" i="7"/>
  <c r="AA52" i="7"/>
  <c r="Z52" i="7"/>
  <c r="Y52" i="7"/>
  <c r="W52" i="7"/>
  <c r="O54" i="7"/>
  <c r="N57" i="7"/>
  <c r="AB51" i="7"/>
  <c r="AA51" i="7"/>
  <c r="Z51" i="7"/>
  <c r="Y51" i="7"/>
  <c r="W51" i="7"/>
  <c r="O53" i="7"/>
  <c r="N56" i="7"/>
  <c r="E166" i="4" s="1"/>
  <c r="AB50" i="7"/>
  <c r="AA50" i="7"/>
  <c r="Z50" i="7"/>
  <c r="Y50" i="7"/>
  <c r="W50" i="7"/>
  <c r="O52" i="7"/>
  <c r="N55" i="7"/>
  <c r="E122" i="4" s="1"/>
  <c r="AB49" i="7"/>
  <c r="AA49" i="7"/>
  <c r="Z49" i="7"/>
  <c r="Y49" i="7"/>
  <c r="W49" i="7"/>
  <c r="O51" i="7"/>
  <c r="N54" i="7"/>
  <c r="E78" i="4" s="1"/>
  <c r="AB48" i="7"/>
  <c r="AA48" i="7"/>
  <c r="Z48" i="7"/>
  <c r="Y48" i="7"/>
  <c r="W48" i="7"/>
  <c r="O50" i="7"/>
  <c r="AB47" i="7"/>
  <c r="AA47" i="7"/>
  <c r="Z47" i="7"/>
  <c r="Y47" i="7"/>
  <c r="W47" i="7"/>
  <c r="O49" i="7"/>
  <c r="AB46" i="7"/>
  <c r="AA46" i="7"/>
  <c r="Z46" i="7"/>
  <c r="Y46" i="7"/>
  <c r="W46" i="7"/>
  <c r="O48" i="7"/>
  <c r="O47" i="7"/>
  <c r="L41" i="7"/>
  <c r="L40" i="7"/>
  <c r="G40" i="7"/>
  <c r="G41" i="7" s="1"/>
  <c r="G46" i="7" s="1"/>
  <c r="L39" i="7"/>
  <c r="L38" i="7"/>
  <c r="L37" i="7"/>
  <c r="L35" i="7"/>
  <c r="L34" i="7"/>
  <c r="L33" i="7"/>
  <c r="L32" i="7"/>
  <c r="L31" i="7"/>
  <c r="L30" i="7"/>
  <c r="L29" i="7"/>
  <c r="A33" i="7"/>
  <c r="A35" i="7" s="1"/>
  <c r="A31" i="7"/>
  <c r="A27" i="7"/>
  <c r="A25" i="7"/>
  <c r="A24" i="7"/>
  <c r="A21" i="7"/>
  <c r="A19" i="7"/>
  <c r="C17" i="7"/>
  <c r="A17" i="7"/>
  <c r="I18" i="7"/>
  <c r="A16" i="7"/>
  <c r="D48" i="4" s="1"/>
  <c r="X13" i="7"/>
  <c r="I13" i="7"/>
  <c r="D9" i="4" s="1"/>
  <c r="H455" i="4"/>
  <c r="B4" i="7"/>
  <c r="C1" i="7"/>
  <c r="N103" i="5"/>
  <c r="M103" i="5"/>
  <c r="L103" i="5"/>
  <c r="K103" i="5"/>
  <c r="H103" i="5"/>
  <c r="I103" i="5" s="1"/>
  <c r="N101" i="5"/>
  <c r="M101" i="5"/>
  <c r="L101" i="5"/>
  <c r="K101" i="5"/>
  <c r="H101" i="5"/>
  <c r="I101" i="5" s="1"/>
  <c r="C37" i="5"/>
  <c r="C36" i="5"/>
  <c r="H34" i="5"/>
  <c r="C30" i="5"/>
  <c r="C25" i="5"/>
  <c r="C21" i="5"/>
  <c r="C16" i="5"/>
  <c r="N12" i="5"/>
  <c r="M12" i="5"/>
  <c r="L12" i="5"/>
  <c r="K12" i="5"/>
  <c r="I12" i="5"/>
  <c r="N11" i="5"/>
  <c r="M11" i="5"/>
  <c r="L11" i="5"/>
  <c r="K11" i="5"/>
  <c r="I11" i="5"/>
  <c r="G5" i="5"/>
  <c r="G84" i="5" s="1"/>
  <c r="C5" i="5"/>
  <c r="C84" i="5" s="1"/>
  <c r="J256" i="4"/>
  <c r="I256" i="4"/>
  <c r="H256" i="4"/>
  <c r="G256" i="4"/>
  <c r="F256" i="4"/>
  <c r="D256" i="4"/>
  <c r="J241" i="4"/>
  <c r="I241" i="4"/>
  <c r="G241" i="4"/>
  <c r="F241" i="4"/>
  <c r="D241" i="4"/>
  <c r="J222" i="4"/>
  <c r="I222" i="4"/>
  <c r="F222" i="4"/>
  <c r="G222" i="4" s="1"/>
  <c r="J210" i="4"/>
  <c r="I210" i="4"/>
  <c r="H210" i="4"/>
  <c r="G210" i="4"/>
  <c r="F210" i="4"/>
  <c r="D210" i="4"/>
  <c r="J195" i="4"/>
  <c r="I195" i="4"/>
  <c r="G195" i="4"/>
  <c r="F195" i="4"/>
  <c r="D195" i="4"/>
  <c r="J178" i="4"/>
  <c r="I178" i="4"/>
  <c r="F178" i="4"/>
  <c r="G178" i="4" s="1"/>
  <c r="J166" i="4"/>
  <c r="I166" i="4"/>
  <c r="H166" i="4"/>
  <c r="G166" i="4"/>
  <c r="F166" i="4"/>
  <c r="D166" i="4"/>
  <c r="J151" i="4"/>
  <c r="I151" i="4"/>
  <c r="G151" i="4"/>
  <c r="F151" i="4"/>
  <c r="D151" i="4"/>
  <c r="J134" i="4"/>
  <c r="I134" i="4"/>
  <c r="F134" i="4"/>
  <c r="G134" i="4" s="1"/>
  <c r="J122" i="4"/>
  <c r="I122" i="4"/>
  <c r="H122" i="4"/>
  <c r="G122" i="4"/>
  <c r="F122" i="4"/>
  <c r="D122" i="4"/>
  <c r="J107" i="4"/>
  <c r="I107" i="4"/>
  <c r="G107" i="4"/>
  <c r="F107" i="4"/>
  <c r="D107" i="4"/>
  <c r="J90" i="4"/>
  <c r="I90" i="4"/>
  <c r="F90" i="4"/>
  <c r="G90" i="4" s="1"/>
  <c r="J63" i="4"/>
  <c r="I63" i="4"/>
  <c r="G63" i="4"/>
  <c r="F63" i="4"/>
  <c r="D63" i="4"/>
  <c r="H47" i="4"/>
  <c r="D47" i="4"/>
  <c r="D46" i="4"/>
  <c r="D33" i="4"/>
  <c r="J18" i="4"/>
  <c r="I18" i="4"/>
  <c r="G18" i="4"/>
  <c r="F18" i="4"/>
  <c r="D18" i="4"/>
  <c r="D8" i="4"/>
  <c r="H7" i="4"/>
  <c r="F7" i="4" s="1"/>
  <c r="F8" i="4" s="1"/>
  <c r="H1" i="4"/>
  <c r="D1" i="4"/>
  <c r="D126" i="3"/>
  <c r="J125" i="3"/>
  <c r="F127" i="3" s="1"/>
  <c r="E125" i="3"/>
  <c r="G108" i="3"/>
  <c r="D104" i="3"/>
  <c r="D98" i="3"/>
  <c r="F93" i="3"/>
  <c r="J84" i="3"/>
  <c r="I84" i="3" s="1"/>
  <c r="H84" i="3"/>
  <c r="J83" i="3"/>
  <c r="I83" i="3" s="1"/>
  <c r="H83" i="3"/>
  <c r="G47" i="3"/>
  <c r="G46" i="3"/>
  <c r="G45" i="3"/>
  <c r="G44" i="3"/>
  <c r="G43" i="3"/>
  <c r="G42" i="3"/>
  <c r="G41" i="3"/>
  <c r="D41" i="3"/>
  <c r="G40" i="3"/>
  <c r="D40" i="3"/>
  <c r="G39" i="3"/>
  <c r="D39" i="3"/>
  <c r="G28" i="3"/>
  <c r="J24" i="3"/>
  <c r="D24" i="3"/>
  <c r="D18" i="3"/>
  <c r="F12" i="3"/>
  <c r="H11" i="3"/>
  <c r="F10" i="3"/>
  <c r="F9" i="3"/>
  <c r="J5" i="3"/>
  <c r="D102" i="3" s="1"/>
  <c r="E5" i="3"/>
  <c r="F4" i="3"/>
  <c r="J1" i="3"/>
  <c r="D216" i="4"/>
  <c r="D38" i="4"/>
  <c r="D36" i="4"/>
  <c r="D35" i="4"/>
  <c r="E68" i="1"/>
  <c r="E69" i="1" s="1"/>
  <c r="E126" i="3" s="1"/>
  <c r="J48" i="1"/>
  <c r="J47" i="1"/>
  <c r="E47" i="1"/>
  <c r="H34" i="1"/>
  <c r="H35" i="1"/>
  <c r="F29" i="1"/>
  <c r="F31" i="1"/>
  <c r="G31" i="1" s="1"/>
  <c r="H31" i="1" s="1"/>
  <c r="I31" i="1" s="1"/>
  <c r="F28" i="1"/>
  <c r="G27" i="1"/>
  <c r="F27" i="1"/>
  <c r="F25" i="1"/>
  <c r="N512" i="2" s="1"/>
  <c r="G24" i="1"/>
  <c r="F24" i="1"/>
  <c r="F18" i="1"/>
  <c r="G17" i="1"/>
  <c r="G16" i="1"/>
  <c r="H13" i="1"/>
  <c r="L9" i="1"/>
  <c r="L10" i="1" s="1"/>
  <c r="H9" i="1" s="1"/>
  <c r="K9" i="1"/>
  <c r="J9" i="1"/>
  <c r="J10" i="1" s="1"/>
  <c r="F10" i="1" s="1"/>
  <c r="B532" i="2" l="1"/>
  <c r="B516" i="2"/>
  <c r="B517" i="2"/>
  <c r="F38" i="3"/>
  <c r="B2" i="8" s="1"/>
  <c r="G693" i="2"/>
  <c r="G694" i="2" s="1"/>
  <c r="H693" i="2"/>
  <c r="I693" i="2"/>
  <c r="J693" i="2"/>
  <c r="K693" i="2"/>
  <c r="M693" i="2"/>
  <c r="L693" i="2"/>
  <c r="N693" i="2"/>
  <c r="G4" i="2"/>
  <c r="H4" i="2"/>
  <c r="H1088" i="2" s="1"/>
  <c r="H345" i="2" s="1"/>
  <c r="H346" i="2" s="1"/>
  <c r="G997" i="2"/>
  <c r="G1066" i="2"/>
  <c r="G1069" i="2" s="1"/>
  <c r="G14" i="2"/>
  <c r="G998" i="2"/>
  <c r="D1048" i="2"/>
  <c r="G1065" i="2"/>
  <c r="G1068" i="2" s="1"/>
  <c r="D1042" i="2"/>
  <c r="G1076" i="2"/>
  <c r="G1077" i="2"/>
  <c r="G1045" i="2"/>
  <c r="G999" i="2"/>
  <c r="G996" i="2"/>
  <c r="J1013" i="2"/>
  <c r="J14" i="2"/>
  <c r="L998" i="2"/>
  <c r="J996" i="2"/>
  <c r="J1045" i="2"/>
  <c r="K998" i="2"/>
  <c r="M996" i="2"/>
  <c r="H997" i="2"/>
  <c r="K1045" i="2"/>
  <c r="M997" i="2"/>
  <c r="K14" i="2"/>
  <c r="I999" i="2"/>
  <c r="K997" i="2"/>
  <c r="M999" i="2"/>
  <c r="H996" i="2"/>
  <c r="I997" i="2"/>
  <c r="J999" i="2"/>
  <c r="L14" i="2"/>
  <c r="H1045" i="2"/>
  <c r="K1013" i="2"/>
  <c r="M1045" i="2"/>
  <c r="H998" i="2"/>
  <c r="I1013" i="2"/>
  <c r="I14" i="2"/>
  <c r="M1013" i="2"/>
  <c r="L996" i="2"/>
  <c r="K996" i="2"/>
  <c r="J997" i="2"/>
  <c r="H1013" i="2"/>
  <c r="I998" i="2"/>
  <c r="L997" i="2"/>
  <c r="I1045" i="2"/>
  <c r="H14" i="2"/>
  <c r="L999" i="2"/>
  <c r="J998" i="2"/>
  <c r="H999" i="2"/>
  <c r="L1045" i="2"/>
  <c r="M1076" i="2"/>
  <c r="M1078" i="2" s="1"/>
  <c r="M1077" i="2"/>
  <c r="K999" i="2"/>
  <c r="M14" i="2"/>
  <c r="G1013" i="2"/>
  <c r="I996" i="2"/>
  <c r="L1013" i="2"/>
  <c r="M998" i="2"/>
  <c r="N14" i="2"/>
  <c r="I1066" i="2"/>
  <c r="N1046" i="2"/>
  <c r="M1064" i="2"/>
  <c r="I1076" i="2"/>
  <c r="I1078" i="2" s="1"/>
  <c r="H1077" i="2"/>
  <c r="H1076" i="2"/>
  <c r="H1078" i="2" s="1"/>
  <c r="N1049" i="2"/>
  <c r="L1077" i="2"/>
  <c r="I1077" i="2"/>
  <c r="N1050" i="2"/>
  <c r="J1077" i="2"/>
  <c r="M1066" i="2"/>
  <c r="L1076" i="2"/>
  <c r="L1078" i="2" s="1"/>
  <c r="N1047" i="2"/>
  <c r="J1076" i="2"/>
  <c r="J1078" i="2" s="1"/>
  <c r="N1045" i="2"/>
  <c r="M1065" i="2"/>
  <c r="M676" i="2" s="1"/>
  <c r="K1077" i="2"/>
  <c r="I1065" i="2"/>
  <c r="I676" i="2" s="1"/>
  <c r="K1076" i="2"/>
  <c r="K1078" i="2" s="1"/>
  <c r="I1064" i="2"/>
  <c r="J1064" i="2"/>
  <c r="L1064" i="2"/>
  <c r="H1065" i="2"/>
  <c r="H676" i="2" s="1"/>
  <c r="H677" i="2" s="1"/>
  <c r="K1064" i="2"/>
  <c r="H1064" i="2"/>
  <c r="H1067" i="2" s="1"/>
  <c r="L1065" i="2"/>
  <c r="L676" i="2" s="1"/>
  <c r="J1066" i="2"/>
  <c r="J1065" i="2"/>
  <c r="J676" i="2" s="1"/>
  <c r="K1065" i="2"/>
  <c r="K676" i="2" s="1"/>
  <c r="H1066" i="2"/>
  <c r="K1066" i="2"/>
  <c r="L1066" i="2"/>
  <c r="N1065" i="2"/>
  <c r="N676" i="2" s="1"/>
  <c r="N1064" i="2"/>
  <c r="N1066" i="2"/>
  <c r="N708" i="2"/>
  <c r="N538" i="2"/>
  <c r="N626" i="2"/>
  <c r="N841" i="2"/>
  <c r="N440" i="2"/>
  <c r="N11" i="2"/>
  <c r="N335" i="2"/>
  <c r="C90" i="2"/>
  <c r="C220" i="2"/>
  <c r="C80" i="2"/>
  <c r="C210" i="2"/>
  <c r="C230" i="2"/>
  <c r="C200" i="2"/>
  <c r="C300" i="2"/>
  <c r="C170" i="2"/>
  <c r="C190" i="2"/>
  <c r="C290" i="2"/>
  <c r="C310" i="2"/>
  <c r="C20" i="2"/>
  <c r="C30" i="2"/>
  <c r="C40" i="2"/>
  <c r="C50" i="2"/>
  <c r="C60" i="2"/>
  <c r="C70" i="2"/>
  <c r="C120" i="2"/>
  <c r="C140" i="2"/>
  <c r="C160" i="2"/>
  <c r="C180" i="2"/>
  <c r="C280" i="2"/>
  <c r="C150" i="2"/>
  <c r="C270" i="2"/>
  <c r="C130" i="2"/>
  <c r="C250" i="2"/>
  <c r="C100" i="2"/>
  <c r="C110" i="2"/>
  <c r="C240" i="2"/>
  <c r="C260" i="2"/>
  <c r="B533" i="2"/>
  <c r="F515" i="2"/>
  <c r="J680" i="2"/>
  <c r="J835" i="2" s="1"/>
  <c r="H425" i="2"/>
  <c r="H530" i="2" s="1"/>
  <c r="F516" i="2"/>
  <c r="F517" i="2" s="1"/>
  <c r="I425" i="2"/>
  <c r="I530" i="2" s="1"/>
  <c r="J425" i="2"/>
  <c r="J530" i="2" s="1"/>
  <c r="K425" i="2"/>
  <c r="K530" i="2" s="1"/>
  <c r="G680" i="2"/>
  <c r="G835" i="2" s="1"/>
  <c r="L425" i="2"/>
  <c r="L530" i="2" s="1"/>
  <c r="H680" i="2"/>
  <c r="H835" i="2" s="1"/>
  <c r="M425" i="2"/>
  <c r="M530" i="2" s="1"/>
  <c r="F510" i="2"/>
  <c r="F1014" i="2" s="1"/>
  <c r="F511" i="2"/>
  <c r="F1015" i="2" s="1"/>
  <c r="F514" i="2"/>
  <c r="I680" i="2"/>
  <c r="I835" i="2" s="1"/>
  <c r="H1079" i="2"/>
  <c r="I1079" i="2" s="1"/>
  <c r="K680" i="2"/>
  <c r="K835" i="2" s="1"/>
  <c r="L680" i="2"/>
  <c r="L835" i="2" s="1"/>
  <c r="G834" i="2"/>
  <c r="H834" i="2"/>
  <c r="H1080" i="2"/>
  <c r="I1080" i="2" s="1"/>
  <c r="J1080" i="2" s="1"/>
  <c r="H516" i="2"/>
  <c r="I516" i="2"/>
  <c r="M680" i="2"/>
  <c r="M835" i="2" s="1"/>
  <c r="I834" i="2"/>
  <c r="I514" i="2"/>
  <c r="I515" i="2" s="1"/>
  <c r="J514" i="2"/>
  <c r="J515" i="2" s="1"/>
  <c r="H514" i="2"/>
  <c r="H515" i="2" s="1"/>
  <c r="H1081" i="2"/>
  <c r="I1081" i="2" s="1"/>
  <c r="J834" i="2"/>
  <c r="J516" i="2"/>
  <c r="K516" i="2"/>
  <c r="K514" i="2"/>
  <c r="K515" i="2" s="1"/>
  <c r="L516" i="2"/>
  <c r="K834" i="2"/>
  <c r="L834" i="2"/>
  <c r="L514" i="2"/>
  <c r="L515" i="2" s="1"/>
  <c r="M834" i="2"/>
  <c r="M516" i="2"/>
  <c r="M514" i="2"/>
  <c r="M515" i="2" s="1"/>
  <c r="B778" i="2"/>
  <c r="B782" i="2"/>
  <c r="B786" i="2"/>
  <c r="B779" i="2"/>
  <c r="B783" i="2"/>
  <c r="B787" i="2"/>
  <c r="B780" i="2"/>
  <c r="B784" i="2"/>
  <c r="B788" i="2"/>
  <c r="B777" i="2"/>
  <c r="B781" i="2"/>
  <c r="B785" i="2"/>
  <c r="F110" i="3"/>
  <c r="H24" i="1"/>
  <c r="H9" i="3"/>
  <c r="J23" i="1"/>
  <c r="N75" i="7"/>
  <c r="N72" i="7"/>
  <c r="N71" i="7"/>
  <c r="N74" i="7"/>
  <c r="N73" i="7"/>
  <c r="Q3" i="46"/>
  <c r="J31" i="1"/>
  <c r="D226" i="4"/>
  <c r="D456" i="4"/>
  <c r="D318" i="4"/>
  <c r="D410" i="4"/>
  <c r="D272" i="4"/>
  <c r="D364" i="4"/>
  <c r="F455" i="4"/>
  <c r="J455" i="4"/>
  <c r="G455" i="4"/>
  <c r="I455" i="4"/>
  <c r="E394" i="4"/>
  <c r="E440" i="4"/>
  <c r="H363" i="4"/>
  <c r="G363" i="4" s="1"/>
  <c r="H409" i="4"/>
  <c r="E302" i="4"/>
  <c r="E348" i="4"/>
  <c r="H271" i="4"/>
  <c r="I271" i="4" s="1"/>
  <c r="H317" i="4"/>
  <c r="H225" i="4"/>
  <c r="G225" i="4" s="1"/>
  <c r="G29" i="1"/>
  <c r="H29" i="1" s="1"/>
  <c r="I29" i="1" s="1"/>
  <c r="J29" i="1" s="1"/>
  <c r="D39" i="4"/>
  <c r="D119" i="27"/>
  <c r="F17" i="1"/>
  <c r="Z153" i="7"/>
  <c r="AD146" i="7"/>
  <c r="Z136" i="7"/>
  <c r="Z130" i="7"/>
  <c r="AC109" i="7"/>
  <c r="Z81" i="7"/>
  <c r="Z141" i="7"/>
  <c r="Z148" i="7"/>
  <c r="AE150" i="7"/>
  <c r="Z87" i="7"/>
  <c r="Z121" i="7"/>
  <c r="L100" i="5"/>
  <c r="AD130" i="7"/>
  <c r="AE166" i="7"/>
  <c r="AE168" i="7"/>
  <c r="AF170" i="7"/>
  <c r="AD170" i="7"/>
  <c r="AC172" i="7"/>
  <c r="Z107" i="7"/>
  <c r="Z94" i="7"/>
  <c r="AD152" i="7"/>
  <c r="AF154" i="7"/>
  <c r="Z167" i="7"/>
  <c r="Z89" i="7"/>
  <c r="Z96" i="7"/>
  <c r="Z86" i="7"/>
  <c r="Z88" i="7"/>
  <c r="Z90" i="7"/>
  <c r="AC124" i="7"/>
  <c r="AC126" i="7"/>
  <c r="AF137" i="7"/>
  <c r="Z163" i="7"/>
  <c r="AE167" i="7"/>
  <c r="AE124" i="7"/>
  <c r="Z161" i="7"/>
  <c r="AC167" i="7"/>
  <c r="Z169" i="7"/>
  <c r="X77" i="7"/>
  <c r="AE97" i="7"/>
  <c r="AC130" i="7"/>
  <c r="AD154" i="7"/>
  <c r="AC175" i="7"/>
  <c r="AC79" i="7"/>
  <c r="AF81" i="7"/>
  <c r="Z111" i="7"/>
  <c r="AD126" i="7"/>
  <c r="Z132" i="7"/>
  <c r="AC146" i="7"/>
  <c r="AD90" i="7"/>
  <c r="Z101" i="7"/>
  <c r="Z126" i="7"/>
  <c r="AD127" i="7"/>
  <c r="Z133" i="7"/>
  <c r="AC153" i="7"/>
  <c r="AD168" i="7"/>
  <c r="G42" i="7"/>
  <c r="AC90" i="7"/>
  <c r="AF94" i="7"/>
  <c r="C38" i="5"/>
  <c r="Z129" i="7"/>
  <c r="C1" i="6"/>
  <c r="AD128" i="7"/>
  <c r="AC151" i="7"/>
  <c r="AC82" i="7"/>
  <c r="AD93" i="7"/>
  <c r="Z124" i="7"/>
  <c r="AC128" i="7"/>
  <c r="AD132" i="7"/>
  <c r="AE137" i="7"/>
  <c r="AF138" i="7"/>
  <c r="AC140" i="7"/>
  <c r="AD143" i="7"/>
  <c r="AC165" i="7"/>
  <c r="AC171" i="7"/>
  <c r="Z173" i="7"/>
  <c r="Z175" i="7"/>
  <c r="AE82" i="7"/>
  <c r="AD82" i="7"/>
  <c r="AE165" i="7"/>
  <c r="AE171" i="7"/>
  <c r="AC93" i="7"/>
  <c r="AE96" i="7"/>
  <c r="AC108" i="7"/>
  <c r="Z117" i="7"/>
  <c r="AF130" i="7"/>
  <c r="AC132" i="7"/>
  <c r="AD135" i="7"/>
  <c r="AD138" i="7"/>
  <c r="AC143" i="7"/>
  <c r="AE163" i="7"/>
  <c r="AE128" i="7"/>
  <c r="Z82" i="7"/>
  <c r="AC96" i="7"/>
  <c r="Z128" i="7"/>
  <c r="AC135" i="7"/>
  <c r="AC138" i="7"/>
  <c r="Z140" i="7"/>
  <c r="Z151" i="7"/>
  <c r="AE152" i="7"/>
  <c r="AE153" i="7"/>
  <c r="Z155" i="7"/>
  <c r="Z157" i="7"/>
  <c r="AC163" i="7"/>
  <c r="Z165" i="7"/>
  <c r="AF166" i="7"/>
  <c r="Z171" i="7"/>
  <c r="I48" i="1"/>
  <c r="B3" i="6"/>
  <c r="D262" i="4"/>
  <c r="AF86" i="7"/>
  <c r="AF148" i="7"/>
  <c r="AE159" i="7"/>
  <c r="N100" i="5"/>
  <c r="AD100" i="7"/>
  <c r="AD144" i="7"/>
  <c r="AE149" i="7"/>
  <c r="AC159" i="7"/>
  <c r="K102" i="5"/>
  <c r="E210" i="4"/>
  <c r="G38" i="5"/>
  <c r="Z84" i="7"/>
  <c r="Z85" i="7"/>
  <c r="AC88" i="7"/>
  <c r="AE90" i="7"/>
  <c r="AF93" i="7"/>
  <c r="Z95" i="7"/>
  <c r="AC101" i="7"/>
  <c r="AC107" i="7"/>
  <c r="AE108" i="7"/>
  <c r="AF111" i="7"/>
  <c r="Z113" i="7"/>
  <c r="AC121" i="7"/>
  <c r="Z123" i="7"/>
  <c r="AE126" i="7"/>
  <c r="AE132" i="7"/>
  <c r="AC133" i="7"/>
  <c r="AD140" i="7"/>
  <c r="AC141" i="7"/>
  <c r="AE145" i="7"/>
  <c r="AF146" i="7"/>
  <c r="Z149" i="7"/>
  <c r="AF150" i="7"/>
  <c r="AE151" i="7"/>
  <c r="AE156" i="7"/>
  <c r="AC157" i="7"/>
  <c r="Z159" i="7"/>
  <c r="AD160" i="7"/>
  <c r="AC161" i="7"/>
  <c r="AC173" i="7"/>
  <c r="AC174" i="7"/>
  <c r="D88" i="31"/>
  <c r="AF84" i="7"/>
  <c r="AF123" i="7"/>
  <c r="AE84" i="7"/>
  <c r="AE86" i="7"/>
  <c r="AD106" i="7"/>
  <c r="AE110" i="7"/>
  <c r="AD116" i="7"/>
  <c r="D22" i="3"/>
  <c r="AE80" i="7"/>
  <c r="AC84" i="7"/>
  <c r="AD86" i="7"/>
  <c r="AE88" i="7"/>
  <c r="AE92" i="7"/>
  <c r="AC95" i="7"/>
  <c r="AC106" i="7"/>
  <c r="AD110" i="7"/>
  <c r="AC113" i="7"/>
  <c r="AC116" i="7"/>
  <c r="AF117" i="7"/>
  <c r="AE120" i="7"/>
  <c r="AC123" i="7"/>
  <c r="AF140" i="7"/>
  <c r="AD148" i="7"/>
  <c r="AC149" i="7"/>
  <c r="AE155" i="7"/>
  <c r="AF160" i="7"/>
  <c r="AE169" i="7"/>
  <c r="AE173" i="7"/>
  <c r="AF174" i="7"/>
  <c r="AF95" i="7"/>
  <c r="AE95" i="7"/>
  <c r="AE123" i="7"/>
  <c r="H33" i="4"/>
  <c r="AF88" i="7"/>
  <c r="AE148" i="7"/>
  <c r="AF173" i="7"/>
  <c r="AD80" i="7"/>
  <c r="AE121" i="7"/>
  <c r="AE133" i="7"/>
  <c r="AE141" i="7"/>
  <c r="AF145" i="7"/>
  <c r="AC155" i="7"/>
  <c r="AE157" i="7"/>
  <c r="AE161" i="7"/>
  <c r="AC169" i="7"/>
  <c r="AD174" i="7"/>
  <c r="L10" i="5"/>
  <c r="M10" i="5"/>
  <c r="K10" i="5"/>
  <c r="N10" i="5"/>
  <c r="N6" i="5"/>
  <c r="H113" i="5"/>
  <c r="I113" i="5" s="1"/>
  <c r="N113" i="5"/>
  <c r="K113" i="5"/>
  <c r="L113" i="5"/>
  <c r="M113" i="5"/>
  <c r="K88" i="7"/>
  <c r="L14" i="5"/>
  <c r="K10" i="1"/>
  <c r="G10" i="1" s="1"/>
  <c r="AC158" i="7"/>
  <c r="Z158" i="7"/>
  <c r="AF158" i="7"/>
  <c r="AE158" i="7"/>
  <c r="J104" i="3"/>
  <c r="AC164" i="7"/>
  <c r="Z164" i="7"/>
  <c r="AD164" i="7"/>
  <c r="AE164" i="7"/>
  <c r="AF164" i="7"/>
  <c r="I6" i="5"/>
  <c r="D170" i="4"/>
  <c r="D126" i="4"/>
  <c r="D214" i="4"/>
  <c r="D260" i="4"/>
  <c r="D82" i="4"/>
  <c r="F9" i="1"/>
  <c r="H10" i="1"/>
  <c r="J10" i="3"/>
  <c r="M34" i="5"/>
  <c r="M6" i="5"/>
  <c r="F11" i="3"/>
  <c r="F75" i="3"/>
  <c r="D73" i="30"/>
  <c r="D74" i="26"/>
  <c r="D74" i="25"/>
  <c r="D74" i="30"/>
  <c r="D73" i="29"/>
  <c r="D74" i="31"/>
  <c r="D119" i="30"/>
  <c r="D119" i="29"/>
  <c r="D120" i="28"/>
  <c r="D73" i="28"/>
  <c r="D120" i="26"/>
  <c r="D87" i="31"/>
  <c r="D88" i="29"/>
  <c r="D120" i="27"/>
  <c r="D87" i="27"/>
  <c r="F121" i="3"/>
  <c r="D88" i="27"/>
  <c r="F89" i="3"/>
  <c r="D74" i="28"/>
  <c r="D88" i="30"/>
  <c r="D88" i="26"/>
  <c r="D73" i="25"/>
  <c r="D120" i="29"/>
  <c r="D73" i="26"/>
  <c r="D87" i="29"/>
  <c r="H6" i="5"/>
  <c r="K83" i="7"/>
  <c r="Z118" i="7"/>
  <c r="AF118" i="7"/>
  <c r="AC118" i="7"/>
  <c r="AD118" i="7"/>
  <c r="G47" i="7"/>
  <c r="N34" i="5"/>
  <c r="E53" i="3"/>
  <c r="K14" i="5"/>
  <c r="AD105" i="7"/>
  <c r="AE105" i="7"/>
  <c r="Z105" i="7"/>
  <c r="AC105" i="7"/>
  <c r="H14" i="5"/>
  <c r="I34" i="5"/>
  <c r="K34" i="5"/>
  <c r="L34" i="5"/>
  <c r="F231" i="7"/>
  <c r="F180" i="7"/>
  <c r="F128" i="7"/>
  <c r="F77" i="7"/>
  <c r="N14" i="5"/>
  <c r="AC122" i="7"/>
  <c r="AD122" i="7"/>
  <c r="Z122" i="7"/>
  <c r="AE122" i="7"/>
  <c r="AF122" i="7"/>
  <c r="AD147" i="7"/>
  <c r="AE147" i="7"/>
  <c r="AC147" i="7"/>
  <c r="AF147" i="7"/>
  <c r="Z147" i="7"/>
  <c r="AB78" i="7"/>
  <c r="AD139" i="7"/>
  <c r="AE139" i="7"/>
  <c r="AC139" i="7"/>
  <c r="AF139" i="7"/>
  <c r="Z139" i="7"/>
  <c r="L6" i="5"/>
  <c r="C4" i="7"/>
  <c r="C2" i="7"/>
  <c r="C3" i="7"/>
  <c r="C6" i="7"/>
  <c r="C5" i="7"/>
  <c r="K6" i="5"/>
  <c r="M14" i="5"/>
  <c r="H10" i="5"/>
  <c r="AE178" i="7"/>
  <c r="AF178" i="7"/>
  <c r="AC178" i="7"/>
  <c r="AD178" i="7"/>
  <c r="F16" i="1"/>
  <c r="AD158" i="7"/>
  <c r="H19" i="5"/>
  <c r="D125" i="4"/>
  <c r="D81" i="4"/>
  <c r="D213" i="4"/>
  <c r="D259" i="4"/>
  <c r="D169" i="4"/>
  <c r="AD99" i="7"/>
  <c r="AE99" i="7"/>
  <c r="AF99" i="7"/>
  <c r="Z99" i="7"/>
  <c r="AC99" i="7"/>
  <c r="AE91" i="7"/>
  <c r="AF91" i="7"/>
  <c r="AC91" i="7"/>
  <c r="AD91" i="7"/>
  <c r="Z91" i="7"/>
  <c r="Z112" i="7"/>
  <c r="AF112" i="7"/>
  <c r="AE112" i="7"/>
  <c r="AC112" i="7"/>
  <c r="AD112" i="7"/>
  <c r="AD115" i="7"/>
  <c r="AE115" i="7"/>
  <c r="AF115" i="7"/>
  <c r="Z115" i="7"/>
  <c r="AC115" i="7"/>
  <c r="D123" i="4"/>
  <c r="D257" i="4"/>
  <c r="D167" i="4"/>
  <c r="D79" i="4"/>
  <c r="D211" i="4"/>
  <c r="AE83" i="7"/>
  <c r="AF83" i="7"/>
  <c r="AC83" i="7"/>
  <c r="AD83" i="7"/>
  <c r="Z104" i="7"/>
  <c r="AF104" i="7"/>
  <c r="AC104" i="7"/>
  <c r="AD104" i="7"/>
  <c r="AE104" i="7"/>
  <c r="AD125" i="7"/>
  <c r="AE125" i="7"/>
  <c r="Z125" i="7"/>
  <c r="AC125" i="7"/>
  <c r="AC134" i="7"/>
  <c r="AD134" i="7"/>
  <c r="Z134" i="7"/>
  <c r="AE134" i="7"/>
  <c r="AF134" i="7"/>
  <c r="AC142" i="7"/>
  <c r="AD142" i="7"/>
  <c r="Z142" i="7"/>
  <c r="AF142" i="7"/>
  <c r="Z177" i="7"/>
  <c r="AF177" i="7"/>
  <c r="AC177" i="7"/>
  <c r="AD177" i="7"/>
  <c r="AE177" i="7"/>
  <c r="X12" i="7"/>
  <c r="AD113" i="7"/>
  <c r="AE113" i="7"/>
  <c r="E256" i="4"/>
  <c r="AC97" i="7"/>
  <c r="AD97" i="7"/>
  <c r="AF97" i="7"/>
  <c r="Z102" i="7"/>
  <c r="AF102" i="7"/>
  <c r="AC102" i="7"/>
  <c r="AD102" i="7"/>
  <c r="Z114" i="7"/>
  <c r="AF114" i="7"/>
  <c r="AD114" i="7"/>
  <c r="AE114" i="7"/>
  <c r="AD119" i="7"/>
  <c r="AE119" i="7"/>
  <c r="AC119" i="7"/>
  <c r="AF119" i="7"/>
  <c r="AC162" i="7"/>
  <c r="Z162" i="7"/>
  <c r="AD162" i="7"/>
  <c r="AE162" i="7"/>
  <c r="AF162" i="7"/>
  <c r="AC176" i="7"/>
  <c r="Z176" i="7"/>
  <c r="AD176" i="7"/>
  <c r="AE176" i="7"/>
  <c r="Z98" i="7"/>
  <c r="AF98" i="7"/>
  <c r="AD98" i="7"/>
  <c r="AE98" i="7"/>
  <c r="Z120" i="7"/>
  <c r="AF120" i="7"/>
  <c r="AC120" i="7"/>
  <c r="AE131" i="7"/>
  <c r="AF131" i="7"/>
  <c r="AC131" i="7"/>
  <c r="AD131" i="7"/>
  <c r="Z131" i="7"/>
  <c r="D119" i="31"/>
  <c r="D215" i="4"/>
  <c r="D171" i="4"/>
  <c r="D261" i="4"/>
  <c r="D83" i="4"/>
  <c r="D127" i="4"/>
  <c r="D136" i="4"/>
  <c r="D92" i="4"/>
  <c r="D180" i="4"/>
  <c r="AC92" i="7"/>
  <c r="Z92" i="7"/>
  <c r="AF92" i="7"/>
  <c r="AD103" i="7"/>
  <c r="AE103" i="7"/>
  <c r="AC103" i="7"/>
  <c r="AF103" i="7"/>
  <c r="AC156" i="7"/>
  <c r="Z156" i="7"/>
  <c r="AD156" i="7"/>
  <c r="D80" i="4"/>
  <c r="D168" i="4"/>
  <c r="AE85" i="7"/>
  <c r="AF85" i="7"/>
  <c r="AC85" i="7"/>
  <c r="Z100" i="7"/>
  <c r="AF100" i="7"/>
  <c r="AD101" i="7"/>
  <c r="AE101" i="7"/>
  <c r="Z116" i="7"/>
  <c r="AF116" i="7"/>
  <c r="AD117" i="7"/>
  <c r="AE117" i="7"/>
  <c r="AC160" i="7"/>
  <c r="Z160" i="7"/>
  <c r="D172" i="4"/>
  <c r="AF79" i="7"/>
  <c r="AF109" i="7"/>
  <c r="AF172" i="7"/>
  <c r="I7" i="4"/>
  <c r="I8" i="4" s="1"/>
  <c r="J7" i="4"/>
  <c r="J8" i="4" s="1"/>
  <c r="G7" i="4"/>
  <c r="G8" i="4" s="1"/>
  <c r="Z80" i="7"/>
  <c r="AF80" i="7"/>
  <c r="AD81" i="7"/>
  <c r="AE81" i="7"/>
  <c r="AE89" i="7"/>
  <c r="AF89" i="7"/>
  <c r="AC89" i="7"/>
  <c r="AD94" i="7"/>
  <c r="AE94" i="7"/>
  <c r="Z110" i="7"/>
  <c r="AF110" i="7"/>
  <c r="AD111" i="7"/>
  <c r="AE111" i="7"/>
  <c r="AE129" i="7"/>
  <c r="AF129" i="7"/>
  <c r="AC129" i="7"/>
  <c r="AC154" i="7"/>
  <c r="Z154" i="7"/>
  <c r="AC170" i="7"/>
  <c r="Z170" i="7"/>
  <c r="D128" i="4"/>
  <c r="AE100" i="7"/>
  <c r="AD79" i="7"/>
  <c r="AE79" i="7"/>
  <c r="Z108" i="7"/>
  <c r="AF108" i="7"/>
  <c r="AD109" i="7"/>
  <c r="AE109" i="7"/>
  <c r="AC152" i="7"/>
  <c r="Z152" i="7"/>
  <c r="AC168" i="7"/>
  <c r="Z168" i="7"/>
  <c r="AD172" i="7"/>
  <c r="AE172" i="7"/>
  <c r="D84" i="4"/>
  <c r="D258" i="4"/>
  <c r="AE87" i="7"/>
  <c r="AF87" i="7"/>
  <c r="AC87" i="7"/>
  <c r="Z106" i="7"/>
  <c r="AF106" i="7"/>
  <c r="AD107" i="7"/>
  <c r="AE107" i="7"/>
  <c r="AE127" i="7"/>
  <c r="AF127" i="7"/>
  <c r="AC127" i="7"/>
  <c r="Z135" i="7"/>
  <c r="AF135" i="7"/>
  <c r="AE136" i="7"/>
  <c r="AF136" i="7"/>
  <c r="AC136" i="7"/>
  <c r="AC137" i="7"/>
  <c r="Z137" i="7"/>
  <c r="Z143" i="7"/>
  <c r="AF143" i="7"/>
  <c r="AE144" i="7"/>
  <c r="AF144" i="7"/>
  <c r="AC144" i="7"/>
  <c r="AC145" i="7"/>
  <c r="Z145" i="7"/>
  <c r="AC150" i="7"/>
  <c r="Z150" i="7"/>
  <c r="AC166" i="7"/>
  <c r="Z166" i="7"/>
  <c r="AD175" i="7"/>
  <c r="AE175" i="7"/>
  <c r="D124" i="4"/>
  <c r="D212" i="4"/>
  <c r="AE93" i="7"/>
  <c r="AD96" i="7"/>
  <c r="AD121" i="7"/>
  <c r="AD124" i="7"/>
  <c r="AD133" i="7"/>
  <c r="AE138" i="7"/>
  <c r="AD141" i="7"/>
  <c r="AE146" i="7"/>
  <c r="AD149" i="7"/>
  <c r="AD151" i="7"/>
  <c r="AD153" i="7"/>
  <c r="AD155" i="7"/>
  <c r="AD157" i="7"/>
  <c r="AD159" i="7"/>
  <c r="AD161" i="7"/>
  <c r="AD163" i="7"/>
  <c r="AD165" i="7"/>
  <c r="AD167" i="7"/>
  <c r="AD169" i="7"/>
  <c r="AD171" i="7"/>
  <c r="AE174" i="7"/>
  <c r="D87" i="26"/>
  <c r="D119" i="26"/>
  <c r="D119" i="28"/>
  <c r="D87" i="30"/>
  <c r="D120" i="30"/>
  <c r="D73" i="31"/>
  <c r="D88" i="25"/>
  <c r="D120" i="25"/>
  <c r="D74" i="27"/>
  <c r="D88" i="28"/>
  <c r="D120" i="31"/>
  <c r="D87" i="25"/>
  <c r="D119" i="25"/>
  <c r="D73" i="27"/>
  <c r="D87" i="28"/>
  <c r="D74" i="29"/>
  <c r="J510" i="2" l="1"/>
  <c r="J1014" i="2" s="1"/>
  <c r="K510" i="2"/>
  <c r="K1014" i="2" s="1"/>
  <c r="H531" i="2"/>
  <c r="H1069" i="2"/>
  <c r="H1037" i="2" s="1"/>
  <c r="H1034" i="2" s="1"/>
  <c r="I510" i="2"/>
  <c r="I1014" i="2" s="1"/>
  <c r="L510" i="2"/>
  <c r="L1014" i="2" s="1"/>
  <c r="H510" i="2"/>
  <c r="H1014" i="2" s="1"/>
  <c r="M836" i="2"/>
  <c r="J836" i="2"/>
  <c r="H694" i="2"/>
  <c r="I694" i="2" s="1"/>
  <c r="J694" i="2" s="1"/>
  <c r="K694" i="2" s="1"/>
  <c r="L694" i="2" s="1"/>
  <c r="M694" i="2" s="1"/>
  <c r="N694" i="2" s="1"/>
  <c r="I677" i="2"/>
  <c r="J677" i="2" s="1"/>
  <c r="K677" i="2" s="1"/>
  <c r="L677" i="2" s="1"/>
  <c r="M677" i="2" s="1"/>
  <c r="N677" i="2" s="1"/>
  <c r="L836" i="2"/>
  <c r="D2" i="8"/>
  <c r="F2" i="8" s="1"/>
  <c r="H2" i="8" s="1"/>
  <c r="K836" i="2"/>
  <c r="H836" i="2"/>
  <c r="I836" i="2"/>
  <c r="K1080" i="2"/>
  <c r="L1080" i="2" s="1"/>
  <c r="M1080" i="2" s="1"/>
  <c r="H1083" i="2"/>
  <c r="H1085" i="2"/>
  <c r="J1079" i="2"/>
  <c r="K1079" i="2" s="1"/>
  <c r="H520" i="2"/>
  <c r="H426" i="2"/>
  <c r="L517" i="2"/>
  <c r="L511" i="2" s="1"/>
  <c r="L1053" i="2"/>
  <c r="H1068" i="2"/>
  <c r="I1068" i="2" s="1"/>
  <c r="J1068" i="2" s="1"/>
  <c r="K1068" i="2" s="1"/>
  <c r="L1068" i="2" s="1"/>
  <c r="M1068" i="2" s="1"/>
  <c r="N1068" i="2" s="1"/>
  <c r="G1088" i="2"/>
  <c r="G1086" i="2" s="1"/>
  <c r="G1085" i="2"/>
  <c r="G1083" i="2"/>
  <c r="J1" i="4"/>
  <c r="D1050" i="2"/>
  <c r="D1055" i="2"/>
  <c r="N1055" i="2" s="1"/>
  <c r="D1044" i="2"/>
  <c r="D1227" i="2"/>
  <c r="G836" i="2"/>
  <c r="I341" i="2"/>
  <c r="H800" i="2"/>
  <c r="M4" i="2"/>
  <c r="L341" i="2"/>
  <c r="K800" i="2"/>
  <c r="J517" i="2"/>
  <c r="J511" i="2" s="1"/>
  <c r="J1053" i="2"/>
  <c r="I1067" i="2"/>
  <c r="J1067" i="2" s="1"/>
  <c r="K1067" i="2" s="1"/>
  <c r="L1067" i="2" s="1"/>
  <c r="M1067" i="2" s="1"/>
  <c r="N1067" i="2" s="1"/>
  <c r="L4" i="2"/>
  <c r="L1088" i="2" s="1"/>
  <c r="M517" i="2"/>
  <c r="M511" i="2" s="1"/>
  <c r="M1053" i="2"/>
  <c r="J341" i="2"/>
  <c r="I800" i="2"/>
  <c r="K4" i="2"/>
  <c r="K1088" i="2" s="1"/>
  <c r="I1" i="4"/>
  <c r="I33" i="4" s="1"/>
  <c r="D1054" i="2"/>
  <c r="N1054" i="2" s="1"/>
  <c r="D1043" i="2"/>
  <c r="D1226" i="2"/>
  <c r="D1049" i="2"/>
  <c r="K517" i="2"/>
  <c r="K511" i="2" s="1"/>
  <c r="K1053" i="2"/>
  <c r="I517" i="2"/>
  <c r="I511" i="2" s="1"/>
  <c r="I1053" i="2"/>
  <c r="G1037" i="2"/>
  <c r="G1034" i="2" s="1"/>
  <c r="G1038" i="2"/>
  <c r="G1039" i="2"/>
  <c r="J4" i="2"/>
  <c r="J1088" i="2" s="1"/>
  <c r="F1" i="4"/>
  <c r="D1051" i="2"/>
  <c r="N1051" i="2" s="1"/>
  <c r="D1046" i="2"/>
  <c r="D1040" i="2"/>
  <c r="D1224" i="2"/>
  <c r="M510" i="2"/>
  <c r="M1014" i="2" s="1"/>
  <c r="J800" i="2"/>
  <c r="K341" i="2"/>
  <c r="H517" i="2"/>
  <c r="H511" i="2" s="1"/>
  <c r="H1053" i="2"/>
  <c r="G1" i="4"/>
  <c r="G33" i="4" s="1"/>
  <c r="D1047" i="2"/>
  <c r="D1041" i="2"/>
  <c r="D1225" i="2"/>
  <c r="D1052" i="2"/>
  <c r="N1052" i="2" s="1"/>
  <c r="J1081" i="2"/>
  <c r="K1081" i="2" s="1"/>
  <c r="I4" i="2"/>
  <c r="I1088" i="2" s="1"/>
  <c r="E2" i="8"/>
  <c r="N70" i="7"/>
  <c r="N65" i="7"/>
  <c r="N67" i="7"/>
  <c r="N66" i="7"/>
  <c r="N69" i="7"/>
  <c r="C7" i="7"/>
  <c r="C8" i="7" s="1"/>
  <c r="N68" i="7"/>
  <c r="I363" i="4"/>
  <c r="J363" i="4"/>
  <c r="F409" i="4"/>
  <c r="G409" i="4"/>
  <c r="J409" i="4"/>
  <c r="I409" i="4"/>
  <c r="F363" i="4"/>
  <c r="J271" i="4"/>
  <c r="G271" i="4"/>
  <c r="F317" i="4"/>
  <c r="G317" i="4"/>
  <c r="I317" i="4"/>
  <c r="J317" i="4"/>
  <c r="F271" i="4"/>
  <c r="J225" i="4"/>
  <c r="F225" i="4"/>
  <c r="I225" i="4"/>
  <c r="X16" i="7"/>
  <c r="X69" i="7"/>
  <c r="X61" i="7"/>
  <c r="X53" i="7"/>
  <c r="X45" i="7"/>
  <c r="X37" i="7"/>
  <c r="X29" i="7"/>
  <c r="X21" i="7"/>
  <c r="X63" i="7"/>
  <c r="X72" i="7"/>
  <c r="X56" i="7"/>
  <c r="X48" i="7"/>
  <c r="X40" i="7"/>
  <c r="X32" i="7"/>
  <c r="X73" i="7"/>
  <c r="X65" i="7"/>
  <c r="X57" i="7"/>
  <c r="X49" i="7"/>
  <c r="X41" i="7"/>
  <c r="X33" i="7"/>
  <c r="X25" i="7"/>
  <c r="X17" i="7"/>
  <c r="X70" i="7"/>
  <c r="X62" i="7"/>
  <c r="X54" i="7"/>
  <c r="X46" i="7"/>
  <c r="X38" i="7"/>
  <c r="X30" i="7"/>
  <c r="X22" i="7"/>
  <c r="X71" i="7"/>
  <c r="X55" i="7"/>
  <c r="X47" i="7"/>
  <c r="X39" i="7"/>
  <c r="X31" i="7"/>
  <c r="X23" i="7"/>
  <c r="X64" i="7"/>
  <c r="X24" i="7"/>
  <c r="X74" i="7"/>
  <c r="X66" i="7"/>
  <c r="X58" i="7"/>
  <c r="X50" i="7"/>
  <c r="X42" i="7"/>
  <c r="X34" i="7"/>
  <c r="X26" i="7"/>
  <c r="X18" i="7"/>
  <c r="X75" i="7"/>
  <c r="X67" i="7"/>
  <c r="X59" i="7"/>
  <c r="X51" i="7"/>
  <c r="X43" i="7"/>
  <c r="X35" i="7"/>
  <c r="X27" i="7"/>
  <c r="X19" i="7"/>
  <c r="X68" i="7"/>
  <c r="X60" i="7"/>
  <c r="X52" i="7"/>
  <c r="X44" i="7"/>
  <c r="X36" i="7"/>
  <c r="X28" i="7"/>
  <c r="X20" i="7"/>
  <c r="F6" i="4"/>
  <c r="L102" i="5"/>
  <c r="L105" i="5" s="1"/>
  <c r="K85" i="7"/>
  <c r="K100" i="5"/>
  <c r="K105" i="5" s="1"/>
  <c r="G9" i="1"/>
  <c r="I14" i="5"/>
  <c r="K87" i="7"/>
  <c r="N102" i="5"/>
  <c r="N105" i="5" s="1"/>
  <c r="K84" i="7"/>
  <c r="I6" i="4"/>
  <c r="F33" i="4"/>
  <c r="K86" i="7"/>
  <c r="G6" i="4"/>
  <c r="Z78" i="7"/>
  <c r="H114" i="5"/>
  <c r="M100" i="5"/>
  <c r="M102" i="5"/>
  <c r="I10" i="5"/>
  <c r="L85" i="5"/>
  <c r="L39" i="5"/>
  <c r="F76" i="7"/>
  <c r="F78" i="7"/>
  <c r="F80" i="7"/>
  <c r="I133" i="3"/>
  <c r="I134" i="3" s="1"/>
  <c r="I135" i="3" s="1"/>
  <c r="I136" i="3" s="1"/>
  <c r="H28" i="3"/>
  <c r="H108" i="3"/>
  <c r="H133" i="3"/>
  <c r="M85" i="5"/>
  <c r="M39" i="5"/>
  <c r="N39" i="5"/>
  <c r="N85" i="5"/>
  <c r="H112" i="5"/>
  <c r="H90" i="5"/>
  <c r="H85" i="5"/>
  <c r="H39" i="5"/>
  <c r="H13" i="5"/>
  <c r="H15" i="5" s="1"/>
  <c r="F234" i="7"/>
  <c r="F230" i="7"/>
  <c r="F232" i="7"/>
  <c r="I85" i="5"/>
  <c r="I39" i="5"/>
  <c r="H102" i="5"/>
  <c r="I102" i="5" s="1"/>
  <c r="H100" i="5"/>
  <c r="F181" i="7"/>
  <c r="F183" i="7"/>
  <c r="F179" i="7"/>
  <c r="H64" i="5"/>
  <c r="K39" i="5"/>
  <c r="K85" i="5"/>
  <c r="F131" i="7"/>
  <c r="F129" i="7"/>
  <c r="F127" i="7"/>
  <c r="H71" i="5"/>
  <c r="J6" i="4"/>
  <c r="J33" i="4"/>
  <c r="AD78" i="7"/>
  <c r="AF78" i="7"/>
  <c r="AE78" i="7"/>
  <c r="AC78" i="7"/>
  <c r="N1226" i="2" l="1"/>
  <c r="M1226" i="2"/>
  <c r="L1226" i="2"/>
  <c r="K1226" i="2"/>
  <c r="J1226" i="2"/>
  <c r="I1226" i="2"/>
  <c r="H1226" i="2"/>
  <c r="G1226" i="2"/>
  <c r="N1225" i="2"/>
  <c r="M1225" i="2"/>
  <c r="L1225" i="2"/>
  <c r="K1225" i="2"/>
  <c r="J1225" i="2"/>
  <c r="I1225" i="2"/>
  <c r="H1225" i="2"/>
  <c r="G1225" i="2"/>
  <c r="N1224" i="2"/>
  <c r="M1224" i="2"/>
  <c r="L1224" i="2"/>
  <c r="K1224" i="2"/>
  <c r="J1224" i="2"/>
  <c r="I1224" i="2"/>
  <c r="H1224" i="2"/>
  <c r="G1224" i="2"/>
  <c r="N1227" i="2"/>
  <c r="M1227" i="2"/>
  <c r="L1227" i="2"/>
  <c r="K1227" i="2"/>
  <c r="J1227" i="2"/>
  <c r="I1227" i="2"/>
  <c r="H1227" i="2"/>
  <c r="G1227" i="2"/>
  <c r="H1038" i="2"/>
  <c r="D20" i="7" s="1"/>
  <c r="H1039" i="2"/>
  <c r="E20" i="7" s="1"/>
  <c r="I1069" i="2"/>
  <c r="I1039" i="2" s="1"/>
  <c r="E21" i="7" s="1"/>
  <c r="I1051" i="2"/>
  <c r="I1046" i="2" s="1"/>
  <c r="H1054" i="2"/>
  <c r="H1049" i="2" s="1"/>
  <c r="I1054" i="2"/>
  <c r="I1049" i="2" s="1"/>
  <c r="G1084" i="2"/>
  <c r="I520" i="2"/>
  <c r="J520" i="2" s="1"/>
  <c r="L1054" i="2"/>
  <c r="L1049" i="2" s="1"/>
  <c r="L1079" i="2"/>
  <c r="M1079" i="2" s="1"/>
  <c r="K1054" i="2"/>
  <c r="K1049" i="2" s="1"/>
  <c r="J1054" i="2"/>
  <c r="J1049" i="2" s="1"/>
  <c r="G54" i="8"/>
  <c r="L1015" i="2"/>
  <c r="L512" i="2"/>
  <c r="K1083" i="2"/>
  <c r="K1085" i="2"/>
  <c r="G6" i="8"/>
  <c r="H512" i="2"/>
  <c r="H513" i="2" s="1"/>
  <c r="H1212" i="2" s="1"/>
  <c r="H1015" i="2"/>
  <c r="H1052" i="2"/>
  <c r="H1047" i="2" s="1"/>
  <c r="G42" i="8"/>
  <c r="K512" i="2"/>
  <c r="K1015" i="2"/>
  <c r="I823" i="2"/>
  <c r="I794" i="2"/>
  <c r="J1055" i="2"/>
  <c r="J1050" i="2" s="1"/>
  <c r="L1055" i="2"/>
  <c r="L1050" i="2" s="1"/>
  <c r="I426" i="2"/>
  <c r="H789" i="2"/>
  <c r="L345" i="2"/>
  <c r="L346" i="2" s="1"/>
  <c r="L531" i="2"/>
  <c r="G18" i="8"/>
  <c r="I512" i="2"/>
  <c r="I1015" i="2"/>
  <c r="K823" i="2"/>
  <c r="K794" i="2"/>
  <c r="G66" i="8"/>
  <c r="M512" i="2"/>
  <c r="M1015" i="2"/>
  <c r="L1052" i="2"/>
  <c r="L1047" i="2" s="1"/>
  <c r="I345" i="2"/>
  <c r="I346" i="2" s="1"/>
  <c r="I531" i="2"/>
  <c r="G1040" i="2"/>
  <c r="I1040" i="2"/>
  <c r="M1040" i="2"/>
  <c r="H1040" i="2"/>
  <c r="J1040" i="2"/>
  <c r="K1040" i="2"/>
  <c r="L1040" i="2"/>
  <c r="N1040" i="2"/>
  <c r="K1051" i="2"/>
  <c r="K1046" i="2" s="1"/>
  <c r="G1043" i="2"/>
  <c r="I1043" i="2"/>
  <c r="M1043" i="2"/>
  <c r="L1043" i="2"/>
  <c r="K1043" i="2"/>
  <c r="J1043" i="2"/>
  <c r="H1043" i="2"/>
  <c r="N1043" i="2"/>
  <c r="M1055" i="2"/>
  <c r="M1050" i="2" s="1"/>
  <c r="J1083" i="2"/>
  <c r="J1085" i="2"/>
  <c r="L1081" i="2"/>
  <c r="M1081" i="2" s="1"/>
  <c r="H1051" i="2"/>
  <c r="H1046" i="2" s="1"/>
  <c r="I1055" i="2"/>
  <c r="I1050" i="2" s="1"/>
  <c r="K1055" i="2"/>
  <c r="K1050" i="2" s="1"/>
  <c r="M1054" i="2"/>
  <c r="M1049" i="2" s="1"/>
  <c r="M341" i="2"/>
  <c r="L800" i="2"/>
  <c r="G1044" i="2"/>
  <c r="I1044" i="2"/>
  <c r="M1044" i="2"/>
  <c r="J1044" i="2"/>
  <c r="L1044" i="2"/>
  <c r="K1044" i="2"/>
  <c r="H1044" i="2"/>
  <c r="N1044" i="2"/>
  <c r="L1051" i="2"/>
  <c r="L1046" i="2" s="1"/>
  <c r="H904" i="2"/>
  <c r="H905" i="2" s="1"/>
  <c r="H523" i="2"/>
  <c r="H1082" i="2"/>
  <c r="H1086" i="2" s="1"/>
  <c r="J1052" i="2"/>
  <c r="J1047" i="2" s="1"/>
  <c r="N4" i="2"/>
  <c r="M1088" i="2"/>
  <c r="K1052" i="2"/>
  <c r="K1047" i="2" s="1"/>
  <c r="K345" i="2"/>
  <c r="K346" i="2" s="1"/>
  <c r="K531" i="2"/>
  <c r="M1052" i="2"/>
  <c r="M1047" i="2" s="1"/>
  <c r="G30" i="8"/>
  <c r="J512" i="2"/>
  <c r="J1015" i="2"/>
  <c r="I1085" i="2"/>
  <c r="G1041" i="2"/>
  <c r="M1041" i="2"/>
  <c r="I1041" i="2"/>
  <c r="K1041" i="2"/>
  <c r="L1041" i="2"/>
  <c r="J1041" i="2"/>
  <c r="H1041" i="2"/>
  <c r="N1041" i="2"/>
  <c r="H1055" i="2"/>
  <c r="H1050" i="2" s="1"/>
  <c r="J794" i="2"/>
  <c r="J823" i="2"/>
  <c r="J345" i="2"/>
  <c r="J346" i="2" s="1"/>
  <c r="J531" i="2"/>
  <c r="I1052" i="2"/>
  <c r="I1047" i="2" s="1"/>
  <c r="M1051" i="2"/>
  <c r="M1046" i="2" s="1"/>
  <c r="J1051" i="2"/>
  <c r="J1046" i="2" s="1"/>
  <c r="H823" i="2"/>
  <c r="H794" i="2"/>
  <c r="I1083" i="2"/>
  <c r="F54" i="3"/>
  <c r="E52" i="3"/>
  <c r="E55" i="3" s="1"/>
  <c r="H22" i="28"/>
  <c r="H102" i="28"/>
  <c r="I19" i="5"/>
  <c r="I114" i="5"/>
  <c r="F35" i="3"/>
  <c r="K89" i="7"/>
  <c r="K90" i="7" s="1"/>
  <c r="F53" i="3"/>
  <c r="M105" i="5"/>
  <c r="H115" i="5"/>
  <c r="H117" i="5" s="1"/>
  <c r="I112" i="5"/>
  <c r="I71" i="5"/>
  <c r="F130" i="7"/>
  <c r="F79" i="7"/>
  <c r="H88" i="5"/>
  <c r="H20" i="5"/>
  <c r="I64" i="5"/>
  <c r="H106" i="29"/>
  <c r="H102" i="27"/>
  <c r="H106" i="3"/>
  <c r="H22" i="3"/>
  <c r="H26" i="28"/>
  <c r="H26" i="25"/>
  <c r="H106" i="31"/>
  <c r="H22" i="30"/>
  <c r="H106" i="25"/>
  <c r="H26" i="3"/>
  <c r="H102" i="31"/>
  <c r="H106" i="30"/>
  <c r="H102" i="29"/>
  <c r="H106" i="28"/>
  <c r="H26" i="27"/>
  <c r="H106" i="26"/>
  <c r="H106" i="27"/>
  <c r="H26" i="26"/>
  <c r="H102" i="25"/>
  <c r="H22" i="31"/>
  <c r="H22" i="29"/>
  <c r="H26" i="31"/>
  <c r="H26" i="29"/>
  <c r="H22" i="27"/>
  <c r="H26" i="30"/>
  <c r="H102" i="3"/>
  <c r="H22" i="25"/>
  <c r="H102" i="30"/>
  <c r="H102" i="26"/>
  <c r="H22" i="26"/>
  <c r="F233" i="7"/>
  <c r="F182" i="7"/>
  <c r="F81" i="7"/>
  <c r="H134" i="3"/>
  <c r="F133" i="3"/>
  <c r="F184" i="7"/>
  <c r="F235" i="7"/>
  <c r="F132" i="7"/>
  <c r="H105" i="5"/>
  <c r="I100" i="5"/>
  <c r="I105" i="5" s="1"/>
  <c r="I61" i="5"/>
  <c r="J1069" i="2" l="1"/>
  <c r="K1069" i="2" s="1"/>
  <c r="I1038" i="2"/>
  <c r="D21" i="7" s="1"/>
  <c r="I1037" i="2"/>
  <c r="I523" i="2"/>
  <c r="I513" i="2"/>
  <c r="I1212" i="2" s="1"/>
  <c r="I904" i="2"/>
  <c r="I905" i="2" s="1"/>
  <c r="J904" i="2"/>
  <c r="J523" i="2"/>
  <c r="K520" i="2"/>
  <c r="C1040" i="2"/>
  <c r="I1082" i="2"/>
  <c r="I1086" i="2" s="1"/>
  <c r="C1044" i="2"/>
  <c r="C1043" i="2"/>
  <c r="H824" i="2"/>
  <c r="H830" i="2"/>
  <c r="H793" i="2"/>
  <c r="H525" i="2"/>
  <c r="C1041" i="2"/>
  <c r="H1084" i="2"/>
  <c r="L1083" i="2"/>
  <c r="L1085" i="2"/>
  <c r="C1050" i="2"/>
  <c r="H532" i="2"/>
  <c r="H791" i="2"/>
  <c r="C1046" i="2"/>
  <c r="J1037" i="2"/>
  <c r="J1039" i="2"/>
  <c r="E22" i="7" s="1"/>
  <c r="N800" i="2"/>
  <c r="M800" i="2"/>
  <c r="M1083" i="2"/>
  <c r="M1085" i="2"/>
  <c r="C1049" i="2"/>
  <c r="J426" i="2"/>
  <c r="I789" i="2"/>
  <c r="I532" i="2" s="1"/>
  <c r="L794" i="2"/>
  <c r="L823" i="2"/>
  <c r="C1047" i="2"/>
  <c r="M345" i="2"/>
  <c r="M346" i="2" s="1"/>
  <c r="M531" i="2"/>
  <c r="J824" i="2"/>
  <c r="J793" i="2"/>
  <c r="J830" i="2"/>
  <c r="N1088" i="2"/>
  <c r="N1083" i="2"/>
  <c r="N1085" i="2"/>
  <c r="K793" i="2"/>
  <c r="K824" i="2"/>
  <c r="K830" i="2"/>
  <c r="I824" i="2"/>
  <c r="I830" i="2"/>
  <c r="I793" i="2"/>
  <c r="K17" i="54"/>
  <c r="F52" i="3"/>
  <c r="F55" i="3" s="1"/>
  <c r="I115" i="5"/>
  <c r="I117" i="5" s="1"/>
  <c r="K112" i="5"/>
  <c r="K115" i="5" s="1"/>
  <c r="K117" i="5" s="1"/>
  <c r="I90" i="5"/>
  <c r="F8" i="3"/>
  <c r="F63" i="3"/>
  <c r="I13" i="5"/>
  <c r="K19" i="5"/>
  <c r="J32" i="3"/>
  <c r="H135" i="3"/>
  <c r="F134" i="3"/>
  <c r="K61" i="5"/>
  <c r="H76" i="5"/>
  <c r="G60" i="3"/>
  <c r="F60" i="3" s="1"/>
  <c r="K64" i="5"/>
  <c r="H70" i="5"/>
  <c r="H46" i="5"/>
  <c r="H47" i="5"/>
  <c r="H45" i="5"/>
  <c r="H48" i="5"/>
  <c r="K71" i="5"/>
  <c r="J1038" i="2" l="1"/>
  <c r="D22" i="7" s="1"/>
  <c r="I525" i="2"/>
  <c r="J525" i="2" s="1"/>
  <c r="J513" i="2"/>
  <c r="J1212" i="2" s="1"/>
  <c r="J1082" i="2"/>
  <c r="K1082" i="2" s="1"/>
  <c r="K1086" i="2" s="1"/>
  <c r="J905" i="2"/>
  <c r="K523" i="2"/>
  <c r="K904" i="2"/>
  <c r="L520" i="2"/>
  <c r="I1084" i="2"/>
  <c r="N1084" i="2"/>
  <c r="I791" i="2"/>
  <c r="I831" i="2" s="1"/>
  <c r="N1086" i="2"/>
  <c r="N531" i="2"/>
  <c r="N527" i="2" s="1"/>
  <c r="N528" i="2" s="1"/>
  <c r="K426" i="2"/>
  <c r="J789" i="2"/>
  <c r="K1037" i="2"/>
  <c r="K1039" i="2"/>
  <c r="E23" i="7" s="1"/>
  <c r="K1038" i="2"/>
  <c r="D23" i="7" s="1"/>
  <c r="L1069" i="2"/>
  <c r="I533" i="2"/>
  <c r="I527" i="2" s="1"/>
  <c r="I528" i="2" s="1"/>
  <c r="I526" i="2"/>
  <c r="L830" i="2"/>
  <c r="L793" i="2"/>
  <c r="L824" i="2"/>
  <c r="M823" i="2"/>
  <c r="M794" i="2"/>
  <c r="N823" i="2"/>
  <c r="N794" i="2"/>
  <c r="H533" i="2"/>
  <c r="H527" i="2" s="1"/>
  <c r="H528" i="2" s="1"/>
  <c r="H529" i="2" s="1"/>
  <c r="H526" i="2"/>
  <c r="H831" i="2"/>
  <c r="H23" i="5"/>
  <c r="H92" i="5" s="1"/>
  <c r="H93" i="5" s="1"/>
  <c r="G49" i="3"/>
  <c r="F49" i="3" s="1"/>
  <c r="L112" i="5"/>
  <c r="L115" i="5" s="1"/>
  <c r="L117" i="5" s="1"/>
  <c r="H44" i="5"/>
  <c r="H78" i="4"/>
  <c r="L64" i="5"/>
  <c r="I76" i="5"/>
  <c r="K90" i="5"/>
  <c r="H73" i="5"/>
  <c r="L19" i="5"/>
  <c r="I70" i="5"/>
  <c r="I48" i="5"/>
  <c r="I46" i="5"/>
  <c r="I45" i="5"/>
  <c r="I47" i="5"/>
  <c r="L71" i="5"/>
  <c r="L61" i="5"/>
  <c r="H136" i="3"/>
  <c r="F136" i="3" s="1"/>
  <c r="E136" i="3" s="1"/>
  <c r="E135" i="3" s="1"/>
  <c r="E134" i="3" s="1"/>
  <c r="E133" i="3" s="1"/>
  <c r="F62" i="3" s="1"/>
  <c r="F135" i="3"/>
  <c r="H43" i="5"/>
  <c r="K513" i="2" l="1"/>
  <c r="K1212" i="2" s="1"/>
  <c r="L1082" i="2"/>
  <c r="L1086" i="2" s="1"/>
  <c r="J1084" i="2"/>
  <c r="J1086" i="2"/>
  <c r="K525" i="2"/>
  <c r="K1084" i="2"/>
  <c r="M520" i="2"/>
  <c r="L523" i="2"/>
  <c r="L904" i="2"/>
  <c r="K905" i="2"/>
  <c r="N793" i="2"/>
  <c r="N824" i="2"/>
  <c r="N830" i="2"/>
  <c r="I529" i="2"/>
  <c r="J791" i="2"/>
  <c r="J831" i="2" s="1"/>
  <c r="J532" i="2"/>
  <c r="L426" i="2"/>
  <c r="K789" i="2"/>
  <c r="K532" i="2" s="1"/>
  <c r="M824" i="2"/>
  <c r="M830" i="2"/>
  <c r="M793" i="2"/>
  <c r="M1069" i="2"/>
  <c r="L1039" i="2"/>
  <c r="E24" i="7" s="1"/>
  <c r="L1038" i="2"/>
  <c r="D24" i="7" s="1"/>
  <c r="L1037" i="2"/>
  <c r="H24" i="5"/>
  <c r="M19" i="5"/>
  <c r="M112" i="5"/>
  <c r="M115" i="5" s="1"/>
  <c r="M117" i="5" s="1"/>
  <c r="K13" i="5"/>
  <c r="H49" i="5"/>
  <c r="I44" i="5"/>
  <c r="I43" i="5"/>
  <c r="I47" i="4"/>
  <c r="I78" i="4"/>
  <c r="M61" i="5"/>
  <c r="I73" i="5"/>
  <c r="M64" i="5"/>
  <c r="J78" i="4"/>
  <c r="J47" i="4"/>
  <c r="M71" i="5"/>
  <c r="N112" i="5"/>
  <c r="N115" i="5" s="1"/>
  <c r="N117" i="5" s="1"/>
  <c r="F47" i="4"/>
  <c r="F45" i="4" s="1"/>
  <c r="F78" i="4"/>
  <c r="K70" i="5"/>
  <c r="K48" i="5"/>
  <c r="K46" i="5"/>
  <c r="K45" i="5"/>
  <c r="K47" i="5"/>
  <c r="L90" i="5"/>
  <c r="G47" i="4"/>
  <c r="G78" i="4"/>
  <c r="M1082" i="2" l="1"/>
  <c r="M1086" i="2" s="1"/>
  <c r="L1084" i="2"/>
  <c r="L513" i="2"/>
  <c r="L1212" i="2" s="1"/>
  <c r="L905" i="2"/>
  <c r="M904" i="2"/>
  <c r="M523" i="2"/>
  <c r="L525" i="2"/>
  <c r="K791" i="2"/>
  <c r="K831" i="2" s="1"/>
  <c r="M426" i="2"/>
  <c r="M789" i="2" s="1"/>
  <c r="L789" i="2"/>
  <c r="L532" i="2" s="1"/>
  <c r="J533" i="2"/>
  <c r="J527" i="2" s="1"/>
  <c r="J528" i="2" s="1"/>
  <c r="J529" i="2" s="1"/>
  <c r="J526" i="2"/>
  <c r="K533" i="2"/>
  <c r="K527" i="2" s="1"/>
  <c r="K528" i="2" s="1"/>
  <c r="K526" i="2"/>
  <c r="N1069" i="2"/>
  <c r="M1039" i="2"/>
  <c r="E25" i="7" s="1"/>
  <c r="M1038" i="2"/>
  <c r="D25" i="7" s="1"/>
  <c r="M1037" i="2"/>
  <c r="I1034" i="2" s="1"/>
  <c r="M90" i="5"/>
  <c r="G45" i="4"/>
  <c r="K44" i="5"/>
  <c r="I49" i="5"/>
  <c r="J45" i="4"/>
  <c r="K43" i="5"/>
  <c r="K76" i="5"/>
  <c r="N61" i="5"/>
  <c r="L13" i="5"/>
  <c r="N19" i="5"/>
  <c r="N71" i="5"/>
  <c r="N64" i="5"/>
  <c r="L70" i="5"/>
  <c r="L48" i="5"/>
  <c r="L46" i="5"/>
  <c r="L47" i="5"/>
  <c r="L45" i="5"/>
  <c r="I45" i="4"/>
  <c r="M1034" i="2" l="1"/>
  <c r="J1034" i="2"/>
  <c r="M1084" i="2"/>
  <c r="K1034" i="2"/>
  <c r="M513" i="2"/>
  <c r="M1212" i="2" s="1"/>
  <c r="L1034" i="2"/>
  <c r="M905" i="2"/>
  <c r="N905" i="2" s="1"/>
  <c r="M525" i="2"/>
  <c r="N525" i="2" s="1"/>
  <c r="O1204" i="2"/>
  <c r="O1" i="2" s="1"/>
  <c r="L791" i="2"/>
  <c r="L831" i="2" s="1"/>
  <c r="M532" i="2"/>
  <c r="N789" i="2"/>
  <c r="N791" i="2" s="1"/>
  <c r="N831" i="2" s="1"/>
  <c r="M791" i="2"/>
  <c r="M831" i="2" s="1"/>
  <c r="L533" i="2"/>
  <c r="L527" i="2" s="1"/>
  <c r="L528" i="2" s="1"/>
  <c r="L526" i="2"/>
  <c r="K529" i="2"/>
  <c r="O16" i="54"/>
  <c r="S19" i="54" s="1"/>
  <c r="I62" i="5"/>
  <c r="K49" i="5"/>
  <c r="M13" i="5"/>
  <c r="L44" i="5"/>
  <c r="L43" i="5"/>
  <c r="N90" i="5"/>
  <c r="K73" i="5"/>
  <c r="M70" i="5"/>
  <c r="M46" i="5"/>
  <c r="M45" i="5"/>
  <c r="M47" i="5"/>
  <c r="M48" i="5"/>
  <c r="M1209" i="2" l="1"/>
  <c r="H1209" i="2"/>
  <c r="K1209" i="2"/>
  <c r="I1209" i="2"/>
  <c r="J1209" i="2"/>
  <c r="L1209" i="2"/>
  <c r="J106" i="5"/>
  <c r="J107" i="5" s="1"/>
  <c r="J96" i="5"/>
  <c r="J97" i="5" s="1"/>
  <c r="N513" i="2"/>
  <c r="L529" i="2"/>
  <c r="N532" i="2"/>
  <c r="N526" i="2" s="1"/>
  <c r="M533" i="2"/>
  <c r="M527" i="2" s="1"/>
  <c r="M528" i="2" s="1"/>
  <c r="M526" i="2"/>
  <c r="K51" i="54"/>
  <c r="K20" i="54"/>
  <c r="C52" i="54"/>
  <c r="S11" i="54"/>
  <c r="C49" i="54"/>
  <c r="O46" i="54" s="1"/>
  <c r="H62" i="5"/>
  <c r="K62" i="5"/>
  <c r="I23" i="5"/>
  <c r="I92" i="5" s="1"/>
  <c r="L49" i="5"/>
  <c r="L76" i="5"/>
  <c r="N70" i="5"/>
  <c r="N45" i="5"/>
  <c r="N47" i="5"/>
  <c r="N46" i="5"/>
  <c r="N48" i="5"/>
  <c r="N37" i="5"/>
  <c r="M44" i="5"/>
  <c r="M529" i="2" l="1"/>
  <c r="N529" i="2" s="1"/>
  <c r="J109" i="5"/>
  <c r="J119" i="5"/>
  <c r="M62" i="5"/>
  <c r="L62" i="5"/>
  <c r="K23" i="5"/>
  <c r="K92" i="5" s="1"/>
  <c r="N44" i="5"/>
  <c r="M76" i="5"/>
  <c r="L73" i="5"/>
  <c r="N62" i="5" l="1"/>
  <c r="M43" i="5"/>
  <c r="M49" i="5" s="1"/>
  <c r="N13" i="5"/>
  <c r="M73" i="5"/>
  <c r="L23" i="5" l="1"/>
  <c r="L92" i="5" s="1"/>
  <c r="N43" i="5"/>
  <c r="N49" i="5" s="1"/>
  <c r="N76" i="5" l="1"/>
  <c r="M23" i="5" l="1"/>
  <c r="M92" i="5" s="1"/>
  <c r="N73" i="5"/>
  <c r="N23" i="5" l="1"/>
  <c r="N92" i="5" s="1"/>
  <c r="I30" i="5" l="1"/>
  <c r="L15" i="5"/>
  <c r="L88" i="5" s="1"/>
  <c r="L93" i="5" s="1"/>
  <c r="K21" i="5"/>
  <c r="N15" i="5"/>
  <c r="N88" i="5" s="1"/>
  <c r="N93" i="5" s="1"/>
  <c r="M25" i="5"/>
  <c r="I16" i="5" l="1"/>
  <c r="L20" i="5"/>
  <c r="L24" i="5" s="1"/>
  <c r="M16" i="5"/>
  <c r="N20" i="5"/>
  <c r="N24" i="5" s="1"/>
  <c r="M15" i="5"/>
  <c r="M88" i="5" s="1"/>
  <c r="M93" i="5" s="1"/>
  <c r="L21" i="5"/>
  <c r="K15" i="5"/>
  <c r="K88" i="5" s="1"/>
  <c r="K93" i="5" s="1"/>
  <c r="M21" i="5"/>
  <c r="N16" i="5"/>
  <c r="N25" i="5"/>
  <c r="L30" i="5"/>
  <c r="N21" i="5"/>
  <c r="L25" i="5"/>
  <c r="N30" i="5"/>
  <c r="L16" i="5"/>
  <c r="M30" i="5"/>
  <c r="K25" i="5"/>
  <c r="I15" i="5"/>
  <c r="I20" i="5" s="1"/>
  <c r="I24" i="5" s="1"/>
  <c r="K30" i="5"/>
  <c r="I21" i="5"/>
  <c r="K16" i="5"/>
  <c r="I25" i="5"/>
  <c r="M20" i="5" l="1"/>
  <c r="M24" i="5" s="1"/>
  <c r="K20" i="5"/>
  <c r="K24" i="5" s="1"/>
  <c r="I88" i="5"/>
  <c r="I93" i="5" s="1"/>
  <c r="H52" i="5" l="1"/>
  <c r="I52" i="5" l="1"/>
  <c r="C29" i="54"/>
  <c r="L94" i="5" l="1"/>
  <c r="L95" i="5" s="1"/>
  <c r="L120" i="5" s="1"/>
  <c r="K94" i="5"/>
  <c r="K95" i="5" s="1"/>
  <c r="K120" i="5" s="1"/>
  <c r="L52" i="5" l="1"/>
  <c r="K52" i="5"/>
  <c r="M94" i="5" l="1"/>
  <c r="M95" i="5" s="1"/>
  <c r="M120" i="5" s="1"/>
  <c r="N94" i="5"/>
  <c r="N95" i="5" s="1"/>
  <c r="N120" i="5" s="1"/>
  <c r="N52" i="5" l="1"/>
  <c r="M52" i="5"/>
  <c r="J8" i="3" l="1"/>
  <c r="N79" i="3" l="1" a="1"/>
  <c r="N79" i="3" s="1"/>
  <c r="H79" i="3" s="1"/>
  <c r="N78" i="3" a="1"/>
  <c r="N78" i="3" s="1"/>
  <c r="H78" i="3" s="1"/>
  <c r="H77" i="5"/>
  <c r="I77" i="5" l="1"/>
  <c r="K77" i="5" l="1"/>
  <c r="L77" i="5" l="1"/>
  <c r="M77" i="5" l="1"/>
  <c r="N77" i="5" l="1"/>
  <c r="H53" i="5" l="1"/>
  <c r="I53" i="5" l="1"/>
  <c r="K53" i="5" l="1"/>
  <c r="L53" i="5" l="1"/>
  <c r="M53" i="5" l="1"/>
  <c r="H94" i="5"/>
  <c r="H78" i="5" l="1"/>
  <c r="H79" i="5" s="1"/>
  <c r="H81" i="5" s="1"/>
  <c r="N53" i="5"/>
  <c r="H95" i="5"/>
  <c r="I94" i="5"/>
  <c r="I95" i="5" s="1"/>
  <c r="F15" i="3" l="1"/>
  <c r="I79" i="5"/>
  <c r="I81" i="5" s="1"/>
  <c r="I120" i="5"/>
  <c r="H120" i="5"/>
  <c r="K79" i="5" l="1"/>
  <c r="K81" i="5" s="1"/>
  <c r="H54" i="5"/>
  <c r="H55" i="5" s="1"/>
  <c r="H57" i="5" s="1"/>
  <c r="H63" i="5" s="1"/>
  <c r="H65" i="5" s="1"/>
  <c r="H83" i="5" s="1"/>
  <c r="G38" i="54" l="1"/>
  <c r="C42" i="54" s="1"/>
  <c r="C23" i="54"/>
  <c r="I54" i="5"/>
  <c r="I55" i="5" s="1"/>
  <c r="I57" i="5" s="1"/>
  <c r="I63" i="5" s="1"/>
  <c r="I65" i="5" s="1"/>
  <c r="I83" i="5" s="1"/>
  <c r="L79" i="5"/>
  <c r="L81" i="5" s="1"/>
  <c r="K40" i="54" l="1"/>
  <c r="S15" i="54"/>
  <c r="W13" i="54" s="1"/>
  <c r="G31" i="54"/>
  <c r="K54" i="5"/>
  <c r="K55" i="5" s="1"/>
  <c r="K57" i="5" s="1"/>
  <c r="K63" i="5" s="1"/>
  <c r="K65" i="5" s="1"/>
  <c r="K83" i="5" s="1"/>
  <c r="M79" i="5"/>
  <c r="M81" i="5" s="1"/>
  <c r="K36" i="5"/>
  <c r="G83" i="7"/>
  <c r="F20" i="3"/>
  <c r="J22" i="3" s="1"/>
  <c r="F100" i="3"/>
  <c r="J102" i="3" s="1"/>
  <c r="J106" i="3" s="1"/>
  <c r="J108" i="3" s="1"/>
  <c r="I36" i="5"/>
  <c r="C32" i="54" l="1"/>
  <c r="O33" i="54"/>
  <c r="K29" i="54"/>
  <c r="L54" i="5"/>
  <c r="L55" i="5" s="1"/>
  <c r="L57" i="5" s="1"/>
  <c r="L63" i="5" s="1"/>
  <c r="L65" i="5" s="1"/>
  <c r="L83" i="5" s="1"/>
  <c r="N79" i="5"/>
  <c r="N81" i="5" s="1"/>
  <c r="K91" i="7"/>
  <c r="G74" i="7"/>
  <c r="K37" i="5"/>
  <c r="N25" i="3"/>
  <c r="J26" i="3"/>
  <c r="J28" i="3" s="1"/>
  <c r="N28" i="3"/>
  <c r="N27" i="3"/>
  <c r="N24" i="3"/>
  <c r="I37" i="5"/>
  <c r="N36" i="5"/>
  <c r="G88" i="7"/>
  <c r="G111" i="7" s="1"/>
  <c r="G97" i="7"/>
  <c r="G120" i="7" s="1"/>
  <c r="G96" i="7"/>
  <c r="G123" i="7"/>
  <c r="G125" i="7" s="1"/>
  <c r="G76" i="7"/>
  <c r="G99" i="7" s="1"/>
  <c r="G87" i="7"/>
  <c r="G92" i="7"/>
  <c r="G69" i="3"/>
  <c r="F69" i="3" s="1"/>
  <c r="G89" i="7"/>
  <c r="G112" i="7" s="1"/>
  <c r="G78" i="7"/>
  <c r="G101" i="7" s="1"/>
  <c r="G80" i="7"/>
  <c r="G103" i="7" s="1"/>
  <c r="G77" i="7"/>
  <c r="G100" i="7" s="1"/>
  <c r="G81" i="7"/>
  <c r="G104" i="7" s="1"/>
  <c r="G67" i="3"/>
  <c r="G85" i="7"/>
  <c r="G108" i="7" s="1"/>
  <c r="G90" i="7"/>
  <c r="G113" i="7" s="1"/>
  <c r="G79" i="7"/>
  <c r="G102" i="7" s="1"/>
  <c r="G94" i="7"/>
  <c r="H69" i="3" l="1"/>
  <c r="J69" i="3"/>
  <c r="I69" i="3" s="1"/>
  <c r="S28" i="54"/>
  <c r="M54" i="5"/>
  <c r="M55" i="5" s="1"/>
  <c r="M57" i="5" s="1"/>
  <c r="M63" i="5" s="1"/>
  <c r="M65" i="5" s="1"/>
  <c r="M83" i="5" s="1"/>
  <c r="G119" i="7"/>
  <c r="G95" i="7"/>
  <c r="G117" i="7"/>
  <c r="G93" i="7"/>
  <c r="G115" i="7"/>
  <c r="G91" i="7"/>
  <c r="G110" i="7"/>
  <c r="G86" i="7"/>
  <c r="G84" i="7" s="1"/>
  <c r="G82" i="7" s="1"/>
  <c r="G106" i="7"/>
  <c r="A78" i="3" a="1"/>
  <c r="A78" i="3" s="1"/>
  <c r="G78" i="3" s="1"/>
  <c r="F78" i="3" s="1"/>
  <c r="L36" i="5"/>
  <c r="F96" i="3"/>
  <c r="F95" i="3" s="1"/>
  <c r="F111" i="3" s="1"/>
  <c r="J111" i="3" s="1"/>
  <c r="I111" i="3" s="1"/>
  <c r="G182" i="7"/>
  <c r="G205" i="7" s="1"/>
  <c r="G179" i="7"/>
  <c r="G202" i="7" s="1"/>
  <c r="G184" i="7"/>
  <c r="G207" i="7" s="1"/>
  <c r="G68" i="3"/>
  <c r="G226" i="7"/>
  <c r="G228" i="7" s="1"/>
  <c r="G197" i="7"/>
  <c r="G181" i="7"/>
  <c r="G204" i="7" s="1"/>
  <c r="G195" i="7"/>
  <c r="G191" i="7"/>
  <c r="G214" i="7" s="1"/>
  <c r="G186" i="7"/>
  <c r="G180" i="7"/>
  <c r="G203" i="7" s="1"/>
  <c r="G200" i="7"/>
  <c r="G223" i="7" s="1"/>
  <c r="G190" i="7"/>
  <c r="G193" i="7"/>
  <c r="G216" i="7" s="1"/>
  <c r="G188" i="7"/>
  <c r="G183" i="7"/>
  <c r="G206" i="7" s="1"/>
  <c r="G199" i="7"/>
  <c r="G192" i="7"/>
  <c r="G215" i="7" s="1"/>
  <c r="F16" i="3"/>
  <c r="F33" i="3" s="1"/>
  <c r="F36" i="3" s="1"/>
  <c r="G163" i="7"/>
  <c r="G166" i="7"/>
  <c r="G153" i="7"/>
  <c r="G159" i="7"/>
  <c r="G155" i="7"/>
  <c r="G174" i="7"/>
  <c r="G176" i="7" s="1"/>
  <c r="G154" i="7"/>
  <c r="G150" i="7"/>
  <c r="G162" i="7"/>
  <c r="G171" i="7"/>
  <c r="G116" i="3"/>
  <c r="F116" i="3" s="1"/>
  <c r="G164" i="7"/>
  <c r="G151" i="7"/>
  <c r="G170" i="7"/>
  <c r="G152" i="7"/>
  <c r="G114" i="3"/>
  <c r="G161" i="7"/>
  <c r="G157" i="7"/>
  <c r="G168" i="7"/>
  <c r="J31" i="3"/>
  <c r="F31" i="3" s="1"/>
  <c r="H116" i="3" l="1"/>
  <c r="J116" i="3"/>
  <c r="I116" i="3" s="1"/>
  <c r="N54" i="5"/>
  <c r="N55" i="5" s="1"/>
  <c r="N57" i="5" s="1"/>
  <c r="N63" i="5" s="1"/>
  <c r="N65" i="5" s="1"/>
  <c r="N83" i="5" s="1"/>
  <c r="G222" i="7"/>
  <c r="G198" i="7"/>
  <c r="G220" i="7"/>
  <c r="G196" i="7"/>
  <c r="G218" i="7"/>
  <c r="G194" i="7"/>
  <c r="G213" i="7"/>
  <c r="G189" i="7"/>
  <c r="G211" i="7"/>
  <c r="G187" i="7"/>
  <c r="G209" i="7"/>
  <c r="G185" i="7"/>
  <c r="A79" i="3" a="1"/>
  <c r="A79" i="3" s="1"/>
  <c r="G79" i="3" s="1"/>
  <c r="F79" i="3" s="1"/>
  <c r="M36" i="5"/>
  <c r="G253" i="7"/>
  <c r="G265" i="7"/>
  <c r="G260" i="7"/>
  <c r="G256" i="7"/>
  <c r="G254" i="7"/>
  <c r="G257" i="7"/>
  <c r="G274" i="7"/>
  <c r="G264" i="7"/>
  <c r="G273" i="7"/>
  <c r="G269" i="7"/>
  <c r="G258" i="7"/>
  <c r="G255" i="7"/>
  <c r="G266" i="7"/>
  <c r="G262" i="7"/>
  <c r="G115" i="3"/>
  <c r="G271" i="7"/>
  <c r="G267" i="7"/>
  <c r="G277" i="7"/>
  <c r="G279" i="7" s="1"/>
  <c r="G149" i="7"/>
  <c r="G126" i="7" s="1"/>
  <c r="F156" i="7" s="1"/>
  <c r="H111" i="3"/>
  <c r="G112" i="3"/>
  <c r="F112" i="3" s="1"/>
  <c r="I138" i="3"/>
  <c r="I139" i="3" s="1"/>
  <c r="F48" i="3"/>
  <c r="L37" i="5"/>
  <c r="F64" i="3"/>
  <c r="F65" i="3" s="1"/>
  <c r="D65" i="51" s="1"/>
  <c r="M37" i="5"/>
  <c r="I130" i="3"/>
  <c r="I131" i="3" s="1"/>
  <c r="G138" i="3"/>
  <c r="G139" i="3" s="1"/>
  <c r="G130" i="3"/>
  <c r="G131" i="3" s="1"/>
  <c r="F57" i="3" l="1"/>
  <c r="H57" i="3" s="1"/>
  <c r="G70" i="3"/>
  <c r="F70" i="3" s="1"/>
  <c r="G201" i="7"/>
  <c r="G178" i="7" s="1"/>
  <c r="F208" i="7" s="1"/>
  <c r="G98" i="7"/>
  <c r="G75" i="7" s="1"/>
  <c r="F105" i="7" s="1"/>
  <c r="F159" i="7"/>
  <c r="F168" i="7"/>
  <c r="F158" i="7"/>
  <c r="F170" i="7"/>
  <c r="F165" i="7"/>
  <c r="F153" i="7"/>
  <c r="F164" i="7"/>
  <c r="F171" i="7"/>
  <c r="F161" i="7"/>
  <c r="F155" i="7"/>
  <c r="F166" i="7"/>
  <c r="F163" i="7"/>
  <c r="F157" i="7"/>
  <c r="F167" i="7"/>
  <c r="F160" i="7"/>
  <c r="N106" i="5"/>
  <c r="N107" i="5" s="1"/>
  <c r="H106" i="5"/>
  <c r="H107" i="5" s="1"/>
  <c r="H28" i="5"/>
  <c r="H29" i="5" s="1"/>
  <c r="H33" i="5" s="1"/>
  <c r="I106" i="5"/>
  <c r="I107" i="5" s="1"/>
  <c r="M96" i="5"/>
  <c r="M97" i="5" s="1"/>
  <c r="L106" i="5"/>
  <c r="L107" i="5" s="1"/>
  <c r="N28" i="5"/>
  <c r="N29" i="5" s="1"/>
  <c r="N33" i="5" s="1"/>
  <c r="K106" i="5"/>
  <c r="K107" i="5" s="1"/>
  <c r="M28" i="5"/>
  <c r="M29" i="5" s="1"/>
  <c r="M33" i="5" s="1"/>
  <c r="M106" i="5"/>
  <c r="M107" i="5" s="1"/>
  <c r="N96" i="5"/>
  <c r="N97" i="5" s="1"/>
  <c r="I28" i="5"/>
  <c r="I29" i="5" s="1"/>
  <c r="I33" i="5" s="1"/>
  <c r="L96" i="5"/>
  <c r="L97" i="5" s="1"/>
  <c r="K96" i="5"/>
  <c r="K97" i="5" s="1"/>
  <c r="L28" i="5"/>
  <c r="L29" i="5" s="1"/>
  <c r="L33" i="5" s="1"/>
  <c r="I96" i="5"/>
  <c r="I97" i="5" s="1"/>
  <c r="H96" i="5"/>
  <c r="H97" i="5" s="1"/>
  <c r="K28" i="5"/>
  <c r="K29" i="5" s="1"/>
  <c r="K33" i="5" s="1"/>
  <c r="G252" i="7"/>
  <c r="G229" i="7" s="1"/>
  <c r="F259" i="7" s="1"/>
  <c r="E77" i="3"/>
  <c r="F74" i="3"/>
  <c r="D77" i="3"/>
  <c r="D73" i="3" s="1"/>
  <c r="J131" i="3"/>
  <c r="J130" i="3" s="1"/>
  <c r="F73" i="3"/>
  <c r="J140" i="3"/>
  <c r="J141" i="3"/>
  <c r="J139" i="3"/>
  <c r="J138" i="3" s="1"/>
  <c r="D65" i="3"/>
  <c r="D65" i="29"/>
  <c r="D65" i="28"/>
  <c r="D65" i="25"/>
  <c r="D65" i="27"/>
  <c r="D65" i="31"/>
  <c r="D65" i="30"/>
  <c r="D65" i="26"/>
  <c r="F151" i="7"/>
  <c r="K130" i="3"/>
  <c r="K131" i="3" s="1"/>
  <c r="F81" i="3"/>
  <c r="C1048" i="2" s="1"/>
  <c r="H139" i="3"/>
  <c r="H138" i="3" s="1"/>
  <c r="H141" i="3"/>
  <c r="H140" i="3"/>
  <c r="F119" i="3"/>
  <c r="E123" i="3"/>
  <c r="F120" i="3"/>
  <c r="H131" i="3"/>
  <c r="H130" i="3" s="1"/>
  <c r="D123" i="3"/>
  <c r="D119" i="3" s="1"/>
  <c r="F169" i="7"/>
  <c r="F162" i="7"/>
  <c r="F152" i="7"/>
  <c r="F150" i="7"/>
  <c r="F154" i="7"/>
  <c r="G58" i="3" l="1"/>
  <c r="F58" i="3" s="1"/>
  <c r="F76" i="3"/>
  <c r="F122" i="3"/>
  <c r="H70" i="3"/>
  <c r="J70" i="3"/>
  <c r="I70" i="3" s="1"/>
  <c r="C1042" i="2"/>
  <c r="J57" i="3"/>
  <c r="I57" i="3" s="1"/>
  <c r="F222" i="7"/>
  <c r="F214" i="7"/>
  <c r="F219" i="7"/>
  <c r="F202" i="7"/>
  <c r="F209" i="7"/>
  <c r="F212" i="7"/>
  <c r="F213" i="7"/>
  <c r="F210" i="7"/>
  <c r="F205" i="7"/>
  <c r="F217" i="7"/>
  <c r="F216" i="7"/>
  <c r="F220" i="7"/>
  <c r="F211" i="7"/>
  <c r="F207" i="7"/>
  <c r="F215" i="7"/>
  <c r="F204" i="7"/>
  <c r="F223" i="7"/>
  <c r="F218" i="7"/>
  <c r="F203" i="7"/>
  <c r="F221" i="7"/>
  <c r="F206" i="7"/>
  <c r="F116" i="7"/>
  <c r="F99" i="7"/>
  <c r="F110" i="7"/>
  <c r="F102" i="7"/>
  <c r="F109" i="7"/>
  <c r="F111" i="7"/>
  <c r="F107" i="7"/>
  <c r="F108" i="7"/>
  <c r="F100" i="7"/>
  <c r="F113" i="7"/>
  <c r="F117" i="7"/>
  <c r="F112" i="7"/>
  <c r="F104" i="7"/>
  <c r="F119" i="7"/>
  <c r="F115" i="7"/>
  <c r="F106" i="7"/>
  <c r="F114" i="7"/>
  <c r="F120" i="7"/>
  <c r="F118" i="7"/>
  <c r="F103" i="7"/>
  <c r="F101" i="7"/>
  <c r="F257" i="7"/>
  <c r="F270" i="7"/>
  <c r="F271" i="7"/>
  <c r="F269" i="7"/>
  <c r="F272" i="7"/>
  <c r="F263" i="7"/>
  <c r="F254" i="7"/>
  <c r="F255" i="7"/>
  <c r="F267" i="7"/>
  <c r="F264" i="7"/>
  <c r="F261" i="7"/>
  <c r="F273" i="7"/>
  <c r="F258" i="7"/>
  <c r="D74" i="3"/>
  <c r="F274" i="7"/>
  <c r="F260" i="7"/>
  <c r="F266" i="7"/>
  <c r="D120" i="3"/>
  <c r="F262" i="7"/>
  <c r="N119" i="5"/>
  <c r="N109" i="5"/>
  <c r="H119" i="5"/>
  <c r="H109" i="5"/>
  <c r="F256" i="7"/>
  <c r="L109" i="5"/>
  <c r="L119" i="5"/>
  <c r="K109" i="5"/>
  <c r="K119" i="5"/>
  <c r="F253" i="7"/>
  <c r="F72" i="3"/>
  <c r="F118" i="3"/>
  <c r="M109" i="5"/>
  <c r="M119" i="5"/>
  <c r="G173" i="7"/>
  <c r="G175" i="7"/>
  <c r="D90" i="3"/>
  <c r="D87" i="3" s="1"/>
  <c r="E90" i="3"/>
  <c r="F87" i="3"/>
  <c r="L131" i="3"/>
  <c r="L130" i="3" s="1"/>
  <c r="F88" i="3"/>
  <c r="I109" i="5"/>
  <c r="I119" i="5"/>
  <c r="F268" i="7"/>
  <c r="F265" i="7"/>
  <c r="F173" i="7" l="1"/>
  <c r="F175" i="7"/>
  <c r="G227" i="7"/>
  <c r="G225" i="7"/>
  <c r="G124" i="7"/>
  <c r="G122" i="7"/>
  <c r="F86" i="3"/>
  <c r="D88" i="3"/>
  <c r="G278" i="7"/>
  <c r="G276" i="7"/>
  <c r="F124" i="7" l="1"/>
  <c r="F122" i="7"/>
  <c r="F225" i="7"/>
  <c r="F227" i="7"/>
  <c r="F278" i="7"/>
  <c r="F276" i="7"/>
  <c r="F114" i="3"/>
  <c r="H114" i="3" l="1"/>
  <c r="J114" i="3"/>
  <c r="I114" i="3" s="1"/>
  <c r="F67" i="3"/>
  <c r="F68" i="3"/>
  <c r="F115" i="3"/>
  <c r="H67" i="3" l="1"/>
  <c r="J67" i="3"/>
  <c r="I67" i="3" s="1"/>
  <c r="O43" i="54"/>
  <c r="S45" i="54" s="1"/>
  <c r="W24" i="54" s="1"/>
  <c r="C46" i="54"/>
</calcChain>
</file>

<file path=xl/sharedStrings.xml><?xml version="1.0" encoding="utf-8"?>
<sst xmlns="http://schemas.openxmlformats.org/spreadsheetml/2006/main" count="10892" uniqueCount="6370">
  <si>
    <t>InvFile</t>
  </si>
  <si>
    <t>BasicValues</t>
  </si>
  <si>
    <t>B A S I C  V A L U E S</t>
  </si>
  <si>
    <t>year</t>
  </si>
  <si>
    <t xml:space="preserve">  Project description</t>
  </si>
  <si>
    <t>month</t>
  </si>
  <si>
    <t xml:space="preserve">  Calculation phase</t>
  </si>
  <si>
    <t>Total</t>
  </si>
  <si>
    <t xml:space="preserve">  Description</t>
  </si>
  <si>
    <t>years</t>
  </si>
  <si>
    <t xml:space="preserve">  Calculation term, years</t>
  </si>
  <si>
    <t>months</t>
  </si>
  <si>
    <t xml:space="preserve">  + months</t>
  </si>
  <si>
    <t xml:space="preserve">  Interval length, months</t>
  </si>
  <si>
    <t xml:space="preserve">  Number of intervals</t>
  </si>
  <si>
    <t>(MM/YYYY)</t>
  </si>
  <si>
    <t xml:space="preserve">  Calculation term begins</t>
  </si>
  <si>
    <t xml:space="preserve">  Calculation point</t>
  </si>
  <si>
    <t xml:space="preserve">  Calculation term ends</t>
  </si>
  <si>
    <t>(in the end of the period)</t>
  </si>
  <si>
    <t xml:space="preserve">  Figures (1/1000/1000000)</t>
  </si>
  <si>
    <t xml:space="preserve">  Currency</t>
  </si>
  <si>
    <t xml:space="preserve">  Discount rate (per annum)</t>
  </si>
  <si>
    <t>%  (required rate of return)</t>
  </si>
  <si>
    <t>Per month</t>
  </si>
  <si>
    <t xml:space="preserve">  Per interval</t>
  </si>
  <si>
    <t xml:space="preserve">  Cost of equity (per annum)</t>
  </si>
  <si>
    <t>%</t>
  </si>
  <si>
    <t xml:space="preserve">  Income tax %</t>
  </si>
  <si>
    <t>ContactInfo</t>
  </si>
  <si>
    <t>C O N T A C T   I N F O R M A T I O N</t>
  </si>
  <si>
    <t xml:space="preserve">  Contact person</t>
  </si>
  <si>
    <t xml:space="preserve">  Contact info</t>
  </si>
  <si>
    <t xml:space="preserve">  Date</t>
  </si>
  <si>
    <t xml:space="preserve">  Comments</t>
  </si>
  <si>
    <t xml:space="preserve">  Calculation file</t>
  </si>
  <si>
    <t>Invfile</t>
  </si>
  <si>
    <t>Month</t>
  </si>
  <si>
    <t>Operators</t>
  </si>
  <si>
    <t>-</t>
  </si>
  <si>
    <t>P00VUNC</t>
  </si>
  <si>
    <t>Quarter</t>
  </si>
  <si>
    <t>+</t>
  </si>
  <si>
    <t>Year</t>
  </si>
  <si>
    <t>Tax-%</t>
  </si>
  <si>
    <t xml:space="preserve"> </t>
  </si>
  <si>
    <t>*</t>
  </si>
  <si>
    <t>Period</t>
  </si>
  <si>
    <t>/</t>
  </si>
  <si>
    <t>ID: Month, Quarter &amp; Fin. year (MMMMMMYYYY)</t>
  </si>
  <si>
    <t>ID</t>
  </si>
  <si>
    <t>Startup/Operating (1/2)</t>
  </si>
  <si>
    <t>InvestTable</t>
  </si>
  <si>
    <t>x0005</t>
  </si>
  <si>
    <t>P98VUNC</t>
  </si>
  <si>
    <t>x0006</t>
  </si>
  <si>
    <t>P01VUEC</t>
  </si>
  <si>
    <t>Connection fees</t>
  </si>
  <si>
    <t>x0010</t>
  </si>
  <si>
    <t>Months per interval</t>
  </si>
  <si>
    <t>x0011</t>
  </si>
  <si>
    <t>P02VUEC</t>
  </si>
  <si>
    <t>Connection fees, increase (+) / decrease (-)</t>
  </si>
  <si>
    <t>C0495</t>
  </si>
  <si>
    <t>INVESTMENTS (-) / REALIZATIONS (+)</t>
  </si>
  <si>
    <t>x0020</t>
  </si>
  <si>
    <t>P99VUNC</t>
  </si>
  <si>
    <t>Imputed depreciation</t>
  </si>
  <si>
    <t>x0021</t>
  </si>
  <si>
    <t>Depr.-%</t>
  </si>
  <si>
    <t>x0022</t>
  </si>
  <si>
    <t>P02VUNC</t>
  </si>
  <si>
    <t>C8510</t>
  </si>
  <si>
    <t>P02HUNC</t>
  </si>
  <si>
    <t>C0500</t>
  </si>
  <si>
    <t>(straight line)</t>
  </si>
  <si>
    <t>C0520</t>
  </si>
  <si>
    <t>Book value</t>
  </si>
  <si>
    <t>C0540</t>
  </si>
  <si>
    <t>P04VUNC</t>
  </si>
  <si>
    <t>C0560</t>
  </si>
  <si>
    <t>C0580</t>
  </si>
  <si>
    <t>C9101</t>
  </si>
  <si>
    <t>Imputed book value</t>
  </si>
  <si>
    <t>C9102</t>
  </si>
  <si>
    <t>C9103</t>
  </si>
  <si>
    <t>C9104</t>
  </si>
  <si>
    <t>C8520</t>
  </si>
  <si>
    <t>C0600</t>
  </si>
  <si>
    <t>C0620</t>
  </si>
  <si>
    <t>C0640</t>
  </si>
  <si>
    <t>C0660</t>
  </si>
  <si>
    <t>C0680</t>
  </si>
  <si>
    <t>C9106</t>
  </si>
  <si>
    <t>C9107</t>
  </si>
  <si>
    <t>C9108</t>
  </si>
  <si>
    <t>C9109</t>
  </si>
  <si>
    <t>C8530</t>
  </si>
  <si>
    <t>C0700</t>
  </si>
  <si>
    <t>C0720</t>
  </si>
  <si>
    <t>C0740</t>
  </si>
  <si>
    <t>C0760</t>
  </si>
  <si>
    <t>C0780</t>
  </si>
  <si>
    <t>C9111</t>
  </si>
  <si>
    <t>C9112</t>
  </si>
  <si>
    <t>C9113</t>
  </si>
  <si>
    <t>C9114</t>
  </si>
  <si>
    <t>C8540</t>
  </si>
  <si>
    <t>C0800</t>
  </si>
  <si>
    <t>C0820</t>
  </si>
  <si>
    <t>C0840</t>
  </si>
  <si>
    <t>C0860</t>
  </si>
  <si>
    <t>C0880</t>
  </si>
  <si>
    <t>C9116</t>
  </si>
  <si>
    <t>C9117</t>
  </si>
  <si>
    <t>C9118</t>
  </si>
  <si>
    <t>C9119</t>
  </si>
  <si>
    <t>C8550</t>
  </si>
  <si>
    <t>P03HUNC</t>
  </si>
  <si>
    <t>050701000</t>
  </si>
  <si>
    <t>C0900</t>
  </si>
  <si>
    <t>P03VUNC</t>
  </si>
  <si>
    <t>050702000</t>
  </si>
  <si>
    <t>C0920</t>
  </si>
  <si>
    <t>050703000</t>
  </si>
  <si>
    <t>C0940</t>
  </si>
  <si>
    <t>050704000</t>
  </si>
  <si>
    <t>C0960</t>
  </si>
  <si>
    <t>050705000</t>
  </si>
  <si>
    <t>C0980</t>
  </si>
  <si>
    <t>050706000</t>
  </si>
  <si>
    <t>C9121</t>
  </si>
  <si>
    <t>050707000</t>
  </si>
  <si>
    <t>C9122</t>
  </si>
  <si>
    <t>050708000</t>
  </si>
  <si>
    <t>C9123</t>
  </si>
  <si>
    <t>050709000</t>
  </si>
  <si>
    <t>C9124</t>
  </si>
  <si>
    <t>C8560</t>
  </si>
  <si>
    <t>C1000</t>
  </si>
  <si>
    <t>C1010</t>
  </si>
  <si>
    <t>C1020</t>
  </si>
  <si>
    <t>C1025</t>
  </si>
  <si>
    <t>C1026</t>
  </si>
  <si>
    <t>C9126</t>
  </si>
  <si>
    <t>C9127</t>
  </si>
  <si>
    <t>C9128</t>
  </si>
  <si>
    <t>C9129</t>
  </si>
  <si>
    <t>C8570</t>
  </si>
  <si>
    <t>C1030</t>
  </si>
  <si>
    <t>C1040</t>
  </si>
  <si>
    <t>C1050</t>
  </si>
  <si>
    <t>C1055</t>
  </si>
  <si>
    <t>C1056</t>
  </si>
  <si>
    <t>C9131</t>
  </si>
  <si>
    <t>C9132</t>
  </si>
  <si>
    <t>C9133</t>
  </si>
  <si>
    <t>C9134</t>
  </si>
  <si>
    <t>C8580</t>
  </si>
  <si>
    <t>C1060</t>
  </si>
  <si>
    <t>C1070</t>
  </si>
  <si>
    <t>C1080</t>
  </si>
  <si>
    <t>C1085</t>
  </si>
  <si>
    <t>C1086</t>
  </si>
  <si>
    <t>C9136</t>
  </si>
  <si>
    <t>C9137</t>
  </si>
  <si>
    <t>C9138</t>
  </si>
  <si>
    <t>C9139</t>
  </si>
  <si>
    <t>C8590</t>
  </si>
  <si>
    <t>C1090</t>
  </si>
  <si>
    <t>C1100</t>
  </si>
  <si>
    <t>C1110</t>
  </si>
  <si>
    <t>P04HUNC</t>
  </si>
  <si>
    <t>C1115</t>
  </si>
  <si>
    <t>P00HUNC</t>
  </si>
  <si>
    <t>C1116</t>
  </si>
  <si>
    <t>C9141</t>
  </si>
  <si>
    <t>C9142</t>
  </si>
  <si>
    <t>C9143</t>
  </si>
  <si>
    <t>C9144</t>
  </si>
  <si>
    <t>C8600</t>
  </si>
  <si>
    <t>C1120</t>
  </si>
  <si>
    <t>C1130</t>
  </si>
  <si>
    <t>C1140</t>
  </si>
  <si>
    <t>C1145</t>
  </si>
  <si>
    <t>C1146</t>
  </si>
  <si>
    <t>C9146</t>
  </si>
  <si>
    <t>C9147</t>
  </si>
  <si>
    <t>C9148</t>
  </si>
  <si>
    <t>C9149</t>
  </si>
  <si>
    <t>C8610</t>
  </si>
  <si>
    <t>C114A</t>
  </si>
  <si>
    <t>C114B</t>
  </si>
  <si>
    <t>C114C</t>
  </si>
  <si>
    <t>C114D</t>
  </si>
  <si>
    <t>C114E</t>
  </si>
  <si>
    <t>C9151</t>
  </si>
  <si>
    <t>C9152</t>
  </si>
  <si>
    <t>C9153</t>
  </si>
  <si>
    <t>C9154</t>
  </si>
  <si>
    <t>C8620</t>
  </si>
  <si>
    <t>C114F</t>
  </si>
  <si>
    <t>C114G</t>
  </si>
  <si>
    <t>C114H</t>
  </si>
  <si>
    <t>C114I</t>
  </si>
  <si>
    <t>C114J</t>
  </si>
  <si>
    <t>C9156</t>
  </si>
  <si>
    <t>C9157</t>
  </si>
  <si>
    <t>C9158</t>
  </si>
  <si>
    <t>C9159</t>
  </si>
  <si>
    <t>C8630</t>
  </si>
  <si>
    <t>C114K</t>
  </si>
  <si>
    <t>C114L</t>
  </si>
  <si>
    <t>C114M</t>
  </si>
  <si>
    <t>C114N</t>
  </si>
  <si>
    <t>C114O</t>
  </si>
  <si>
    <t>C9161</t>
  </si>
  <si>
    <t>C9162</t>
  </si>
  <si>
    <t>C9163</t>
  </si>
  <si>
    <t>C9164</t>
  </si>
  <si>
    <t>C8640</t>
  </si>
  <si>
    <t>C114P</t>
  </si>
  <si>
    <t>C114Q</t>
  </si>
  <si>
    <t>C114R</t>
  </si>
  <si>
    <t>C114S</t>
  </si>
  <si>
    <t>C114T</t>
  </si>
  <si>
    <t>C9166</t>
  </si>
  <si>
    <t>C9167</t>
  </si>
  <si>
    <t>C9168</t>
  </si>
  <si>
    <t>C9169</t>
  </si>
  <si>
    <t>C8650</t>
  </si>
  <si>
    <t>C114U</t>
  </si>
  <si>
    <t>C114V</t>
  </si>
  <si>
    <t>C114W</t>
  </si>
  <si>
    <t>C114X</t>
  </si>
  <si>
    <t>C114Y</t>
  </si>
  <si>
    <t>C9171</t>
  </si>
  <si>
    <t>C9172</t>
  </si>
  <si>
    <t>C9173</t>
  </si>
  <si>
    <t>C9174</t>
  </si>
  <si>
    <t>C8660</t>
  </si>
  <si>
    <t>C115A</t>
  </si>
  <si>
    <t>C115B</t>
  </si>
  <si>
    <t>C115C</t>
  </si>
  <si>
    <t>C115D</t>
  </si>
  <si>
    <t>C115E</t>
  </si>
  <si>
    <t>C9176</t>
  </si>
  <si>
    <t>C9177</t>
  </si>
  <si>
    <t>C9178</t>
  </si>
  <si>
    <t>C9179</t>
  </si>
  <si>
    <t>C8670</t>
  </si>
  <si>
    <t>C116A</t>
  </si>
  <si>
    <t>C116B</t>
  </si>
  <si>
    <t>C116C</t>
  </si>
  <si>
    <t>C116D</t>
  </si>
  <si>
    <t>C116E</t>
  </si>
  <si>
    <t>C9181</t>
  </si>
  <si>
    <t>C9182</t>
  </si>
  <si>
    <t>C9183</t>
  </si>
  <si>
    <t>C9184</t>
  </si>
  <si>
    <t>C8680</t>
  </si>
  <si>
    <t>C117A</t>
  </si>
  <si>
    <t>C117B</t>
  </si>
  <si>
    <t>C117C</t>
  </si>
  <si>
    <t>C117D</t>
  </si>
  <si>
    <t>C117E</t>
  </si>
  <si>
    <t>C9186</t>
  </si>
  <si>
    <t>C9187</t>
  </si>
  <si>
    <t>C9188</t>
  </si>
  <si>
    <t>C9189</t>
  </si>
  <si>
    <t>C8690</t>
  </si>
  <si>
    <t>C118A</t>
  </si>
  <si>
    <t>C118B</t>
  </si>
  <si>
    <t>C118C</t>
  </si>
  <si>
    <t>C118D</t>
  </si>
  <si>
    <t>C118E</t>
  </si>
  <si>
    <t>C9191</t>
  </si>
  <si>
    <t>C9192</t>
  </si>
  <si>
    <t>C9193</t>
  </si>
  <si>
    <t>C9194</t>
  </si>
  <si>
    <t>C8700</t>
  </si>
  <si>
    <t>C119A</t>
  </si>
  <si>
    <t>C119B</t>
  </si>
  <si>
    <t>C119C</t>
  </si>
  <si>
    <t>C119D</t>
  </si>
  <si>
    <t>C119E</t>
  </si>
  <si>
    <t>C9196</t>
  </si>
  <si>
    <t>C9197</t>
  </si>
  <si>
    <t>C9198</t>
  </si>
  <si>
    <t>C9199</t>
  </si>
  <si>
    <t>C8710</t>
  </si>
  <si>
    <t>C120A</t>
  </si>
  <si>
    <t>C120B</t>
  </si>
  <si>
    <t>C120C</t>
  </si>
  <si>
    <t>C120D</t>
  </si>
  <si>
    <t>C120E</t>
  </si>
  <si>
    <t>C9201</t>
  </si>
  <si>
    <t>C9202</t>
  </si>
  <si>
    <t>C9203</t>
  </si>
  <si>
    <t>C9204</t>
  </si>
  <si>
    <t>C8720</t>
  </si>
  <si>
    <t>C121A</t>
  </si>
  <si>
    <t>C121B</t>
  </si>
  <si>
    <t>C121C</t>
  </si>
  <si>
    <t>C121D</t>
  </si>
  <si>
    <t>C121E</t>
  </si>
  <si>
    <t>C9206</t>
  </si>
  <si>
    <t>C9207</t>
  </si>
  <si>
    <t>C9208</t>
  </si>
  <si>
    <t>C9209</t>
  </si>
  <si>
    <t>C8730</t>
  </si>
  <si>
    <t>C122A</t>
  </si>
  <si>
    <t>C122B</t>
  </si>
  <si>
    <t>C122C</t>
  </si>
  <si>
    <t>C122D</t>
  </si>
  <si>
    <t>C122E</t>
  </si>
  <si>
    <t>C9211</t>
  </si>
  <si>
    <t>C9212</t>
  </si>
  <si>
    <t>C9213</t>
  </si>
  <si>
    <t>C9214</t>
  </si>
  <si>
    <t>C8740</t>
  </si>
  <si>
    <t>C123A</t>
  </si>
  <si>
    <t>C123B</t>
  </si>
  <si>
    <t>C123C</t>
  </si>
  <si>
    <t>C123D</t>
  </si>
  <si>
    <t>C123E</t>
  </si>
  <si>
    <t>C9216</t>
  </si>
  <si>
    <t>C9217</t>
  </si>
  <si>
    <t>C9218</t>
  </si>
  <si>
    <t>C9219</t>
  </si>
  <si>
    <t>C8750</t>
  </si>
  <si>
    <t>C124A</t>
  </si>
  <si>
    <t>C124B</t>
  </si>
  <si>
    <t>C124C</t>
  </si>
  <si>
    <t>C124D</t>
  </si>
  <si>
    <t>C124E</t>
  </si>
  <si>
    <t>C9221</t>
  </si>
  <si>
    <t>C9222</t>
  </si>
  <si>
    <t>C9223</t>
  </si>
  <si>
    <t>C9224</t>
  </si>
  <si>
    <t>C8760</t>
  </si>
  <si>
    <t>C125A</t>
  </si>
  <si>
    <t>C125B</t>
  </si>
  <si>
    <t>C125C</t>
  </si>
  <si>
    <t>C125D</t>
  </si>
  <si>
    <t>C125E</t>
  </si>
  <si>
    <t>C9226</t>
  </si>
  <si>
    <t>C9227</t>
  </si>
  <si>
    <t>C9228</t>
  </si>
  <si>
    <t>C9229</t>
  </si>
  <si>
    <t>C8770</t>
  </si>
  <si>
    <t>C126A</t>
  </si>
  <si>
    <t>C126B</t>
  </si>
  <si>
    <t>C126C</t>
  </si>
  <si>
    <t>C126D</t>
  </si>
  <si>
    <t>C126E</t>
  </si>
  <si>
    <t>C9231</t>
  </si>
  <si>
    <t>C9232</t>
  </si>
  <si>
    <t>C9233</t>
  </si>
  <si>
    <t>C9234</t>
  </si>
  <si>
    <t>C8780</t>
  </si>
  <si>
    <t>C127A</t>
  </si>
  <si>
    <t>C127B</t>
  </si>
  <si>
    <t>C127C</t>
  </si>
  <si>
    <t>C127D</t>
  </si>
  <si>
    <t>C127E</t>
  </si>
  <si>
    <t>C9236</t>
  </si>
  <si>
    <t>C9237</t>
  </si>
  <si>
    <t>C9238</t>
  </si>
  <si>
    <t>C9239</t>
  </si>
  <si>
    <t>C8790</t>
  </si>
  <si>
    <t>C128A</t>
  </si>
  <si>
    <t>C128B</t>
  </si>
  <si>
    <t>C128C</t>
  </si>
  <si>
    <t>C128D</t>
  </si>
  <si>
    <t>C128E</t>
  </si>
  <si>
    <t>C9241</t>
  </si>
  <si>
    <t>C9242</t>
  </si>
  <si>
    <t>C9243</t>
  </si>
  <si>
    <t>C9244</t>
  </si>
  <si>
    <t>C8800</t>
  </si>
  <si>
    <t>C129A</t>
  </si>
  <si>
    <t>C129B</t>
  </si>
  <si>
    <t>C129C</t>
  </si>
  <si>
    <t>C129D</t>
  </si>
  <si>
    <t>C129E</t>
  </si>
  <si>
    <t>C9246</t>
  </si>
  <si>
    <t>C9247</t>
  </si>
  <si>
    <t>C9248</t>
  </si>
  <si>
    <t>C9249</t>
  </si>
  <si>
    <t>Investments</t>
  </si>
  <si>
    <t>C1150</t>
  </si>
  <si>
    <t>P01VUNC</t>
  </si>
  <si>
    <t>Realizations</t>
  </si>
  <si>
    <t>C1155</t>
  </si>
  <si>
    <t>Depreciation</t>
  </si>
  <si>
    <t>C1160</t>
  </si>
  <si>
    <t>Realization profit (+) / loss (-)</t>
  </si>
  <si>
    <t>C1170</t>
  </si>
  <si>
    <t>C1180</t>
  </si>
  <si>
    <t>Internal</t>
  </si>
  <si>
    <t>C1188</t>
  </si>
  <si>
    <t>C1189</t>
  </si>
  <si>
    <t>C1190</t>
  </si>
  <si>
    <t>C1191</t>
  </si>
  <si>
    <t>C1192</t>
  </si>
  <si>
    <t>G01VUNC</t>
  </si>
  <si>
    <t>Group investments</t>
  </si>
  <si>
    <t>C1330</t>
  </si>
  <si>
    <t>Group realizations</t>
  </si>
  <si>
    <t>C1335</t>
  </si>
  <si>
    <t>G02VUNC</t>
  </si>
  <si>
    <t>Group depreciation</t>
  </si>
  <si>
    <t>C1331</t>
  </si>
  <si>
    <t>Group realization profits (+) / losses (-)</t>
  </si>
  <si>
    <t>C1332</t>
  </si>
  <si>
    <t>Group book value</t>
  </si>
  <si>
    <t>C1333</t>
  </si>
  <si>
    <t>Goodwill calculation</t>
  </si>
  <si>
    <t>Method</t>
  </si>
  <si>
    <t>X0030</t>
  </si>
  <si>
    <t>Price</t>
  </si>
  <si>
    <t>C1350</t>
  </si>
  <si>
    <t>Share, %</t>
  </si>
  <si>
    <t>C1353</t>
  </si>
  <si>
    <t>Share capital</t>
  </si>
  <si>
    <t>C1355</t>
  </si>
  <si>
    <t>G03VUNC</t>
  </si>
  <si>
    <t>Share issue premium</t>
  </si>
  <si>
    <t>C1360</t>
  </si>
  <si>
    <t>Other restricted equity</t>
  </si>
  <si>
    <t>C1365</t>
  </si>
  <si>
    <t>Retained earnings</t>
  </si>
  <si>
    <t>C1370</t>
  </si>
  <si>
    <t>Profit (loss) for the period</t>
  </si>
  <si>
    <t>C1375</t>
  </si>
  <si>
    <t>Depreciation difference</t>
  </si>
  <si>
    <t>C1380</t>
  </si>
  <si>
    <t>Overvalue before tax liability</t>
  </si>
  <si>
    <t>C1401</t>
  </si>
  <si>
    <t>Deferred tax liability</t>
  </si>
  <si>
    <t>C1402</t>
  </si>
  <si>
    <t>Overvalue</t>
  </si>
  <si>
    <t>C1403</t>
  </si>
  <si>
    <t>OV00-00-00</t>
  </si>
  <si>
    <t>Allocated overvalue before tax</t>
  </si>
  <si>
    <t>C1404</t>
  </si>
  <si>
    <t>C1499</t>
  </si>
  <si>
    <t>G00VUNC</t>
  </si>
  <si>
    <t xml:space="preserve">Amount allocated on </t>
  </si>
  <si>
    <t>C1405</t>
  </si>
  <si>
    <t>C1406</t>
  </si>
  <si>
    <t>Balance</t>
  </si>
  <si>
    <t>C1407</t>
  </si>
  <si>
    <t>C1408</t>
  </si>
  <si>
    <t>G03HUNC</t>
  </si>
  <si>
    <t>C1409</t>
  </si>
  <si>
    <t>C1411</t>
  </si>
  <si>
    <t>C1412</t>
  </si>
  <si>
    <t>C1413</t>
  </si>
  <si>
    <t>C1414</t>
  </si>
  <si>
    <t>C1415</t>
  </si>
  <si>
    <t>C1416</t>
  </si>
  <si>
    <t>C1417</t>
  </si>
  <si>
    <t>C1418</t>
  </si>
  <si>
    <t>C1419</t>
  </si>
  <si>
    <t>C1421</t>
  </si>
  <si>
    <t>C1422</t>
  </si>
  <si>
    <t>C1423</t>
  </si>
  <si>
    <t>C1424</t>
  </si>
  <si>
    <t>C1425</t>
  </si>
  <si>
    <t>C1426</t>
  </si>
  <si>
    <t>C1427</t>
  </si>
  <si>
    <t>C1428</t>
  </si>
  <si>
    <t>C1429</t>
  </si>
  <si>
    <t>C1431</t>
  </si>
  <si>
    <t>C1432</t>
  </si>
  <si>
    <t>C1433</t>
  </si>
  <si>
    <t>C1434</t>
  </si>
  <si>
    <t>C1435</t>
  </si>
  <si>
    <t>C1436</t>
  </si>
  <si>
    <t>C1437</t>
  </si>
  <si>
    <t>C1438</t>
  </si>
  <si>
    <t>C1439</t>
  </si>
  <si>
    <t>C1441</t>
  </si>
  <si>
    <t>C1442</t>
  </si>
  <si>
    <t>C1443</t>
  </si>
  <si>
    <t>C1444</t>
  </si>
  <si>
    <t>TL00-00-00</t>
  </si>
  <si>
    <t>Allocated deferred tax liability</t>
  </si>
  <si>
    <t>C1445</t>
  </si>
  <si>
    <t>C1446</t>
  </si>
  <si>
    <t>C1447</t>
  </si>
  <si>
    <t>C1448</t>
  </si>
  <si>
    <t>C1449</t>
  </si>
  <si>
    <t>C1482</t>
  </si>
  <si>
    <t>C1451</t>
  </si>
  <si>
    <t>C1452</t>
  </si>
  <si>
    <t>C1453</t>
  </si>
  <si>
    <t>C1454</t>
  </si>
  <si>
    <t>C1455</t>
  </si>
  <si>
    <t>C1456</t>
  </si>
  <si>
    <t>C1457</t>
  </si>
  <si>
    <t>C1458</t>
  </si>
  <si>
    <t>C1459</t>
  </si>
  <si>
    <t>C4183</t>
  </si>
  <si>
    <t>C1461</t>
  </si>
  <si>
    <t>C1462</t>
  </si>
  <si>
    <t>C1463</t>
  </si>
  <si>
    <t>C1464</t>
  </si>
  <si>
    <t>C1465</t>
  </si>
  <si>
    <t>C1466</t>
  </si>
  <si>
    <t>C1467</t>
  </si>
  <si>
    <t>C1468</t>
  </si>
  <si>
    <t>C1469</t>
  </si>
  <si>
    <t>C1470</t>
  </si>
  <si>
    <t>C1471</t>
  </si>
  <si>
    <t>C1472</t>
  </si>
  <si>
    <t>C1473</t>
  </si>
  <si>
    <t>C1474</t>
  </si>
  <si>
    <t>C1475</t>
  </si>
  <si>
    <t>C1476</t>
  </si>
  <si>
    <t>C1477</t>
  </si>
  <si>
    <t>C1478</t>
  </si>
  <si>
    <t>C1479</t>
  </si>
  <si>
    <t>C1480</t>
  </si>
  <si>
    <t>C1481</t>
  </si>
  <si>
    <t>Total allocated overvalue</t>
  </si>
  <si>
    <t>C1489</t>
  </si>
  <si>
    <t>Goodwill</t>
  </si>
  <si>
    <t>C1390</t>
  </si>
  <si>
    <t>Cumulative goodwill balance</t>
  </si>
  <si>
    <t>x1391</t>
  </si>
  <si>
    <t>G00HUNC</t>
  </si>
  <si>
    <t>C1395</t>
  </si>
  <si>
    <t>C1399</t>
  </si>
  <si>
    <t>Equity correction</t>
  </si>
  <si>
    <t>C1400</t>
  </si>
  <si>
    <t>Acquisition financing</t>
  </si>
  <si>
    <t>C1496</t>
  </si>
  <si>
    <t>Equity</t>
  </si>
  <si>
    <t>C1495</t>
  </si>
  <si>
    <t>Interest bearing long-term debt</t>
  </si>
  <si>
    <t>C1410</t>
  </si>
  <si>
    <t>Amortizations</t>
  </si>
  <si>
    <t>C1420</t>
  </si>
  <si>
    <t>Financial expenses</t>
  </si>
  <si>
    <t>C1430</t>
  </si>
  <si>
    <t>C1440</t>
  </si>
  <si>
    <t>C1450</t>
  </si>
  <si>
    <t>C1460</t>
  </si>
  <si>
    <t>IncomeTable</t>
  </si>
  <si>
    <t>X0035</t>
  </si>
  <si>
    <t>X0036</t>
  </si>
  <si>
    <t>INCOME STATEMENT</t>
  </si>
  <si>
    <t>x0040</t>
  </si>
  <si>
    <t>x0041</t>
  </si>
  <si>
    <t>x0042</t>
  </si>
  <si>
    <t>Income specified:</t>
  </si>
  <si>
    <t>x0043</t>
  </si>
  <si>
    <t>C9000</t>
  </si>
  <si>
    <t>C9010</t>
  </si>
  <si>
    <t>C9020</t>
  </si>
  <si>
    <t>C9030</t>
  </si>
  <si>
    <t>C9040</t>
  </si>
  <si>
    <t>Income</t>
  </si>
  <si>
    <t>C2000</t>
  </si>
  <si>
    <t>C2010</t>
  </si>
  <si>
    <t>C2040</t>
  </si>
  <si>
    <t>Variable costs</t>
  </si>
  <si>
    <t>C2050</t>
  </si>
  <si>
    <t>Raw materials and consumables</t>
  </si>
  <si>
    <t>C2060</t>
  </si>
  <si>
    <t>External charges</t>
  </si>
  <si>
    <t>C2090</t>
  </si>
  <si>
    <t>Staff costs</t>
  </si>
  <si>
    <t>C2100</t>
  </si>
  <si>
    <t>Other variable costs</t>
  </si>
  <si>
    <t>C2110</t>
  </si>
  <si>
    <t>C2113</t>
  </si>
  <si>
    <t>C2116</t>
  </si>
  <si>
    <t>Gross margin</t>
  </si>
  <si>
    <t>C2120</t>
  </si>
  <si>
    <t>C2130</t>
  </si>
  <si>
    <t>C2140</t>
  </si>
  <si>
    <t>Fixed costs</t>
  </si>
  <si>
    <t>C2150</t>
  </si>
  <si>
    <t>C2160</t>
  </si>
  <si>
    <t>Rents</t>
  </si>
  <si>
    <t>C2170</t>
  </si>
  <si>
    <t>Other fixed costs</t>
  </si>
  <si>
    <t>C2173</t>
  </si>
  <si>
    <t>C2175</t>
  </si>
  <si>
    <t>C2177</t>
  </si>
  <si>
    <t>C2180</t>
  </si>
  <si>
    <t>Provisions, increase (-) / decrease (+)</t>
  </si>
  <si>
    <t>C2185</t>
  </si>
  <si>
    <t>EBITDA; Operating income before depreciation</t>
  </si>
  <si>
    <t>C2190</t>
  </si>
  <si>
    <t>C2200</t>
  </si>
  <si>
    <t>C2210</t>
  </si>
  <si>
    <t>C2230</t>
  </si>
  <si>
    <t>Goodwill deprecation</t>
  </si>
  <si>
    <t>C2234</t>
  </si>
  <si>
    <t>Other depreciation</t>
  </si>
  <si>
    <t>C2236</t>
  </si>
  <si>
    <t>EBIT; Operating income</t>
  </si>
  <si>
    <t>C2240</t>
  </si>
  <si>
    <t>C2241</t>
  </si>
  <si>
    <t>C2242</t>
  </si>
  <si>
    <t>Financing income and expenses</t>
  </si>
  <si>
    <t>C2250</t>
  </si>
  <si>
    <t>C2253</t>
  </si>
  <si>
    <t>Financing income and expenses Financing file</t>
  </si>
  <si>
    <t>C2256</t>
  </si>
  <si>
    <t>EBT; Income after financing items</t>
  </si>
  <si>
    <t>C2260</t>
  </si>
  <si>
    <t>Extraordinary income and charges</t>
  </si>
  <si>
    <t>C2270</t>
  </si>
  <si>
    <t>Realization profit (-loss)</t>
  </si>
  <si>
    <t>C2280</t>
  </si>
  <si>
    <t>Other extraordinary income (-charges )</t>
  </si>
  <si>
    <t>C2290</t>
  </si>
  <si>
    <t>Income before appropriations and taxes</t>
  </si>
  <si>
    <t>C2330</t>
  </si>
  <si>
    <t>Change in appropriations</t>
  </si>
  <si>
    <t>C2331</t>
  </si>
  <si>
    <t>C2333</t>
  </si>
  <si>
    <t>C2335</t>
  </si>
  <si>
    <t>Income tax</t>
  </si>
  <si>
    <t>C2340</t>
  </si>
  <si>
    <t>Deferred tax</t>
  </si>
  <si>
    <t>C2342</t>
  </si>
  <si>
    <t>Minority interest</t>
  </si>
  <si>
    <t>C2345</t>
  </si>
  <si>
    <t>Net income for the period</t>
  </si>
  <si>
    <t>C2350</t>
  </si>
  <si>
    <t>C2360</t>
  </si>
  <si>
    <t>C2370</t>
  </si>
  <si>
    <t>Investment object</t>
  </si>
  <si>
    <t>x0045</t>
  </si>
  <si>
    <t>Return on net assets (RONA), %</t>
  </si>
  <si>
    <t>C2915</t>
  </si>
  <si>
    <t>Economic Value Added (EVA)</t>
  </si>
  <si>
    <t>C2925</t>
  </si>
  <si>
    <t>Discounted Value Added (DCVA)</t>
  </si>
  <si>
    <t>C2926</t>
  </si>
  <si>
    <t>Cumulative Discounted Value Added</t>
  </si>
  <si>
    <t>C2927</t>
  </si>
  <si>
    <t>Operating profit</t>
  </si>
  <si>
    <t>C2900</t>
  </si>
  <si>
    <t>P05VUNC</t>
  </si>
  <si>
    <t>Net operating profit after tax</t>
  </si>
  <si>
    <t>C2905</t>
  </si>
  <si>
    <t>C2910</t>
  </si>
  <si>
    <t>C2920</t>
  </si>
  <si>
    <t>Group</t>
  </si>
  <si>
    <t>x0046</t>
  </si>
  <si>
    <t>Investment object result before taxes</t>
  </si>
  <si>
    <t>C2930</t>
  </si>
  <si>
    <t>C2940</t>
  </si>
  <si>
    <t>Financial and extraordinary items</t>
  </si>
  <si>
    <t>C2945</t>
  </si>
  <si>
    <t>Total tax effect</t>
  </si>
  <si>
    <t>C2950</t>
  </si>
  <si>
    <t>Group result effect before minority interest</t>
  </si>
  <si>
    <t>C2955</t>
  </si>
  <si>
    <t>C2958</t>
  </si>
  <si>
    <t>Group result effect (cum. fin. year)</t>
  </si>
  <si>
    <t>C2960</t>
  </si>
  <si>
    <t>Group Return on net assets (RONA), %</t>
  </si>
  <si>
    <t>C2965</t>
  </si>
  <si>
    <t>Group Economic Value Added (EVA)</t>
  </si>
  <si>
    <t>C2975</t>
  </si>
  <si>
    <t>Group Discounted Value Added (DCVA)</t>
  </si>
  <si>
    <t>C2976</t>
  </si>
  <si>
    <t>G04VUNC</t>
  </si>
  <si>
    <t>Group Cumulative Discounted Value Added</t>
  </si>
  <si>
    <t>C2977</t>
  </si>
  <si>
    <t>Group Operating profit</t>
  </si>
  <si>
    <t>C2980</t>
  </si>
  <si>
    <t>G05VUNC</t>
  </si>
  <si>
    <t>Group Net operating profit after tax</t>
  </si>
  <si>
    <t>C2985</t>
  </si>
  <si>
    <t>C2990</t>
  </si>
  <si>
    <t>C2995</t>
  </si>
  <si>
    <t>WorkingCapital</t>
  </si>
  <si>
    <t>X0055</t>
  </si>
  <si>
    <t>X0056</t>
  </si>
  <si>
    <t>WORKING CAPITAL</t>
  </si>
  <si>
    <t>x0060</t>
  </si>
  <si>
    <t>x0061</t>
  </si>
  <si>
    <t>x0062</t>
  </si>
  <si>
    <t>Short-term assets</t>
  </si>
  <si>
    <t>C3000</t>
  </si>
  <si>
    <t>C3010</t>
  </si>
  <si>
    <t>Accounts receivable</t>
  </si>
  <si>
    <t>C3020</t>
  </si>
  <si>
    <t>C3030</t>
  </si>
  <si>
    <t>C3031</t>
  </si>
  <si>
    <t>Other receivables</t>
  </si>
  <si>
    <t>C3035</t>
  </si>
  <si>
    <t>C3036</t>
  </si>
  <si>
    <t>Minimum cash</t>
  </si>
  <si>
    <t>C3040</t>
  </si>
  <si>
    <t>Minimum cash, increase (-)/decrease (+)</t>
  </si>
  <si>
    <t>C3041</t>
  </si>
  <si>
    <t>Short-term assets, increase (-)/decrease (+)</t>
  </si>
  <si>
    <t>C3050</t>
  </si>
  <si>
    <t>Inventories</t>
  </si>
  <si>
    <t>C3060</t>
  </si>
  <si>
    <t>C2080</t>
  </si>
  <si>
    <t>C3080</t>
  </si>
  <si>
    <t>C3090</t>
  </si>
  <si>
    <t>Inventories increase (-)/decrease (+)</t>
  </si>
  <si>
    <t>C3100</t>
  </si>
  <si>
    <t>Current liabilities</t>
  </si>
  <si>
    <t>C3110</t>
  </si>
  <si>
    <t>C3120</t>
  </si>
  <si>
    <t>Accounts payable</t>
  </si>
  <si>
    <t>C3130</t>
  </si>
  <si>
    <t>C3140</t>
  </si>
  <si>
    <t>C3141</t>
  </si>
  <si>
    <t>Other current liabilities</t>
  </si>
  <si>
    <t>C3143</t>
  </si>
  <si>
    <t>C3146</t>
  </si>
  <si>
    <t>Current liabilities increase (+)/decrease (-)</t>
  </si>
  <si>
    <t>C3150</t>
  </si>
  <si>
    <t>Change in working capital</t>
  </si>
  <si>
    <t>C3160</t>
  </si>
  <si>
    <t>Net working capital</t>
  </si>
  <si>
    <t>C3170</t>
  </si>
  <si>
    <t>CashFlowTable</t>
  </si>
  <si>
    <t>x0065</t>
  </si>
  <si>
    <t>x0066</t>
  </si>
  <si>
    <t>CASH FLOW STATEMENT</t>
  </si>
  <si>
    <t>x0070</t>
  </si>
  <si>
    <t>x0071</t>
  </si>
  <si>
    <t>x0072</t>
  </si>
  <si>
    <t>Cash flow from operations</t>
  </si>
  <si>
    <t>C4900</t>
  </si>
  <si>
    <t>C4000</t>
  </si>
  <si>
    <t>C4001</t>
  </si>
  <si>
    <t>C4002</t>
  </si>
  <si>
    <t>C4003</t>
  </si>
  <si>
    <t>C4004</t>
  </si>
  <si>
    <t>C4005</t>
  </si>
  <si>
    <t>C4010</t>
  </si>
  <si>
    <t>C4011</t>
  </si>
  <si>
    <t>C4012</t>
  </si>
  <si>
    <t>C4013</t>
  </si>
  <si>
    <t>C4014</t>
  </si>
  <si>
    <t>C4015</t>
  </si>
  <si>
    <t>C4016</t>
  </si>
  <si>
    <t>C4020</t>
  </si>
  <si>
    <t>C4021</t>
  </si>
  <si>
    <t>C4022</t>
  </si>
  <si>
    <t>C4023</t>
  </si>
  <si>
    <t>C4024</t>
  </si>
  <si>
    <t>C4025</t>
  </si>
  <si>
    <t>C4026</t>
  </si>
  <si>
    <t>Extraordinary income &amp; expenses</t>
  </si>
  <si>
    <t>C4030</t>
  </si>
  <si>
    <t>C4040</t>
  </si>
  <si>
    <t>C4050</t>
  </si>
  <si>
    <t>C4051</t>
  </si>
  <si>
    <t>C4052</t>
  </si>
  <si>
    <t>C4053</t>
  </si>
  <si>
    <t>C4060</t>
  </si>
  <si>
    <t>C4069</t>
  </si>
  <si>
    <t>Asset investments and realizations</t>
  </si>
  <si>
    <t>C4070</t>
  </si>
  <si>
    <t>Group items</t>
  </si>
  <si>
    <t>C4073</t>
  </si>
  <si>
    <t>Acquisitions and realizations</t>
  </si>
  <si>
    <t>C4075</t>
  </si>
  <si>
    <t>C4077</t>
  </si>
  <si>
    <t>Tax effects</t>
  </si>
  <si>
    <t>C4078</t>
  </si>
  <si>
    <t>C4080</t>
  </si>
  <si>
    <t>C4090</t>
  </si>
  <si>
    <t>C4091</t>
  </si>
  <si>
    <t>Discount rate (per annum)</t>
  </si>
  <si>
    <t>C4092</t>
  </si>
  <si>
    <t>Information</t>
  </si>
  <si>
    <t>C4093</t>
  </si>
  <si>
    <t>Value in use</t>
  </si>
  <si>
    <t>C4095</t>
  </si>
  <si>
    <t>M03VUNC</t>
  </si>
  <si>
    <t>Financial cash flow</t>
  </si>
  <si>
    <t>C4100</t>
  </si>
  <si>
    <t>Financial income and expenses</t>
  </si>
  <si>
    <t>C4110</t>
  </si>
  <si>
    <t>Correction of income tax for financial items</t>
  </si>
  <si>
    <t>C4115</t>
  </si>
  <si>
    <t>Long-term debt, increase (+) / decrease (-)</t>
  </si>
  <si>
    <t>C4120</t>
  </si>
  <si>
    <t>Changes in interest-bearing long-term debt</t>
  </si>
  <si>
    <t>C4121</t>
  </si>
  <si>
    <t>C4123</t>
  </si>
  <si>
    <t>Changes in long-term debt, Financing file</t>
  </si>
  <si>
    <t>C4126</t>
  </si>
  <si>
    <t>Corporate acquisition debt changes</t>
  </si>
  <si>
    <t>C4127</t>
  </si>
  <si>
    <t>Changes in interest-free long-term debt</t>
  </si>
  <si>
    <t>C4128</t>
  </si>
  <si>
    <t>Changes in short-term borrowings</t>
  </si>
  <si>
    <t>C4138</t>
  </si>
  <si>
    <t>Free cash flow to equity (FCFE)</t>
  </si>
  <si>
    <t>C4444</t>
  </si>
  <si>
    <t>Discounted free cash flow to equity (DFCFE)</t>
  </si>
  <si>
    <t>C4454</t>
  </si>
  <si>
    <t>Cumulative discounted free cash flow to equity</t>
  </si>
  <si>
    <t>C4464</t>
  </si>
  <si>
    <t>Cost of equity (per annum)</t>
  </si>
  <si>
    <t>C4474</t>
  </si>
  <si>
    <t>Equity, increase (+) / decrease (-)</t>
  </si>
  <si>
    <t>C4130</t>
  </si>
  <si>
    <t>Changes in share capital</t>
  </si>
  <si>
    <t>C4133</t>
  </si>
  <si>
    <t>Changes in share issue premium</t>
  </si>
  <si>
    <t>C4134</t>
  </si>
  <si>
    <t>Changes in other restricted equity</t>
  </si>
  <si>
    <t>C4135</t>
  </si>
  <si>
    <t>Changes in mother company equity</t>
  </si>
  <si>
    <t>C4149</t>
  </si>
  <si>
    <t>Changes in retained earnings</t>
  </si>
  <si>
    <t>C4136</t>
  </si>
  <si>
    <t>Total cash flow</t>
  </si>
  <si>
    <t>C4140</t>
  </si>
  <si>
    <t>Cumulative total cash flow</t>
  </si>
  <si>
    <t>C4150</t>
  </si>
  <si>
    <t>BalanceTable</t>
  </si>
  <si>
    <t>x0075</t>
  </si>
  <si>
    <t>x0076</t>
  </si>
  <si>
    <t>BALANCE SHEET</t>
  </si>
  <si>
    <t>x0080</t>
  </si>
  <si>
    <t>x0081</t>
  </si>
  <si>
    <t>x0082</t>
  </si>
  <si>
    <t>ASSETS</t>
  </si>
  <si>
    <t>Opening balance</t>
  </si>
  <si>
    <t>C5000</t>
  </si>
  <si>
    <t>Fixed assets and other non-current assets</t>
  </si>
  <si>
    <t>C5050</t>
  </si>
  <si>
    <t>Intangible assets</t>
  </si>
  <si>
    <t>C5100</t>
  </si>
  <si>
    <t>Immaterial rights</t>
  </si>
  <si>
    <t>C5610</t>
  </si>
  <si>
    <t>Immaterial rights (specified)</t>
  </si>
  <si>
    <t>C5611</t>
  </si>
  <si>
    <t>C5612</t>
  </si>
  <si>
    <t>- Depreciation</t>
  </si>
  <si>
    <t>C5613</t>
  </si>
  <si>
    <t>Capitalized development costs</t>
  </si>
  <si>
    <t>C5620</t>
  </si>
  <si>
    <t>Capitalized development costs (specified)</t>
  </si>
  <si>
    <t>C5621</t>
  </si>
  <si>
    <t>C5622</t>
  </si>
  <si>
    <t>C5623</t>
  </si>
  <si>
    <t>C5630</t>
  </si>
  <si>
    <t>Goodwill (specified)</t>
  </si>
  <si>
    <t>C5115</t>
  </si>
  <si>
    <t>C5140</t>
  </si>
  <si>
    <t>C5150</t>
  </si>
  <si>
    <t>Other intangible assets</t>
  </si>
  <si>
    <t>C5640</t>
  </si>
  <si>
    <t>Other intangible assets (specified)</t>
  </si>
  <si>
    <t>C5110</t>
  </si>
  <si>
    <t>C5120</t>
  </si>
  <si>
    <t>C5130</t>
  </si>
  <si>
    <t>Tangible assets</t>
  </si>
  <si>
    <t>C5300</t>
  </si>
  <si>
    <t>Machinery and equipment</t>
  </si>
  <si>
    <t>C5650</t>
  </si>
  <si>
    <t>Machinery and equipment (specified)</t>
  </si>
  <si>
    <t>C5651</t>
  </si>
  <si>
    <t>C5652</t>
  </si>
  <si>
    <t>C5653</t>
  </si>
  <si>
    <t>Buildings and structures</t>
  </si>
  <si>
    <t>C5660</t>
  </si>
  <si>
    <t>Buildings and structures (specified)</t>
  </si>
  <si>
    <t>C5661</t>
  </si>
  <si>
    <t>C5662</t>
  </si>
  <si>
    <t>C5663</t>
  </si>
  <si>
    <t>Land and water</t>
  </si>
  <si>
    <t>C5670</t>
  </si>
  <si>
    <t>Land and water (specified)</t>
  </si>
  <si>
    <t>C5671</t>
  </si>
  <si>
    <t>C5672</t>
  </si>
  <si>
    <t>C5673</t>
  </si>
  <si>
    <t>Prepayments and construction in progress</t>
  </si>
  <si>
    <t>C5681</t>
  </si>
  <si>
    <t>Prepayments and construction in progress (specified)</t>
  </si>
  <si>
    <t>C5682</t>
  </si>
  <si>
    <t>C5683</t>
  </si>
  <si>
    <t>C5684</t>
  </si>
  <si>
    <t>Other tangible assets</t>
  </si>
  <si>
    <t>C5680</t>
  </si>
  <si>
    <t>Other tangible assets (specified)</t>
  </si>
  <si>
    <t>C5310</t>
  </si>
  <si>
    <t>C5320</t>
  </si>
  <si>
    <t>C5330</t>
  </si>
  <si>
    <t>C5500</t>
  </si>
  <si>
    <t>Investments in associated companies</t>
  </si>
  <si>
    <t>C5690</t>
  </si>
  <si>
    <t>Investments in associated companies (specified)</t>
  </si>
  <si>
    <t>C5691</t>
  </si>
  <si>
    <t>C5692</t>
  </si>
  <si>
    <t>C5693</t>
  </si>
  <si>
    <t>Deferred tax assets</t>
  </si>
  <si>
    <t>C5710</t>
  </si>
  <si>
    <t>Deferred tax assets (specified)</t>
  </si>
  <si>
    <t>C5711</t>
  </si>
  <si>
    <t>C5712</t>
  </si>
  <si>
    <t>C5713</t>
  </si>
  <si>
    <t>Long-term loans receivable</t>
  </si>
  <si>
    <t>C5720</t>
  </si>
  <si>
    <t>Long-term loans receivable (specified)</t>
  </si>
  <si>
    <t>C5721</t>
  </si>
  <si>
    <t>C5722</t>
  </si>
  <si>
    <t>C5723</t>
  </si>
  <si>
    <t>Other investments</t>
  </si>
  <si>
    <t>C5730</t>
  </si>
  <si>
    <t>Other investments (specified)</t>
  </si>
  <si>
    <t>C5510</t>
  </si>
  <si>
    <t>C5520</t>
  </si>
  <si>
    <t>C5530</t>
  </si>
  <si>
    <t>C5700</t>
  </si>
  <si>
    <t>Current Assets</t>
  </si>
  <si>
    <t>C5750</t>
  </si>
  <si>
    <t>Inventories and work in progress</t>
  </si>
  <si>
    <t>C5800</t>
  </si>
  <si>
    <t>C5950</t>
  </si>
  <si>
    <t>C5970</t>
  </si>
  <si>
    <t>Bank and cash</t>
  </si>
  <si>
    <t>C6110</t>
  </si>
  <si>
    <t>C6300</t>
  </si>
  <si>
    <t>C6350</t>
  </si>
  <si>
    <t>C6355</t>
  </si>
  <si>
    <t>C6356</t>
  </si>
  <si>
    <t>G01HUNC</t>
  </si>
  <si>
    <t>C6357</t>
  </si>
  <si>
    <t>C6358</t>
  </si>
  <si>
    <t>C6359</t>
  </si>
  <si>
    <t>C6360</t>
  </si>
  <si>
    <t>C6361</t>
  </si>
  <si>
    <t>C6362</t>
  </si>
  <si>
    <t>C6363</t>
  </si>
  <si>
    <t>C6364</t>
  </si>
  <si>
    <t>C6365</t>
  </si>
  <si>
    <t>C6366</t>
  </si>
  <si>
    <t>Group goodwill (acquisition)</t>
  </si>
  <si>
    <t>C6370</t>
  </si>
  <si>
    <t>Bank and cash, mother company</t>
  </si>
  <si>
    <t>C6380</t>
  </si>
  <si>
    <t>GROUP ASSETS</t>
  </si>
  <si>
    <t>C6399</t>
  </si>
  <si>
    <t>SHAREHOLDERS' EQUITY AND LIABILITIES</t>
  </si>
  <si>
    <t>C6400</t>
  </si>
  <si>
    <t>Shareholders' equity</t>
  </si>
  <si>
    <t>C6500</t>
  </si>
  <si>
    <t>C6510</t>
  </si>
  <si>
    <t>C6515</t>
  </si>
  <si>
    <t>C6517</t>
  </si>
  <si>
    <t>C6520</t>
  </si>
  <si>
    <t>C6530</t>
  </si>
  <si>
    <t>Total shareholders' equity</t>
  </si>
  <si>
    <t>C6590</t>
  </si>
  <si>
    <t>Appropriations</t>
  </si>
  <si>
    <t>C6900</t>
  </si>
  <si>
    <t>Provisions</t>
  </si>
  <si>
    <t>C6920</t>
  </si>
  <si>
    <t>C6950</t>
  </si>
  <si>
    <t>Liabilities</t>
  </si>
  <si>
    <t>C7000</t>
  </si>
  <si>
    <t>Long-term liabilities</t>
  </si>
  <si>
    <t>C7100</t>
  </si>
  <si>
    <t>Interest-bearing long-term debt</t>
  </si>
  <si>
    <t>C7110</t>
  </si>
  <si>
    <t>Interest-free long-term debt</t>
  </si>
  <si>
    <t>C7160</t>
  </si>
  <si>
    <t>Deferred tax liabilities</t>
  </si>
  <si>
    <t>C7170</t>
  </si>
  <si>
    <t>C7199</t>
  </si>
  <si>
    <t>P04VUEC</t>
  </si>
  <si>
    <t>Short-term liabilities</t>
  </si>
  <si>
    <t>C7200</t>
  </si>
  <si>
    <t>Interest-bearing short-term liabilities</t>
  </si>
  <si>
    <t>C7202</t>
  </si>
  <si>
    <t>Short-term borrowings</t>
  </si>
  <si>
    <t>C7204</t>
  </si>
  <si>
    <t>Current portion of long-term loans</t>
  </si>
  <si>
    <t>C7206</t>
  </si>
  <si>
    <t>Interest-free short-term liabilities</t>
  </si>
  <si>
    <t>C7208</t>
  </si>
  <si>
    <t>C7210</t>
  </si>
  <si>
    <t>Other interest-free short-term debt</t>
  </si>
  <si>
    <t>C7215</t>
  </si>
  <si>
    <t>Accrued investment expenditure</t>
  </si>
  <si>
    <t>C7217</t>
  </si>
  <si>
    <t>Calculated tax debt</t>
  </si>
  <si>
    <t>C7220</t>
  </si>
  <si>
    <t>Total liabilities</t>
  </si>
  <si>
    <t>C7350</t>
  </si>
  <si>
    <t>C7400</t>
  </si>
  <si>
    <t>Check: Equity and liabilities - Assets</t>
  </si>
  <si>
    <t>C7401</t>
  </si>
  <si>
    <t>C7430</t>
  </si>
  <si>
    <t>C7440</t>
  </si>
  <si>
    <t>C7455</t>
  </si>
  <si>
    <t>C7460</t>
  </si>
  <si>
    <t>C7470</t>
  </si>
  <si>
    <t>GROUP EQUITY AND LIABILITIES</t>
  </si>
  <si>
    <t>C7499</t>
  </si>
  <si>
    <t>Check: Equity and liabilities - Assets (Group)</t>
  </si>
  <si>
    <t>C7501</t>
  </si>
  <si>
    <t>Impairment test</t>
  </si>
  <si>
    <t>x0090</t>
  </si>
  <si>
    <t>Book value of assets</t>
  </si>
  <si>
    <t>C8090</t>
  </si>
  <si>
    <t>C8095</t>
  </si>
  <si>
    <t>Control value (+ growth capital / - impairment loss)</t>
  </si>
  <si>
    <t>C8100</t>
  </si>
  <si>
    <t>KeyFiguresTable</t>
  </si>
  <si>
    <t>x0085</t>
  </si>
  <si>
    <t>x0086</t>
  </si>
  <si>
    <t>KEY FINANCIALS</t>
  </si>
  <si>
    <t>x0087</t>
  </si>
  <si>
    <t>x0088</t>
  </si>
  <si>
    <t>x0089</t>
  </si>
  <si>
    <t>C8201</t>
  </si>
  <si>
    <t>C8202</t>
  </si>
  <si>
    <t>C8203</t>
  </si>
  <si>
    <t>C8204</t>
  </si>
  <si>
    <t>C8205</t>
  </si>
  <si>
    <t>C8206</t>
  </si>
  <si>
    <t>C8207</t>
  </si>
  <si>
    <t>C8208</t>
  </si>
  <si>
    <t>C8209</t>
  </si>
  <si>
    <t>C8210</t>
  </si>
  <si>
    <t>C8211</t>
  </si>
  <si>
    <t>C8212</t>
  </si>
  <si>
    <t>C8213</t>
  </si>
  <si>
    <t>C8214</t>
  </si>
  <si>
    <t>C8215</t>
  </si>
  <si>
    <t>C8216</t>
  </si>
  <si>
    <t>C8217</t>
  </si>
  <si>
    <t>C8218</t>
  </si>
  <si>
    <t>C8219</t>
  </si>
  <si>
    <t>C8220</t>
  </si>
  <si>
    <t>C8221</t>
  </si>
  <si>
    <t>C8222</t>
  </si>
  <si>
    <t>C8223</t>
  </si>
  <si>
    <t>C8224</t>
  </si>
  <si>
    <t>C8226</t>
  </si>
  <si>
    <t>C8227</t>
  </si>
  <si>
    <t>C8228</t>
  </si>
  <si>
    <t>C8229</t>
  </si>
  <si>
    <t>C8230</t>
  </si>
  <si>
    <t>C8231</t>
  </si>
  <si>
    <t>C8232</t>
  </si>
  <si>
    <t>C8233</t>
  </si>
  <si>
    <t>C8234</t>
  </si>
  <si>
    <t>C8235</t>
  </si>
  <si>
    <t>C8236</t>
  </si>
  <si>
    <t>C8237</t>
  </si>
  <si>
    <t>C8238</t>
  </si>
  <si>
    <t>C8239</t>
  </si>
  <si>
    <t>C8240</t>
  </si>
  <si>
    <t>C8225</t>
  </si>
  <si>
    <t>Group result effect per column</t>
  </si>
  <si>
    <t>C3001</t>
  </si>
  <si>
    <t>Group result effect cumulative balance</t>
  </si>
  <si>
    <t>C3002</t>
  </si>
  <si>
    <t>assets cont. oper</t>
  </si>
  <si>
    <t>C1320</t>
  </si>
  <si>
    <t>C1321</t>
  </si>
  <si>
    <t>Real. profit</t>
  </si>
  <si>
    <t>C1323</t>
  </si>
  <si>
    <t>Real. loss</t>
  </si>
  <si>
    <t>C1324</t>
  </si>
  <si>
    <t>C1322</t>
  </si>
  <si>
    <t>assets discont. oper.</t>
  </si>
  <si>
    <t>C1325</t>
  </si>
  <si>
    <t>P00VUND</t>
  </si>
  <si>
    <t>C1326</t>
  </si>
  <si>
    <t>C1328</t>
  </si>
  <si>
    <t>C1329</t>
  </si>
  <si>
    <t>C1327</t>
  </si>
  <si>
    <t>group cont. oper.</t>
  </si>
  <si>
    <t>C1340</t>
  </si>
  <si>
    <t>C1341</t>
  </si>
  <si>
    <t>C1343</t>
  </si>
  <si>
    <t>C1344</t>
  </si>
  <si>
    <t>C1342</t>
  </si>
  <si>
    <t>group discont. oper.</t>
  </si>
  <si>
    <t>C1345</t>
  </si>
  <si>
    <t>G00VUND</t>
  </si>
  <si>
    <t>C1346</t>
  </si>
  <si>
    <t>C1348</t>
  </si>
  <si>
    <t>C1349</t>
  </si>
  <si>
    <t>C1347</t>
  </si>
  <si>
    <t>Mother company result effect (minus minority interest)</t>
  </si>
  <si>
    <t>C7441</t>
  </si>
  <si>
    <t>Mother share capital and elimination of share capital</t>
  </si>
  <si>
    <t>C7442</t>
  </si>
  <si>
    <t>Accruals per investment, plan</t>
  </si>
  <si>
    <t>Added in 320</t>
  </si>
  <si>
    <t>C3301</t>
  </si>
  <si>
    <t>C3302</t>
  </si>
  <si>
    <t>C3303</t>
  </si>
  <si>
    <t>C3304</t>
  </si>
  <si>
    <t>C3305</t>
  </si>
  <si>
    <t>C3306</t>
  </si>
  <si>
    <t>C3307</t>
  </si>
  <si>
    <t>C3308</t>
  </si>
  <si>
    <t>C3309</t>
  </si>
  <si>
    <t>C3310</t>
  </si>
  <si>
    <t>C3311</t>
  </si>
  <si>
    <t>C3312</t>
  </si>
  <si>
    <t>C3313</t>
  </si>
  <si>
    <t>C3314</t>
  </si>
  <si>
    <t>C3315</t>
  </si>
  <si>
    <t>C3316</t>
  </si>
  <si>
    <t>C3317</t>
  </si>
  <si>
    <t>C3318</t>
  </si>
  <si>
    <t>C3319</t>
  </si>
  <si>
    <t>C3320</t>
  </si>
  <si>
    <t>C3321</t>
  </si>
  <si>
    <t>C3322</t>
  </si>
  <si>
    <t>C3323</t>
  </si>
  <si>
    <t>C3324</t>
  </si>
  <si>
    <t>C3325</t>
  </si>
  <si>
    <t>C3326</t>
  </si>
  <si>
    <t>C3327</t>
  </si>
  <si>
    <t>C3328</t>
  </si>
  <si>
    <t>C3329</t>
  </si>
  <si>
    <t>C3330</t>
  </si>
  <si>
    <t>Accruals per investment, tax depreciation</t>
  </si>
  <si>
    <t>Added in 330</t>
  </si>
  <si>
    <t>C3401</t>
  </si>
  <si>
    <t>C3402</t>
  </si>
  <si>
    <t>C3403</t>
  </si>
  <si>
    <t>C3404</t>
  </si>
  <si>
    <t>C3405</t>
  </si>
  <si>
    <t>C3406</t>
  </si>
  <si>
    <t>C3407</t>
  </si>
  <si>
    <t>C3408</t>
  </si>
  <si>
    <t>C3409</t>
  </si>
  <si>
    <t>C3410</t>
  </si>
  <si>
    <t>C3411</t>
  </si>
  <si>
    <t>C3412</t>
  </si>
  <si>
    <t>C3413</t>
  </si>
  <si>
    <t>C3414</t>
  </si>
  <si>
    <t>C3415</t>
  </si>
  <si>
    <t>C3416</t>
  </si>
  <si>
    <t>C3417</t>
  </si>
  <si>
    <t>C3418</t>
  </si>
  <si>
    <t>C3419</t>
  </si>
  <si>
    <t>C3420</t>
  </si>
  <si>
    <t>C3421</t>
  </si>
  <si>
    <t>C3422</t>
  </si>
  <si>
    <t>C3423</t>
  </si>
  <si>
    <t>C3424</t>
  </si>
  <si>
    <t>C3425</t>
  </si>
  <si>
    <t>C3426</t>
  </si>
  <si>
    <t>C3427</t>
  </si>
  <si>
    <t>C3428</t>
  </si>
  <si>
    <t>C3429</t>
  </si>
  <si>
    <t>C3430</t>
  </si>
  <si>
    <t>Proposed investments</t>
  </si>
  <si>
    <t>assets</t>
  </si>
  <si>
    <t>C1250</t>
  </si>
  <si>
    <t>Proposed subventions</t>
  </si>
  <si>
    <t>C1251</t>
  </si>
  <si>
    <t>Continuous investments</t>
  </si>
  <si>
    <t>C1252</t>
  </si>
  <si>
    <t>Continuous subventions</t>
  </si>
  <si>
    <t>C1253</t>
  </si>
  <si>
    <t>acquisitions</t>
  </si>
  <si>
    <t>C1254</t>
  </si>
  <si>
    <t>C1255</t>
  </si>
  <si>
    <t>C1256</t>
  </si>
  <si>
    <t>C1257</t>
  </si>
  <si>
    <t>PV of proposed investments in assets</t>
  </si>
  <si>
    <t>PV</t>
  </si>
  <si>
    <t>C1258</t>
  </si>
  <si>
    <t>PV of investment subventions</t>
  </si>
  <si>
    <t>C1259</t>
  </si>
  <si>
    <t>PV of investments in shares</t>
  </si>
  <si>
    <t>C1260</t>
  </si>
  <si>
    <t>PV of continuous investments</t>
  </si>
  <si>
    <t>C1261</t>
  </si>
  <si>
    <t>Cons assets</t>
  </si>
  <si>
    <t>C1250C</t>
  </si>
  <si>
    <t>C1251C</t>
  </si>
  <si>
    <t>C1252C</t>
  </si>
  <si>
    <t>C1253C</t>
  </si>
  <si>
    <t>Cons acq.</t>
  </si>
  <si>
    <t>C1254C</t>
  </si>
  <si>
    <t>C1255C</t>
  </si>
  <si>
    <t>C1256C</t>
  </si>
  <si>
    <t>C1257C</t>
  </si>
  <si>
    <t>Cons PV</t>
  </si>
  <si>
    <t>C1258C</t>
  </si>
  <si>
    <t>C1259C</t>
  </si>
  <si>
    <t>C1260C</t>
  </si>
  <si>
    <t>C1261C</t>
  </si>
  <si>
    <t>Old file consolidated investments</t>
  </si>
  <si>
    <t>C1298</t>
  </si>
  <si>
    <t>Old file consolidated investments, discounted</t>
  </si>
  <si>
    <t>C1299</t>
  </si>
  <si>
    <t>C2380</t>
  </si>
  <si>
    <t>C2390</t>
  </si>
  <si>
    <t>C2400</t>
  </si>
  <si>
    <t>Previous financial closing (relative column)</t>
  </si>
  <si>
    <t>P0002</t>
  </si>
  <si>
    <t>Depreciation allocated overvalue</t>
  </si>
  <si>
    <t>C1484</t>
  </si>
  <si>
    <t>Allocated overvalue balance</t>
  </si>
  <si>
    <t>C1486</t>
  </si>
  <si>
    <t>Depreciation deferred tax liability</t>
  </si>
  <si>
    <t>C1485</t>
  </si>
  <si>
    <t>Deferred tax liability balance</t>
  </si>
  <si>
    <t>C1487</t>
  </si>
  <si>
    <t>C1501</t>
  </si>
  <si>
    <t>C1502</t>
  </si>
  <si>
    <t>C1503</t>
  </si>
  <si>
    <t>C1504</t>
  </si>
  <si>
    <t>C1505</t>
  </si>
  <si>
    <t>C1506</t>
  </si>
  <si>
    <t>C1507</t>
  </si>
  <si>
    <t>C1508</t>
  </si>
  <si>
    <t>C1509</t>
  </si>
  <si>
    <t>C1510</t>
  </si>
  <si>
    <t>C1511</t>
  </si>
  <si>
    <t>C1512</t>
  </si>
  <si>
    <t>Cumulative compounded/discounted, payback</t>
  </si>
  <si>
    <t>C4170</t>
  </si>
  <si>
    <t>C4180</t>
  </si>
  <si>
    <t>C4190</t>
  </si>
  <si>
    <t>?</t>
  </si>
  <si>
    <t>C4200</t>
  </si>
  <si>
    <t>C4210</t>
  </si>
  <si>
    <t>C4220</t>
  </si>
  <si>
    <t>C4240</t>
  </si>
  <si>
    <t>C4250</t>
  </si>
  <si>
    <t>C4260</t>
  </si>
  <si>
    <t>C4270</t>
  </si>
  <si>
    <t>C4280</t>
  </si>
  <si>
    <t>Discounted investments</t>
  </si>
  <si>
    <t>C4285</t>
  </si>
  <si>
    <t>C4290</t>
  </si>
  <si>
    <t>C4291</t>
  </si>
  <si>
    <t>C4292</t>
  </si>
  <si>
    <t>C4293</t>
  </si>
  <si>
    <t>C4294</t>
  </si>
  <si>
    <t>C4295</t>
  </si>
  <si>
    <t>C4296</t>
  </si>
  <si>
    <t>C4297</t>
  </si>
  <si>
    <t>C4298</t>
  </si>
  <si>
    <t>C4299</t>
  </si>
  <si>
    <t>DiscYearPerPeriod</t>
  </si>
  <si>
    <t>C4398</t>
  </si>
  <si>
    <t>DiscMonthPerPeriod</t>
  </si>
  <si>
    <t>C4399</t>
  </si>
  <si>
    <t>Interest-bearing net debt of acquired company</t>
  </si>
  <si>
    <t>C4545</t>
  </si>
  <si>
    <t>Compound/discount to CalcPoint</t>
  </si>
  <si>
    <t>C4300</t>
  </si>
  <si>
    <t>Compound/discount to CalcPointPB</t>
  </si>
  <si>
    <t>C4310</t>
  </si>
  <si>
    <t>Discounted</t>
  </si>
  <si>
    <t>C4320</t>
  </si>
  <si>
    <t>Compounded/discounted</t>
  </si>
  <si>
    <t>C4330</t>
  </si>
  <si>
    <t>Compounded/discounted, payback</t>
  </si>
  <si>
    <t>C4340</t>
  </si>
  <si>
    <t>Cumulative discounted</t>
  </si>
  <si>
    <t>C4350</t>
  </si>
  <si>
    <t>Cumulative compounded/discounted</t>
  </si>
  <si>
    <t>C4360</t>
  </si>
  <si>
    <t>C4370</t>
  </si>
  <si>
    <t>Cumulative months</t>
  </si>
  <si>
    <t>C4400</t>
  </si>
  <si>
    <t>Current portion of acquisition loan</t>
  </si>
  <si>
    <t>C4405</t>
  </si>
  <si>
    <t>Current portion of ProFinance loan amortizations</t>
  </si>
  <si>
    <t>C4410</t>
  </si>
  <si>
    <t>Current portion of ProFinance loan amortizations, Group</t>
  </si>
  <si>
    <t>C4420</t>
  </si>
  <si>
    <t>Cash-flow table loans current portions</t>
  </si>
  <si>
    <t>C4430</t>
  </si>
  <si>
    <t>C4440</t>
  </si>
  <si>
    <t>PV of operative cash flow, discounted</t>
  </si>
  <si>
    <t>C4450</t>
  </si>
  <si>
    <t>PV of operative cash flow, Compounded/discounted</t>
  </si>
  <si>
    <t>C4455</t>
  </si>
  <si>
    <t>PV of operative cash flow</t>
  </si>
  <si>
    <t>C4460</t>
  </si>
  <si>
    <t>Financing costs cumulative fin.year</t>
  </si>
  <si>
    <t>C4480</t>
  </si>
  <si>
    <t>Financing costs cumulative fin.year, Mother co.</t>
  </si>
  <si>
    <t>C4481</t>
  </si>
  <si>
    <t>Income before taxes, cum. fin. year</t>
  </si>
  <si>
    <t>C4482</t>
  </si>
  <si>
    <t>Income before taxes, cum. fin. year, Mother co.</t>
  </si>
  <si>
    <t>C4483</t>
  </si>
  <si>
    <t>CalculatedTax1</t>
  </si>
  <si>
    <t>C4500</t>
  </si>
  <si>
    <t>CalculatedTax2</t>
  </si>
  <si>
    <t>C4510</t>
  </si>
  <si>
    <t>CalculatedTax3</t>
  </si>
  <si>
    <t>C4520</t>
  </si>
  <si>
    <t>CalculatedTax4</t>
  </si>
  <si>
    <t>C4530</t>
  </si>
  <si>
    <t>C4484</t>
  </si>
  <si>
    <t>Tax rate, mother company</t>
  </si>
  <si>
    <t>C4599</t>
  </si>
  <si>
    <t>Corr. tax effect of financial items</t>
  </si>
  <si>
    <t>C4485</t>
  </si>
  <si>
    <t>Corr. tax effect of financial items, mother</t>
  </si>
  <si>
    <t>C4486</t>
  </si>
  <si>
    <t>C5110C</t>
  </si>
  <si>
    <t>C5120C</t>
  </si>
  <si>
    <t>C5130C</t>
  </si>
  <si>
    <t>C5140C</t>
  </si>
  <si>
    <t>C5150C</t>
  </si>
  <si>
    <t>C5682C</t>
  </si>
  <si>
    <t>C5683C</t>
  </si>
  <si>
    <t>C5684C</t>
  </si>
  <si>
    <t>C5310C</t>
  </si>
  <si>
    <t>C5320C</t>
  </si>
  <si>
    <t>C5330C</t>
  </si>
  <si>
    <t>Changed in 2.10</t>
  </si>
  <si>
    <t>C5510C</t>
  </si>
  <si>
    <t>C5520C</t>
  </si>
  <si>
    <t>C5530C</t>
  </si>
  <si>
    <t>C5800C</t>
  </si>
  <si>
    <t>C5950C</t>
  </si>
  <si>
    <t>C5970C</t>
  </si>
  <si>
    <t>C6110C</t>
  </si>
  <si>
    <t>C6510C</t>
  </si>
  <si>
    <t>C6515C</t>
  </si>
  <si>
    <t>C6517C</t>
  </si>
  <si>
    <t>C6520C</t>
  </si>
  <si>
    <t>C6530C</t>
  </si>
  <si>
    <t>C6900C</t>
  </si>
  <si>
    <t>C6920C</t>
  </si>
  <si>
    <t>C6950C</t>
  </si>
  <si>
    <t>C7110C</t>
  </si>
  <si>
    <t>C7160C</t>
  </si>
  <si>
    <t>C7170C</t>
  </si>
  <si>
    <t>C7199C</t>
  </si>
  <si>
    <t>C7210C</t>
  </si>
  <si>
    <t>C7215C</t>
  </si>
  <si>
    <t>Added in 2.10</t>
  </si>
  <si>
    <t>C1150C</t>
  </si>
  <si>
    <t>Added in 2.21</t>
  </si>
  <si>
    <t>C1155C</t>
  </si>
  <si>
    <t>C1160C</t>
  </si>
  <si>
    <t>C1170C</t>
  </si>
  <si>
    <t>C1180C</t>
  </si>
  <si>
    <t>C1330C</t>
  </si>
  <si>
    <t>C1335C</t>
  </si>
  <si>
    <t>C1331C</t>
  </si>
  <si>
    <t>C1332C</t>
  </si>
  <si>
    <t>C1333C</t>
  </si>
  <si>
    <t>C1391C</t>
  </si>
  <si>
    <t>Balance depreciation, continuous operations</t>
  </si>
  <si>
    <t>C7600</t>
  </si>
  <si>
    <t>Balance depreciation, discontinued operations</t>
  </si>
  <si>
    <t>C7601</t>
  </si>
  <si>
    <t>Other expenses, continuous operations</t>
  </si>
  <si>
    <t>C7602</t>
  </si>
  <si>
    <t>C1189C</t>
  </si>
  <si>
    <t>C1190C</t>
  </si>
  <si>
    <t>C1191C</t>
  </si>
  <si>
    <t>C1192C</t>
  </si>
  <si>
    <t>C5612C</t>
  </si>
  <si>
    <t>C5622C</t>
  </si>
  <si>
    <t>C5652C</t>
  </si>
  <si>
    <t>C5662C</t>
  </si>
  <si>
    <t>C5672C</t>
  </si>
  <si>
    <t>C5692C</t>
  </si>
  <si>
    <t>C5712C</t>
  </si>
  <si>
    <t>C5722C</t>
  </si>
  <si>
    <t>C5611C</t>
  </si>
  <si>
    <t>C5613C</t>
  </si>
  <si>
    <t>C5621C</t>
  </si>
  <si>
    <t>C5623C</t>
  </si>
  <si>
    <t>C5115C</t>
  </si>
  <si>
    <t>C5651C</t>
  </si>
  <si>
    <t>C5653C</t>
  </si>
  <si>
    <t>C5661C</t>
  </si>
  <si>
    <t>C5663C</t>
  </si>
  <si>
    <t>C5671C</t>
  </si>
  <si>
    <t>C5673C</t>
  </si>
  <si>
    <t>C5691C</t>
  </si>
  <si>
    <t>C5693C</t>
  </si>
  <si>
    <t>C5711C</t>
  </si>
  <si>
    <t>C5713C</t>
  </si>
  <si>
    <t>C5721C</t>
  </si>
  <si>
    <t>C5723C</t>
  </si>
  <si>
    <t>C7450C</t>
  </si>
  <si>
    <t>C7455C</t>
  </si>
  <si>
    <t>C4078D</t>
  </si>
  <si>
    <t>C1700</t>
  </si>
  <si>
    <t>Capitalized financing costs</t>
  </si>
  <si>
    <t>3.5.001</t>
  </si>
  <si>
    <t>C1701</t>
  </si>
  <si>
    <t>C1702</t>
  </si>
  <si>
    <t>C1703</t>
  </si>
  <si>
    <t>C1704</t>
  </si>
  <si>
    <t>C1705</t>
  </si>
  <si>
    <t>C1706</t>
  </si>
  <si>
    <t>C1707</t>
  </si>
  <si>
    <t>C1708</t>
  </si>
  <si>
    <t>C1709</t>
  </si>
  <si>
    <t>C1710</t>
  </si>
  <si>
    <t>C1711</t>
  </si>
  <si>
    <t>C1712</t>
  </si>
  <si>
    <t>C1713</t>
  </si>
  <si>
    <t>C1714</t>
  </si>
  <si>
    <t>C1715</t>
  </si>
  <si>
    <t>C1716</t>
  </si>
  <si>
    <t>C1717</t>
  </si>
  <si>
    <t>C1718</t>
  </si>
  <si>
    <t>C1719</t>
  </si>
  <si>
    <t>C1720</t>
  </si>
  <si>
    <t>C1721</t>
  </si>
  <si>
    <t>C1722</t>
  </si>
  <si>
    <t>C1723</t>
  </si>
  <si>
    <t>C1724</t>
  </si>
  <si>
    <t>C1725</t>
  </si>
  <si>
    <t>C1726</t>
  </si>
  <si>
    <t>C1727</t>
  </si>
  <si>
    <t>C1728</t>
  </si>
  <si>
    <t>C1729</t>
  </si>
  <si>
    <t>C1730</t>
  </si>
  <si>
    <t>Cost of equity, annual</t>
  </si>
  <si>
    <t>C1750</t>
  </si>
  <si>
    <t>Cost of equity, per period</t>
  </si>
  <si>
    <t>C1751</t>
  </si>
  <si>
    <t>Compounded/discounted FCFE</t>
  </si>
  <si>
    <t>C1752</t>
  </si>
  <si>
    <t>Compounded/discounted FCFE, payback</t>
  </si>
  <si>
    <t>C1753</t>
  </si>
  <si>
    <t>Cumulative</t>
  </si>
  <si>
    <t>C1755</t>
  </si>
  <si>
    <t>C1756</t>
  </si>
  <si>
    <t>C1757</t>
  </si>
  <si>
    <t>C1758</t>
  </si>
  <si>
    <t>C1759</t>
  </si>
  <si>
    <t>C1760</t>
  </si>
  <si>
    <t>C1761</t>
  </si>
  <si>
    <t>C1762</t>
  </si>
  <si>
    <t>C1763</t>
  </si>
  <si>
    <t>Free cash flow</t>
  </si>
  <si>
    <t>C1767</t>
  </si>
  <si>
    <t>Realization profit/loss cumulative within year</t>
  </si>
  <si>
    <t>C1768</t>
  </si>
  <si>
    <t>Realization profit/loss cumulative within year, group</t>
  </si>
  <si>
    <t>C1769</t>
  </si>
  <si>
    <t>C1770</t>
  </si>
  <si>
    <t>C1771</t>
  </si>
  <si>
    <t>C1772</t>
  </si>
  <si>
    <t>C1773</t>
  </si>
  <si>
    <t>C1774</t>
  </si>
  <si>
    <t>C1775</t>
  </si>
  <si>
    <t>C1776</t>
  </si>
  <si>
    <t>C1777</t>
  </si>
  <si>
    <t>C1778</t>
  </si>
  <si>
    <t>C1779</t>
  </si>
  <si>
    <t>C1780</t>
  </si>
  <si>
    <t>C1781</t>
  </si>
  <si>
    <t>Goodwill depreciation Investment Table (written by VBA)</t>
  </si>
  <si>
    <t>C1782</t>
  </si>
  <si>
    <t>Goodwill depreciation Investment Table, consolidated</t>
  </si>
  <si>
    <t>C1782C</t>
  </si>
  <si>
    <t>zzEnd</t>
  </si>
  <si>
    <t>To the comparison table:</t>
  </si>
  <si>
    <t>Investment proposal:</t>
  </si>
  <si>
    <t>Impairment test verification:</t>
  </si>
  <si>
    <t>ResultTable</t>
  </si>
  <si>
    <t>P R O F I T A B I L I T Y  A N A L Y S I S</t>
  </si>
  <si>
    <t>C100</t>
  </si>
  <si>
    <t>Project description</t>
  </si>
  <si>
    <t>C110</t>
  </si>
  <si>
    <t>To Firm</t>
  </si>
  <si>
    <t>C112</t>
  </si>
  <si>
    <t>C115</t>
  </si>
  <si>
    <t>Nominal value of all investments</t>
  </si>
  <si>
    <t>C120</t>
  </si>
  <si>
    <t>Required rate of return</t>
  </si>
  <si>
    <t>C130</t>
  </si>
  <si>
    <t>Calculation term</t>
  </si>
  <si>
    <t>C140</t>
  </si>
  <si>
    <t>Calculation point</t>
  </si>
  <si>
    <t>C155</t>
  </si>
  <si>
    <t>C160</t>
  </si>
  <si>
    <t>C161</t>
  </si>
  <si>
    <t>Present value of business cash flows</t>
  </si>
  <si>
    <t>Notes</t>
  </si>
  <si>
    <t>C162</t>
  </si>
  <si>
    <t>±</t>
  </si>
  <si>
    <t>C165</t>
  </si>
  <si>
    <t>PV of residual value</t>
  </si>
  <si>
    <t>C166</t>
  </si>
  <si>
    <t>C900</t>
  </si>
  <si>
    <t>C905</t>
  </si>
  <si>
    <t>C910</t>
  </si>
  <si>
    <t xml:space="preserve">      Net cash flow for year</t>
  </si>
  <si>
    <t>Extrapolation period</t>
  </si>
  <si>
    <t>C915</t>
  </si>
  <si>
    <t>C920</t>
  </si>
  <si>
    <t>C925</t>
  </si>
  <si>
    <t>C930</t>
  </si>
  <si>
    <t>Discount rate</t>
  </si>
  <si>
    <t>C935</t>
  </si>
  <si>
    <t>C940</t>
  </si>
  <si>
    <t xml:space="preserve">      Standard (no growth)</t>
  </si>
  <si>
    <t>C945</t>
  </si>
  <si>
    <t>C950</t>
  </si>
  <si>
    <t xml:space="preserve">      Growing by annual percent</t>
  </si>
  <si>
    <t>C955</t>
  </si>
  <si>
    <t>C960</t>
  </si>
  <si>
    <t>C965</t>
  </si>
  <si>
    <t>Implied Exit multiple</t>
  </si>
  <si>
    <t>&lt;</t>
  </si>
  <si>
    <t>Residual value</t>
  </si>
  <si>
    <t>C970</t>
  </si>
  <si>
    <t>C990</t>
  </si>
  <si>
    <t>C300</t>
  </si>
  <si>
    <t>C305</t>
  </si>
  <si>
    <t>C380</t>
  </si>
  <si>
    <t>Total Present Value (PV)</t>
  </si>
  <si>
    <t>C385</t>
  </si>
  <si>
    <t>C310</t>
  </si>
  <si>
    <t>C390</t>
  </si>
  <si>
    <t>C391</t>
  </si>
  <si>
    <t>C392</t>
  </si>
  <si>
    <t>C393</t>
  </si>
  <si>
    <t>C394</t>
  </si>
  <si>
    <t>C395</t>
  </si>
  <si>
    <t>C396</t>
  </si>
  <si>
    <t>C397</t>
  </si>
  <si>
    <t>C398</t>
  </si>
  <si>
    <t>C399</t>
  </si>
  <si>
    <t>Free cash flow-based equity value (EV)</t>
  </si>
  <si>
    <t>C400</t>
  </si>
  <si>
    <t>EV / EBITDA</t>
  </si>
  <si>
    <t>Based on EBITDA:</t>
  </si>
  <si>
    <t>C402</t>
  </si>
  <si>
    <t>C401</t>
  </si>
  <si>
    <t>Investment proposal</t>
  </si>
  <si>
    <t>Nominal</t>
  </si>
  <si>
    <t>C320</t>
  </si>
  <si>
    <t>Proposed investments in assets</t>
  </si>
  <si>
    <t>C330</t>
  </si>
  <si>
    <t>Investment subventions</t>
  </si>
  <si>
    <t>C340</t>
  </si>
  <si>
    <t>Proposed investments in shares</t>
  </si>
  <si>
    <t>C350</t>
  </si>
  <si>
    <t>C360</t>
  </si>
  <si>
    <t>C370</t>
  </si>
  <si>
    <t xml:space="preserve"> profitable</t>
  </si>
  <si>
    <t>Net Present Value (NPV)</t>
  </si>
  <si>
    <t>C170</t>
  </si>
  <si>
    <t xml:space="preserve"> not profitable</t>
  </si>
  <si>
    <t>NPV as a monthly annuity</t>
  </si>
  <si>
    <t>C180</t>
  </si>
  <si>
    <t>C181</t>
  </si>
  <si>
    <t>Annuity of investment</t>
  </si>
  <si>
    <t>Annual annuity</t>
  </si>
  <si>
    <t>C185</t>
  </si>
  <si>
    <t>C186</t>
  </si>
  <si>
    <t>C500</t>
  </si>
  <si>
    <t>Book value of assets (A)</t>
  </si>
  <si>
    <t>C510</t>
  </si>
  <si>
    <t>Value in use (B)</t>
  </si>
  <si>
    <t>C520</t>
  </si>
  <si>
    <t>C530</t>
  </si>
  <si>
    <t>C540</t>
  </si>
  <si>
    <t>Internal Rate of Return (IRR)</t>
  </si>
  <si>
    <t>C190</t>
  </si>
  <si>
    <t>Internal Rate of Return before tax</t>
  </si>
  <si>
    <t>C191</t>
  </si>
  <si>
    <t>Modified Internal Rate of Return (MIRR)</t>
  </si>
  <si>
    <t>C200</t>
  </si>
  <si>
    <t>Profitability Index (PI)</t>
  </si>
  <si>
    <t>C210</t>
  </si>
  <si>
    <t>C211</t>
  </si>
  <si>
    <t>Payback time, years</t>
  </si>
  <si>
    <t>Based on discounted FCF</t>
  </si>
  <si>
    <t>C220</t>
  </si>
  <si>
    <t>C225</t>
  </si>
  <si>
    <t>C227</t>
  </si>
  <si>
    <t>Calculation point, Payback</t>
  </si>
  <si>
    <t>C228</t>
  </si>
  <si>
    <t>Simple Payback, years</t>
  </si>
  <si>
    <t>Based on FCF</t>
  </si>
  <si>
    <t>C701</t>
  </si>
  <si>
    <t>C229</t>
  </si>
  <si>
    <t>C410</t>
  </si>
  <si>
    <t>C420</t>
  </si>
  <si>
    <t>C421</t>
  </si>
  <si>
    <t>C182</t>
  </si>
  <si>
    <t>C183</t>
  </si>
  <si>
    <t>Internal Rate of Return based on DCVA (IRRd)</t>
  </si>
  <si>
    <t>C244</t>
  </si>
  <si>
    <t>Modified Internal Rate of Return based on DCVA (MIRRd)</t>
  </si>
  <si>
    <t>C246</t>
  </si>
  <si>
    <t>C248</t>
  </si>
  <si>
    <t>Payback time, years, based on DCVA</t>
  </si>
  <si>
    <t>C250</t>
  </si>
  <si>
    <t>C252</t>
  </si>
  <si>
    <t>C254</t>
  </si>
  <si>
    <t>C256</t>
  </si>
  <si>
    <t>C258</t>
  </si>
  <si>
    <t>To Equity</t>
  </si>
  <si>
    <t>C600</t>
  </si>
  <si>
    <t>C602</t>
  </si>
  <si>
    <t>Cost of Equity</t>
  </si>
  <si>
    <t>C603</t>
  </si>
  <si>
    <t>C606</t>
  </si>
  <si>
    <t>Discounted FCFE without residual value</t>
  </si>
  <si>
    <t>C609</t>
  </si>
  <si>
    <t>PV of residual value to equity</t>
  </si>
  <si>
    <t>C612</t>
  </si>
  <si>
    <t>C615</t>
  </si>
  <si>
    <t>C618</t>
  </si>
  <si>
    <t>C621</t>
  </si>
  <si>
    <t>C624</t>
  </si>
  <si>
    <t>C627</t>
  </si>
  <si>
    <t>C630</t>
  </si>
  <si>
    <t>C633</t>
  </si>
  <si>
    <t>C636</t>
  </si>
  <si>
    <t>C639</t>
  </si>
  <si>
    <t>C642</t>
  </si>
  <si>
    <t>C645</t>
  </si>
  <si>
    <t>C648</t>
  </si>
  <si>
    <t>C651</t>
  </si>
  <si>
    <t>Debt residual correction</t>
  </si>
  <si>
    <t>C652</t>
  </si>
  <si>
    <t>Net Present Value to equity (NPVe)</t>
  </si>
  <si>
    <t>C654</t>
  </si>
  <si>
    <t>NPVe as a monthly annuity</t>
  </si>
  <si>
    <t>C657</t>
  </si>
  <si>
    <t>C660</t>
  </si>
  <si>
    <t>Internal Rate of Return to equity (IRRe)</t>
  </si>
  <si>
    <t>C663</t>
  </si>
  <si>
    <t>Internal Rate of Return to equity before tax</t>
  </si>
  <si>
    <t>C664</t>
  </si>
  <si>
    <t>Modified Internal Rate of Return to equity (MIRRe)</t>
  </si>
  <si>
    <t>C666</t>
  </si>
  <si>
    <t>C672</t>
  </si>
  <si>
    <t>Payback time to equity, years</t>
  </si>
  <si>
    <t>Based on discounted FCFE</t>
  </si>
  <si>
    <t>C675</t>
  </si>
  <si>
    <t>C678</t>
  </si>
  <si>
    <t>C681</t>
  </si>
  <si>
    <t>C684</t>
  </si>
  <si>
    <t>Simple Payback to equity, years</t>
  </si>
  <si>
    <t>Based on FCFE</t>
  </si>
  <si>
    <t>C702</t>
  </si>
  <si>
    <t>C699</t>
  </si>
  <si>
    <t>C223</t>
  </si>
  <si>
    <t>Calculation is made by</t>
  </si>
  <si>
    <t>C230</t>
  </si>
  <si>
    <t>C235</t>
  </si>
  <si>
    <t>C240</t>
  </si>
  <si>
    <t xml:space="preserve">      Show conclusions of profitability indicators</t>
  </si>
  <si>
    <t>DiscAnalysis</t>
  </si>
  <si>
    <t>Discount factor's impact on profitability</t>
  </si>
  <si>
    <t xml:space="preserve"> Discount factor</t>
  </si>
  <si>
    <t xml:space="preserve"> Change, %</t>
  </si>
  <si>
    <t xml:space="preserve"> Cost of equity</t>
  </si>
  <si>
    <t>InvestmentAnalysis</t>
  </si>
  <si>
    <t>Total investment's impact on profitability</t>
  </si>
  <si>
    <t xml:space="preserve"> Key financials</t>
  </si>
  <si>
    <t>TurnoverAnalysis</t>
  </si>
  <si>
    <t>Income's impact on profitability</t>
  </si>
  <si>
    <t xml:space="preserve"> Change in Income, %</t>
  </si>
  <si>
    <t>VariableCostAnalysis</t>
  </si>
  <si>
    <t>Variable cost's impact on profitability</t>
  </si>
  <si>
    <t xml:space="preserve"> Change in Variable costs, %</t>
  </si>
  <si>
    <t>FixedCostAnalysis</t>
  </si>
  <si>
    <t>Fixed cost's impact on profitability</t>
  </si>
  <si>
    <t xml:space="preserve"> Change in Fixed costs, %</t>
  </si>
  <si>
    <t>IncVarAnalysis1</t>
  </si>
  <si>
    <t xml:space="preserve"> Variable</t>
  </si>
  <si>
    <t xml:space="preserve"> Change in value, %</t>
  </si>
  <si>
    <t xml:space="preserve"> Sample value</t>
  </si>
  <si>
    <t>IFRSstatements</t>
  </si>
  <si>
    <t>IFRSSheet</t>
  </si>
  <si>
    <t>Include key figures</t>
  </si>
  <si>
    <t>Continuing operations</t>
  </si>
  <si>
    <t>Sales</t>
  </si>
  <si>
    <t>Other income</t>
  </si>
  <si>
    <t>Materials and services</t>
  </si>
  <si>
    <t>Employee benefit costs</t>
  </si>
  <si>
    <t>Depreciation, amortisation and impairment charges</t>
  </si>
  <si>
    <t>Other expenses</t>
  </si>
  <si>
    <t>C1200</t>
  </si>
  <si>
    <t>C1220</t>
  </si>
  <si>
    <t>C1240</t>
  </si>
  <si>
    <t>Share of profit of associates and joint ventures</t>
  </si>
  <si>
    <t>C1280</t>
  </si>
  <si>
    <t>Net financial items</t>
  </si>
  <si>
    <t>C1300</t>
  </si>
  <si>
    <t>Profit before income tax</t>
  </si>
  <si>
    <t>Income tax expense</t>
  </si>
  <si>
    <t>Profit for the period from continuing operations</t>
  </si>
  <si>
    <t>Discontinued operations</t>
  </si>
  <si>
    <t>Profit for the period from discontinued operations</t>
  </si>
  <si>
    <t>Profit for the period</t>
  </si>
  <si>
    <t>C1500</t>
  </si>
  <si>
    <t>C1520</t>
  </si>
  <si>
    <t>C1540</t>
  </si>
  <si>
    <t>Attributable to:</t>
  </si>
  <si>
    <t>C1560</t>
  </si>
  <si>
    <t>Equity holders of the company</t>
  </si>
  <si>
    <t>C1580</t>
  </si>
  <si>
    <t>C1600</t>
  </si>
  <si>
    <t>C1620</t>
  </si>
  <si>
    <t>C1640</t>
  </si>
  <si>
    <t>C1660</t>
  </si>
  <si>
    <t>C1680</t>
  </si>
  <si>
    <t>C1740</t>
  </si>
  <si>
    <t>Non-current assets</t>
  </si>
  <si>
    <t>Property, plant and equipment</t>
  </si>
  <si>
    <t>C1800</t>
  </si>
  <si>
    <t>Investments in associates</t>
  </si>
  <si>
    <t>C1820</t>
  </si>
  <si>
    <t>Other long-term investments</t>
  </si>
  <si>
    <t>C1840</t>
  </si>
  <si>
    <t>C1860</t>
  </si>
  <si>
    <t>Long-term interest bearing receivables</t>
  </si>
  <si>
    <t>C1880</t>
  </si>
  <si>
    <t>Total non-current assets</t>
  </si>
  <si>
    <t>C1900</t>
  </si>
  <si>
    <t>C1920</t>
  </si>
  <si>
    <t>Current assets</t>
  </si>
  <si>
    <t>C1940</t>
  </si>
  <si>
    <t>C1960</t>
  </si>
  <si>
    <t>Trade and other receivables</t>
  </si>
  <si>
    <t>C1980</t>
  </si>
  <si>
    <t>Cash and cash equivalents</t>
  </si>
  <si>
    <t>Total current assets</t>
  </si>
  <si>
    <t>C2020</t>
  </si>
  <si>
    <t>Total assets</t>
  </si>
  <si>
    <t>EQUITY</t>
  </si>
  <si>
    <t>Capital and reserves attributable the Company's equity holders</t>
  </si>
  <si>
    <t>Other equity</t>
  </si>
  <si>
    <t xml:space="preserve">Total </t>
  </si>
  <si>
    <t>Total equity</t>
  </si>
  <si>
    <t>C2220</t>
  </si>
  <si>
    <t>LIABILITIES</t>
  </si>
  <si>
    <t>Non-current liabilities</t>
  </si>
  <si>
    <t>Interest-bearing liabilities</t>
  </si>
  <si>
    <t>C2300</t>
  </si>
  <si>
    <t>C2320</t>
  </si>
  <si>
    <t>Other liabilities</t>
  </si>
  <si>
    <t>Total non-current liabilities</t>
  </si>
  <si>
    <t>C2420</t>
  </si>
  <si>
    <t>C2440</t>
  </si>
  <si>
    <t>Current tax liability</t>
  </si>
  <si>
    <t>C2460</t>
  </si>
  <si>
    <t>Trade and other payables</t>
  </si>
  <si>
    <t>C2480</t>
  </si>
  <si>
    <t>Total current liabilities</t>
  </si>
  <si>
    <t>C2500</t>
  </si>
  <si>
    <t>C2520</t>
  </si>
  <si>
    <t>C2540</t>
  </si>
  <si>
    <t>C2560</t>
  </si>
  <si>
    <t>Total equity and liabilities</t>
  </si>
  <si>
    <t>C2580</t>
  </si>
  <si>
    <t>C2600</t>
  </si>
  <si>
    <t>C2620</t>
  </si>
  <si>
    <t>C2640</t>
  </si>
  <si>
    <t>Cash flow from operating activities</t>
  </si>
  <si>
    <t>C2660</t>
  </si>
  <si>
    <t>Operating profit before depreciations continuing operations</t>
  </si>
  <si>
    <t>C2680</t>
  </si>
  <si>
    <t>Non-cash flow items and divesting activities</t>
  </si>
  <si>
    <t>C2700</t>
  </si>
  <si>
    <t>C2720</t>
  </si>
  <si>
    <t>Dividends received</t>
  </si>
  <si>
    <t>C2740</t>
  </si>
  <si>
    <t>Taxes</t>
  </si>
  <si>
    <t>C2760</t>
  </si>
  <si>
    <t>Funds from operations continuing operations</t>
  </si>
  <si>
    <t>C2780</t>
  </si>
  <si>
    <t>C2800</t>
  </si>
  <si>
    <t>Net cash from operating activities continuing operations</t>
  </si>
  <si>
    <t>C2820</t>
  </si>
  <si>
    <t>Net cash from operating activities discontinued operations</t>
  </si>
  <si>
    <t>C2840</t>
  </si>
  <si>
    <t>Total net cash from operating activities</t>
  </si>
  <si>
    <t>C2860</t>
  </si>
  <si>
    <t>C2880</t>
  </si>
  <si>
    <t>Cash flow from investing activities</t>
  </si>
  <si>
    <t>Capital expenditures</t>
  </si>
  <si>
    <t>Acquisition of shares</t>
  </si>
  <si>
    <t>Proceeds from sales of fixed assets</t>
  </si>
  <si>
    <t>Proceeds from sales of shares</t>
  </si>
  <si>
    <t>Change in other investments</t>
  </si>
  <si>
    <t>Net cash used in investing activities continuing operations</t>
  </si>
  <si>
    <t>Net cash used in investing activities discontinued operations</t>
  </si>
  <si>
    <t>Total net cash used in investing activities</t>
  </si>
  <si>
    <t>Cash flow before financing activities</t>
  </si>
  <si>
    <t>Cash flow from financing activities</t>
  </si>
  <si>
    <t>Net change in loans</t>
  </si>
  <si>
    <t>Dividends paid to the Company´s equity holders</t>
  </si>
  <si>
    <t>C3180</t>
  </si>
  <si>
    <t>Other financial items</t>
  </si>
  <si>
    <t>C3200</t>
  </si>
  <si>
    <t>Net cash used in financing activities continuing operations</t>
  </si>
  <si>
    <t>C3220</t>
  </si>
  <si>
    <t>Net cash used in financing activities discontinued operations</t>
  </si>
  <si>
    <t>C3240</t>
  </si>
  <si>
    <t>Total net cash used in financing activities</t>
  </si>
  <si>
    <t>C3260</t>
  </si>
  <si>
    <t>C3280</t>
  </si>
  <si>
    <t>Total net increase (+)/decrease (-) in cash and marketable securities</t>
  </si>
  <si>
    <t>C3300</t>
  </si>
  <si>
    <t>Total net increase (+)/decrease (-) in cash, continuing operations</t>
  </si>
  <si>
    <t>AssignableMacro01</t>
  </si>
  <si>
    <t>AssignableMacro02</t>
  </si>
  <si>
    <t>AssignableMacro03</t>
  </si>
  <si>
    <t>AssignableMacro04</t>
  </si>
  <si>
    <t>AssignableMacro05</t>
  </si>
  <si>
    <t>AssignableMacro06</t>
  </si>
  <si>
    <t>AssignableMacro07</t>
  </si>
  <si>
    <t>AssignableMacro08</t>
  </si>
  <si>
    <t>AssignableMacro09</t>
  </si>
  <si>
    <t>AssignableMacro10</t>
  </si>
  <si>
    <t>AssignableMacro11</t>
  </si>
  <si>
    <t>AssignableMacro12</t>
  </si>
  <si>
    <t>AssignableMacro13</t>
  </si>
  <si>
    <t>AssignableMacro14</t>
  </si>
  <si>
    <t>AssignableMacro15</t>
  </si>
  <si>
    <t>AssignableMacro16</t>
  </si>
  <si>
    <t>AssignableMacro17</t>
  </si>
  <si>
    <t>AssignableMacro18</t>
  </si>
  <si>
    <t>AssignableMacro19</t>
  </si>
  <si>
    <t>AssignableMacro20</t>
  </si>
  <si>
    <t>AssignableMacro21</t>
  </si>
  <si>
    <t>AssignableMacro22</t>
  </si>
  <si>
    <t>AssignableMacro23</t>
  </si>
  <si>
    <t>AssignableMacro24</t>
  </si>
  <si>
    <t>AssignableMacro25</t>
  </si>
  <si>
    <t>AssignableMacro26</t>
  </si>
  <si>
    <t>AssignableMacro27</t>
  </si>
  <si>
    <t>AssignableMacro28</t>
  </si>
  <si>
    <t>AssignableMacro29</t>
  </si>
  <si>
    <t>AssignableMacro30</t>
  </si>
  <si>
    <t>AssignableMacro31</t>
  </si>
  <si>
    <t>AssignableMacro32</t>
  </si>
  <si>
    <t>AssignableMacro33</t>
  </si>
  <si>
    <t>AssignableMacro34</t>
  </si>
  <si>
    <t>AssignableMacro35</t>
  </si>
  <si>
    <t>AssignableMacro36</t>
  </si>
  <si>
    <t>AssignableMacro37</t>
  </si>
  <si>
    <t>AssignableMacro38</t>
  </si>
  <si>
    <t>AssignableMacro39</t>
  </si>
  <si>
    <t>AssignableMacro40</t>
  </si>
  <si>
    <t>AssignableMacro41</t>
  </si>
  <si>
    <t>AssignableMacro42</t>
  </si>
  <si>
    <t>AssignableMacro43</t>
  </si>
  <si>
    <t>AssignableMacro44</t>
  </si>
  <si>
    <t>AssignableMacro45</t>
  </si>
  <si>
    <t>AssignableMacro46</t>
  </si>
  <si>
    <t>AssignableMacro47</t>
  </si>
  <si>
    <t>AssignableMacro48</t>
  </si>
  <si>
    <t>AssignableMacro49</t>
  </si>
  <si>
    <t>AssignableMacro50</t>
  </si>
  <si>
    <t>AssignableMacro51</t>
  </si>
  <si>
    <t>AssignableMacro52</t>
  </si>
  <si>
    <t>AssignableMacro53</t>
  </si>
  <si>
    <t>AssignableMacro54</t>
  </si>
  <si>
    <t>AssignableMacro55</t>
  </si>
  <si>
    <t>AssignableMacro56</t>
  </si>
  <si>
    <t>AssignableMacro57</t>
  </si>
  <si>
    <t>AssignableMacro58</t>
  </si>
  <si>
    <t>AssignableMacro59</t>
  </si>
  <si>
    <t>AssignableMacro60</t>
  </si>
  <si>
    <t>AssignableMacro61</t>
  </si>
  <si>
    <t>AssignableMacro62</t>
  </si>
  <si>
    <t>AssignableMacro63</t>
  </si>
  <si>
    <t>AssignableMacro64</t>
  </si>
  <si>
    <t>AssignableMacro65</t>
  </si>
  <si>
    <t>AssignableMacro66</t>
  </si>
  <si>
    <t>AssignableMacro67</t>
  </si>
  <si>
    <t>AssignableMacro68</t>
  </si>
  <si>
    <t>AssignableMacro69</t>
  </si>
  <si>
    <t>AssignableMacro70</t>
  </si>
  <si>
    <t>AssignableMacro71</t>
  </si>
  <si>
    <t>AssignableMacro72</t>
  </si>
  <si>
    <t>AssignableMacro73</t>
  </si>
  <si>
    <t>AssignableMacro74</t>
  </si>
  <si>
    <t>AssignableMacro75</t>
  </si>
  <si>
    <t>AssignableMacro76</t>
  </si>
  <si>
    <t>AssignableMacro77</t>
  </si>
  <si>
    <t>AssignableMacro78</t>
  </si>
  <si>
    <t>AssignableMacro79</t>
  </si>
  <si>
    <t>AssignableMacro80</t>
  </si>
  <si>
    <t>AssignableMacro81</t>
  </si>
  <si>
    <t>AssignableMacro82</t>
  </si>
  <si>
    <t>AssignableMacro83</t>
  </si>
  <si>
    <t>AssignableMacro84</t>
  </si>
  <si>
    <t>AssignableMacro85</t>
  </si>
  <si>
    <t>AssignableMacro86</t>
  </si>
  <si>
    <t>AssignableMacro87</t>
  </si>
  <si>
    <t>AssignableMacro88</t>
  </si>
  <si>
    <t>AssignableMacro89</t>
  </si>
  <si>
    <t>AssignableMacro90</t>
  </si>
  <si>
    <t>AssignableMacro91</t>
  </si>
  <si>
    <t>AssignableMacro92</t>
  </si>
  <si>
    <t>AssignableMacro93</t>
  </si>
  <si>
    <t>AssignableMacro94</t>
  </si>
  <si>
    <t>AssignableMacro95</t>
  </si>
  <si>
    <t>AssignableMacro96</t>
  </si>
  <si>
    <t>AssignableMacro97</t>
  </si>
  <si>
    <t>AssignableMacro98</t>
  </si>
  <si>
    <t>AssignableMacro99</t>
  </si>
  <si>
    <t>In sheet 1</t>
  </si>
  <si>
    <t>Break-even undo</t>
  </si>
  <si>
    <t>DemoVersion</t>
  </si>
  <si>
    <t>BalDepr1</t>
  </si>
  <si>
    <t>BalDeprDD</t>
  </si>
  <si>
    <t>GWtypeDD</t>
  </si>
  <si>
    <t>Files (diff./cons.)</t>
  </si>
  <si>
    <t>Ratio: "*" or "/"</t>
  </si>
  <si>
    <t>Month/Year</t>
  </si>
  <si>
    <t>Rate</t>
  </si>
  <si>
    <t>FilteredLanguages</t>
  </si>
  <si>
    <t>CellAddress</t>
  </si>
  <si>
    <t>ExampleFile</t>
  </si>
  <si>
    <t>Compilation</t>
  </si>
  <si>
    <t>Sheetindex</t>
  </si>
  <si>
    <t>DetailLevels</t>
  </si>
  <si>
    <t>DetailLevelSheet</t>
  </si>
  <si>
    <t>BalDepr2</t>
  </si>
  <si>
    <t>OneOrManyPeriod 1=one, 2=many</t>
  </si>
  <si>
    <t>FormulaR1C1</t>
  </si>
  <si>
    <t>GWtype</t>
  </si>
  <si>
    <t>ScrollRow</t>
  </si>
  <si>
    <t>BalDepr3</t>
  </si>
  <si>
    <t>FileLocked (Locked=1,UnLocked=0)</t>
  </si>
  <si>
    <t>(0=inv.file, 1=diff.file, 2=cons.)</t>
  </si>
  <si>
    <t>Value</t>
  </si>
  <si>
    <t>IFRSCumulative</t>
  </si>
  <si>
    <t>(source files, see P2-&gt;)</t>
  </si>
  <si>
    <t>WACC parameters</t>
  </si>
  <si>
    <t>Periodization (1=fin.years, 2=longest common period)</t>
  </si>
  <si>
    <t>InvOrAcq</t>
  </si>
  <si>
    <t>WACCCostOfDebt</t>
  </si>
  <si>
    <t>ShowConclusions</t>
  </si>
  <si>
    <t>IncVar1</t>
  </si>
  <si>
    <t>IncVar2</t>
  </si>
  <si>
    <t>WACCTaxRatio</t>
  </si>
  <si>
    <t>...</t>
  </si>
  <si>
    <t>WACCDebt</t>
  </si>
  <si>
    <t>ApplyDetailLevelTo</t>
  </si>
  <si>
    <t>PrintMode</t>
  </si>
  <si>
    <t>WACCTotalCapital</t>
  </si>
  <si>
    <t>WACCReturnOnEquity</t>
  </si>
  <si>
    <t>AcqDebtTime</t>
  </si>
  <si>
    <t>AFactorList2</t>
  </si>
  <si>
    <t>WACCEquity</t>
  </si>
  <si>
    <t>Non-ccy IDs</t>
  </si>
  <si>
    <t>CorrDebtResidual</t>
  </si>
  <si>
    <t>Added in 334</t>
  </si>
  <si>
    <t>AFactor</t>
  </si>
  <si>
    <t>FinYearRIndex</t>
  </si>
  <si>
    <t>NABase</t>
  </si>
  <si>
    <t>AcqDebtRate</t>
  </si>
  <si>
    <t>InvOpenBalance</t>
  </si>
  <si>
    <t>InvFirstDepreciation</t>
  </si>
  <si>
    <t>1=exp. alloc.</t>
  </si>
  <si>
    <t>1=carry over</t>
  </si>
  <si>
    <t>Carry-over</t>
  </si>
  <si>
    <t>Beginning</t>
  </si>
  <si>
    <t>AFactorList</t>
  </si>
  <si>
    <t>RonaBAT</t>
  </si>
  <si>
    <t>Index</t>
  </si>
  <si>
    <t>NoOfMonths</t>
  </si>
  <si>
    <t>0=not</t>
  </si>
  <si>
    <t>col.index</t>
  </si>
  <si>
    <t>end of month</t>
  </si>
  <si>
    <t>FinYearR</t>
  </si>
  <si>
    <t>EvaBAT</t>
  </si>
  <si>
    <t>BadwillOK</t>
  </si>
  <si>
    <t>GWTime</t>
  </si>
  <si>
    <t>ConnectionFeesInUse</t>
  </si>
  <si>
    <t>BalCheck</t>
  </si>
  <si>
    <t>AFactor2</t>
  </si>
  <si>
    <t>ColHeadersR/2</t>
  </si>
  <si>
    <t>FinYearsR</t>
  </si>
  <si>
    <t>FinYearsNeg</t>
  </si>
  <si>
    <t>FinYearsPos</t>
  </si>
  <si>
    <t>RonaCG</t>
  </si>
  <si>
    <t>EvaCG</t>
  </si>
  <si>
    <t>ResultRonaMonths</t>
  </si>
  <si>
    <t>DontCompound</t>
  </si>
  <si>
    <t>CalcPoint</t>
  </si>
  <si>
    <t>ResultEVAMonths</t>
  </si>
  <si>
    <t>CalcPointPB</t>
  </si>
  <si>
    <t>DontCompoundPB</t>
  </si>
  <si>
    <t>WACC</t>
  </si>
  <si>
    <t>AltCalcPointPB</t>
  </si>
  <si>
    <t>VariableRate</t>
  </si>
  <si>
    <t>NoZeroCol</t>
  </si>
  <si>
    <t>WACCPreTax</t>
  </si>
  <si>
    <t>NoResCol</t>
  </si>
  <si>
    <t>VariableRateEquity</t>
  </si>
  <si>
    <t>IFRSallocDD</t>
  </si>
  <si>
    <t>IFRSDepr01-13: First depreciation set as default only!</t>
  </si>
  <si>
    <t>WACCPreTaxMonth</t>
  </si>
  <si>
    <t>VariableRateAllowed</t>
  </si>
  <si>
    <t>BalDepr01</t>
  </si>
  <si>
    <t>IFRSAlloc01</t>
  </si>
  <si>
    <t>BalDepr02</t>
  </si>
  <si>
    <t>IFRSAlloc02</t>
  </si>
  <si>
    <t>PeriodType</t>
  </si>
  <si>
    <t>IFRSSheetInUse</t>
  </si>
  <si>
    <t>BalDepr03</t>
  </si>
  <si>
    <t>IFRSAlloc03</t>
  </si>
  <si>
    <t>EbitdaIndex</t>
  </si>
  <si>
    <t>BalDepr04</t>
  </si>
  <si>
    <t>IFRSAlloc04</t>
  </si>
  <si>
    <t>IFRSKeyFigures</t>
  </si>
  <si>
    <t>BalDepr05</t>
  </si>
  <si>
    <t>IFRSAlloc05</t>
  </si>
  <si>
    <t>FinYearsH</t>
  </si>
  <si>
    <t>DCVAAdjust</t>
  </si>
  <si>
    <t>BalDepr06</t>
  </si>
  <si>
    <t>IFRSAlloc06</t>
  </si>
  <si>
    <t>DCVAResidual</t>
  </si>
  <si>
    <t>CalculatedDepreciation</t>
  </si>
  <si>
    <t>BalDepr07</t>
  </si>
  <si>
    <t>IFRSAlloc07</t>
  </si>
  <si>
    <t>NetDebtOption</t>
  </si>
  <si>
    <t>BalDepr13</t>
  </si>
  <si>
    <t>IFRSAlloc13</t>
  </si>
  <si>
    <t>UsePerpetuity</t>
  </si>
  <si>
    <t>CreatedWithProgVersion</t>
  </si>
  <si>
    <t>BalDepr08</t>
  </si>
  <si>
    <t>IFRSAlloc08</t>
  </si>
  <si>
    <t>DcvaCG</t>
  </si>
  <si>
    <t>d</t>
  </si>
  <si>
    <t>BalDepr09</t>
  </si>
  <si>
    <t>IFRSAlloc09</t>
  </si>
  <si>
    <t>AdjustDCVAwNetDebt</t>
  </si>
  <si>
    <t>InvCallerRowCodes</t>
  </si>
  <si>
    <t>BalDepr10</t>
  </si>
  <si>
    <t>IFRSAlloc10</t>
  </si>
  <si>
    <t>Use in new file</t>
  </si>
  <si>
    <t>BalDepr11</t>
  </si>
  <si>
    <t>IFRSAlloc11</t>
  </si>
  <si>
    <t>PerpetuityIndex</t>
  </si>
  <si>
    <t>BalDepr12</t>
  </si>
  <si>
    <t>IFRSAlloc12</t>
  </si>
  <si>
    <t>PerpetuityYear</t>
  </si>
  <si>
    <t>Defaults</t>
  </si>
  <si>
    <t>PerpetuityEnter</t>
  </si>
  <si>
    <t>Analysis01Ratio01</t>
  </si>
  <si>
    <t>FinYearRIndex01</t>
  </si>
  <si>
    <t>RatioRows</t>
  </si>
  <si>
    <t>PerpetuityGrowing</t>
  </si>
  <si>
    <t>Analysis01Ratio02</t>
  </si>
  <si>
    <t>FinYearRIndex02</t>
  </si>
  <si>
    <t>FCFEinUse</t>
  </si>
  <si>
    <t>Analysis01Ratio03</t>
  </si>
  <si>
    <t>FinYearRIndex03</t>
  </si>
  <si>
    <t>PerpetuityIndexEquity</t>
  </si>
  <si>
    <t>Analysis01Ratio04</t>
  </si>
  <si>
    <t>FinYearRIndex04</t>
  </si>
  <si>
    <t>PerpetuityYearEquity</t>
  </si>
  <si>
    <t>Analysis01Ratio05</t>
  </si>
  <si>
    <t>FinYearRIndex05</t>
  </si>
  <si>
    <t>PerpetuityEnterEquity</t>
  </si>
  <si>
    <t>Analysis01Ratio06</t>
  </si>
  <si>
    <t>FinYearRIndex06</t>
  </si>
  <si>
    <t>PerpetuityGrowingEquity</t>
  </si>
  <si>
    <t>Analysis02Ratio01</t>
  </si>
  <si>
    <t>FinYearR01</t>
  </si>
  <si>
    <t>LoanEnterOrProFin</t>
  </si>
  <si>
    <t>Analysis02Ratio02</t>
  </si>
  <si>
    <t>FinYearR02</t>
  </si>
  <si>
    <t>AcqEquityCosts</t>
  </si>
  <si>
    <t>Analysis02Ratio03</t>
  </si>
  <si>
    <t>FinYearR03</t>
  </si>
  <si>
    <t>AcqDebtAmount</t>
  </si>
  <si>
    <t>Analysis02Ratio04</t>
  </si>
  <si>
    <t>FinYearR04</t>
  </si>
  <si>
    <t>UseCalculatedTax</t>
  </si>
  <si>
    <t>Analysis02Ratio05</t>
  </si>
  <si>
    <t>FinYearR05</t>
  </si>
  <si>
    <t>ValueInUseWithTax</t>
  </si>
  <si>
    <t>Analysis02Ratio06</t>
  </si>
  <si>
    <t>FinYearR06</t>
  </si>
  <si>
    <t>InclFinTax</t>
  </si>
  <si>
    <t>Analysis03Ratio01</t>
  </si>
  <si>
    <t>FinYearCol01</t>
  </si>
  <si>
    <t>InclPosTax</t>
  </si>
  <si>
    <t>Analysis03Ratio02</t>
  </si>
  <si>
    <t>FinYearCol02</t>
  </si>
  <si>
    <t>AutoManualTax</t>
  </si>
  <si>
    <t>Analysis03Ratio03</t>
  </si>
  <si>
    <t>FinYearCol03</t>
  </si>
  <si>
    <t>GoodwillDepreciationTax</t>
  </si>
  <si>
    <t>Analysis03Ratio04</t>
  </si>
  <si>
    <t>FinYearCol04</t>
  </si>
  <si>
    <t>DiscountFactorAnalysisHidden</t>
  </si>
  <si>
    <t>No</t>
  </si>
  <si>
    <t>Analysis03Ratio05</t>
  </si>
  <si>
    <t>FinYearCol05</t>
  </si>
  <si>
    <t>TotalInvestmentAnalysisHidden</t>
  </si>
  <si>
    <t>Analysis03Ratio06</t>
  </si>
  <si>
    <t>FinYearCol06</t>
  </si>
  <si>
    <t>IncomeAnalysisHidden</t>
  </si>
  <si>
    <t>Analysis04Ratio01</t>
  </si>
  <si>
    <t>VariableCostAnalysisHidden</t>
  </si>
  <si>
    <t>Analysis04Ratio02</t>
  </si>
  <si>
    <t>FixedCostAnalysisHidden</t>
  </si>
  <si>
    <t>Analysis04Ratio03</t>
  </si>
  <si>
    <t>IncomeVariableAnalysisHidden</t>
  </si>
  <si>
    <t>Analysis04Ratio04</t>
  </si>
  <si>
    <t>AcqEquity</t>
  </si>
  <si>
    <t>Analysis04Ratio05</t>
  </si>
  <si>
    <t>AcqMotherTax</t>
  </si>
  <si>
    <t>Analysis04Ratio06</t>
  </si>
  <si>
    <t>AcqMotherTaxInUse</t>
  </si>
  <si>
    <t>Analysis05Ratio01</t>
  </si>
  <si>
    <t>PerpetuityLimitation</t>
  </si>
  <si>
    <t>Analysis05Ratio02</t>
  </si>
  <si>
    <t>PerpetuityLimitationEquity</t>
  </si>
  <si>
    <t>Analysis05Ratio03</t>
  </si>
  <si>
    <t>ImpairmentWorkingCapital</t>
  </si>
  <si>
    <t>Analysis05Ratio04</t>
  </si>
  <si>
    <t>ImpairmentFinancialAssets</t>
  </si>
  <si>
    <t>Analysis05Ratio05</t>
  </si>
  <si>
    <t>CapFinOnAsset</t>
  </si>
  <si>
    <t>Analysis05Ratio06</t>
  </si>
  <si>
    <t>CapFinPeriod</t>
  </si>
  <si>
    <t>Analysis06Ratio01</t>
  </si>
  <si>
    <t>YearlyIRR</t>
  </si>
  <si>
    <t>Analysis06Ratio02</t>
  </si>
  <si>
    <t>IRR:</t>
  </si>
  <si>
    <t>Analysis06Ratio03</t>
  </si>
  <si>
    <t>Analysis06Ratio04</t>
  </si>
  <si>
    <t>Analysis06Ratio05</t>
  </si>
  <si>
    <t>PerpetuityLimitList</t>
  </si>
  <si>
    <t>PerpText</t>
  </si>
  <si>
    <t>PerpetuityLimited</t>
  </si>
  <si>
    <t>PerpetuityLimitedEquity</t>
  </si>
  <si>
    <t>Analysis06Ratio06</t>
  </si>
  <si>
    <t>DistributeStore</t>
  </si>
  <si>
    <t>Code</t>
  </si>
  <si>
    <t>Adjust</t>
  </si>
  <si>
    <t>CopyDist</t>
  </si>
  <si>
    <t>ValueFormula</t>
  </si>
  <si>
    <t>MinIRR</t>
  </si>
  <si>
    <t>MaxIRR</t>
  </si>
  <si>
    <t>IRR to equity:</t>
  </si>
  <si>
    <t>MinIRREquity</t>
  </si>
  <si>
    <t>MaxIRREquity</t>
  </si>
  <si>
    <t>IRR before tax:</t>
  </si>
  <si>
    <t>MinIRRbt</t>
  </si>
  <si>
    <t>MaxIRRbt</t>
  </si>
  <si>
    <t>IRR to equity before tax:</t>
  </si>
  <si>
    <t>MinIRREquitybt</t>
  </si>
  <si>
    <t>MaxIRREquitybt</t>
  </si>
  <si>
    <t>CashFlowPeriods</t>
  </si>
  <si>
    <t>IrrCashFlow</t>
  </si>
  <si>
    <t>TaxCashFlow</t>
  </si>
  <si>
    <t>DebtCashFlow</t>
  </si>
  <si>
    <t>PreTaxCashFlow</t>
  </si>
  <si>
    <t>IrrCashFlowEquity</t>
  </si>
  <si>
    <t>MirrdCashFlow</t>
  </si>
  <si>
    <t>PreTaxCashFlowEquity</t>
  </si>
  <si>
    <t>C1121</t>
  </si>
  <si>
    <t>C1122</t>
  </si>
  <si>
    <t>C1123</t>
  </si>
  <si>
    <t>Eng</t>
  </si>
  <si>
    <t>Assignable macros</t>
  </si>
  <si>
    <t>Macro to run in XXX</t>
  </si>
  <si>
    <t>macro workbook</t>
  </si>
  <si>
    <t>perpetual</t>
  </si>
  <si>
    <t>Macro workbook not specified.</t>
  </si>
  <si>
    <t>Macro not specified.</t>
  </si>
  <si>
    <t>Allocated overvalue</t>
  </si>
  <si>
    <t>Fin</t>
  </si>
  <si>
    <t>Liitettävät makrot</t>
  </si>
  <si>
    <t>Makro joka ajetaan tiedostossa XXX</t>
  </si>
  <si>
    <t>makrotiedosto</t>
  </si>
  <si>
    <t>ikuinen</t>
  </si>
  <si>
    <t>Makrotiedosto puuttuu.</t>
  </si>
  <si>
    <t>Makro puuttuu.</t>
  </si>
  <si>
    <t>Kohdistettu yliarvo</t>
  </si>
  <si>
    <t>Swe</t>
  </si>
  <si>
    <t>Anslutbara makron</t>
  </si>
  <si>
    <t>Makro som körs i XXX</t>
  </si>
  <si>
    <t>makrofil</t>
  </si>
  <si>
    <t>evig</t>
  </si>
  <si>
    <t>Makrofil fattas.</t>
  </si>
  <si>
    <t>Makro fattas.</t>
  </si>
  <si>
    <t>Allokerat övervärde</t>
  </si>
  <si>
    <t>Ger</t>
  </si>
  <si>
    <t>Zuweisbare Makros</t>
  </si>
  <si>
    <t>In Datei XXX anzuwendendes Makro</t>
  </si>
  <si>
    <t>Makrodatei</t>
  </si>
  <si>
    <t>ewig</t>
  </si>
  <si>
    <t>Makrodatei fehlt.</t>
  </si>
  <si>
    <t>Makro fehlt.</t>
  </si>
  <si>
    <t>Verteilter Überwert</t>
  </si>
  <si>
    <t>Pol</t>
  </si>
  <si>
    <t>Przypisane makra</t>
  </si>
  <si>
    <t>Makro do uruchomienia w: XXX</t>
  </si>
  <si>
    <t>plik z makrami</t>
  </si>
  <si>
    <t>wieczny</t>
  </si>
  <si>
    <t>Alokowane przeszacowanie</t>
  </si>
  <si>
    <t>Spa</t>
  </si>
  <si>
    <t>Macros asignables</t>
  </si>
  <si>
    <t>Macro para ejecutar en XXX</t>
  </si>
  <si>
    <t>macro de cuaderno de cálculo</t>
  </si>
  <si>
    <t>eterna</t>
  </si>
  <si>
    <t>Carpetas macro no especificadas.</t>
  </si>
  <si>
    <t>Macro no especificado.</t>
  </si>
  <si>
    <t>Sobrevalor asignado</t>
  </si>
  <si>
    <t>Rus</t>
  </si>
  <si>
    <t>Устанавливаемый макрос</t>
  </si>
  <si>
    <t>Выполнить макрос в XXX</t>
  </si>
  <si>
    <t>Файл макроса</t>
  </si>
  <si>
    <t>Бессрочный</t>
  </si>
  <si>
    <t>Файл макроса не указан.</t>
  </si>
  <si>
    <t>Макрос не указан.</t>
  </si>
  <si>
    <t>Распределенная переоценка</t>
  </si>
  <si>
    <t>C1111</t>
  </si>
  <si>
    <t>C1112</t>
  </si>
  <si>
    <t>C1113</t>
  </si>
  <si>
    <t>C1114</t>
  </si>
  <si>
    <t>Straight line</t>
  </si>
  <si>
    <t>Declining bal.</t>
  </si>
  <si>
    <t>Enter</t>
  </si>
  <si>
    <t>Invest for Excel must be open for this function to work. Please open Invest for Excel.</t>
  </si>
  <si>
    <t>Residual</t>
  </si>
  <si>
    <t>IFRS 3</t>
  </si>
  <si>
    <t>N GAAP</t>
  </si>
  <si>
    <t>Tasapoistot</t>
  </si>
  <si>
    <t>Menojäänn.</t>
  </si>
  <si>
    <t>Syötä</t>
  </si>
  <si>
    <t>Tämä toiminto vaatii että Invest for Excel-ohjelma on auki. Ole hyvä ja avaa Invest for Excel.</t>
  </si>
  <si>
    <t>Jäännös</t>
  </si>
  <si>
    <t>Poistot</t>
  </si>
  <si>
    <t>Degressiv</t>
  </si>
  <si>
    <t>Mata in</t>
  </si>
  <si>
    <t>Denna funktion kräver att programmet Invest for Excel är startat. Var god och starta Invest for Excel.</t>
  </si>
  <si>
    <t>Rest</t>
  </si>
  <si>
    <t>Avskrivning</t>
  </si>
  <si>
    <t>Linear</t>
  </si>
  <si>
    <t>Eingabe</t>
  </si>
  <si>
    <t>Invest for Excel muss zur Ausfuhrung dieser Funktion aktiv sein. Bitte starten Sie Invest for Excel.</t>
  </si>
  <si>
    <t>Restwert</t>
  </si>
  <si>
    <t>Abschreibung</t>
  </si>
  <si>
    <t>Liniowa</t>
  </si>
  <si>
    <t>Zmniejszające się saldo</t>
  </si>
  <si>
    <t>Wprowadź</t>
  </si>
  <si>
    <t>Invest for Excel musi być otwarty, by użyć tej funkcji. Proszę, otwórz Invest for Excel.</t>
  </si>
  <si>
    <t>Rezydualna</t>
  </si>
  <si>
    <t>Amortyzacja</t>
  </si>
  <si>
    <t>Lineal</t>
  </si>
  <si>
    <t>Saldo decr.</t>
  </si>
  <si>
    <t>Introducir</t>
  </si>
  <si>
    <t>Invest for Excel debe estar abierto para el manejo de esta función. Abra Invest for Excel.</t>
  </si>
  <si>
    <t>Amortización</t>
  </si>
  <si>
    <t>Линейная</t>
  </si>
  <si>
    <t>Метод уменьшающегося остатка</t>
  </si>
  <si>
    <t>Ввести</t>
  </si>
  <si>
    <t>Для работы этой функции необходим Invest for Excel. Пожалуйста, запустите Invest for Excel.</t>
  </si>
  <si>
    <t>Остаток</t>
  </si>
  <si>
    <t>Амортизация</t>
  </si>
  <si>
    <t>МСФО 3</t>
  </si>
  <si>
    <t>Н ГААП</t>
  </si>
  <si>
    <t>C1117</t>
  </si>
  <si>
    <t>C1118</t>
  </si>
  <si>
    <t>C1119</t>
  </si>
  <si>
    <t>Variable</t>
  </si>
  <si>
    <t>Imputed</t>
  </si>
  <si>
    <t>Macro workbook name</t>
  </si>
  <si>
    <t>Term change macro</t>
  </si>
  <si>
    <t>Description (optional)</t>
  </si>
  <si>
    <t>adjusted</t>
  </si>
  <si>
    <t>Muuttuva</t>
  </si>
  <si>
    <t>Laskennallinen</t>
  </si>
  <si>
    <t>Makrotiedoston nimi</t>
  </si>
  <si>
    <t>Tarkasteluaikamakro</t>
  </si>
  <si>
    <t>Kuvaus (valinnainen)</t>
  </si>
  <si>
    <t>oikaistut</t>
  </si>
  <si>
    <t>Verot</t>
  </si>
  <si>
    <t>Varierande</t>
  </si>
  <si>
    <t>Kalkylmässig</t>
  </si>
  <si>
    <t>Makrofilnamn</t>
  </si>
  <si>
    <t>Kalkyltidmakro</t>
  </si>
  <si>
    <t>Beskrivning (valfri)</t>
  </si>
  <si>
    <t>justerade</t>
  </si>
  <si>
    <t>Skatter</t>
  </si>
  <si>
    <t>Variabler</t>
  </si>
  <si>
    <t>Kalkulatorische</t>
  </si>
  <si>
    <t>Makrodatei-Name</t>
  </si>
  <si>
    <t>Planungszeitraum-Makro</t>
  </si>
  <si>
    <t>Beschreibung (optional)</t>
  </si>
  <si>
    <t>korrigiert</t>
  </si>
  <si>
    <t>Steuern</t>
  </si>
  <si>
    <t>Zmienna</t>
  </si>
  <si>
    <t>Kalkulacyjna</t>
  </si>
  <si>
    <t>Nazwa pliku z makrami</t>
  </si>
  <si>
    <t>Makro zmiany okresu kalkulacyjnego</t>
  </si>
  <si>
    <t>Opis (opcjonalnie)</t>
  </si>
  <si>
    <t>skorygowany</t>
  </si>
  <si>
    <t>Podatek dochodowy</t>
  </si>
  <si>
    <t>Imputada</t>
  </si>
  <si>
    <t>Nombre macro de cuaderno de cálculo</t>
  </si>
  <si>
    <t>Macro de cambio de término</t>
  </si>
  <si>
    <t>Descripción (opcional)</t>
  </si>
  <si>
    <t>ajustado</t>
  </si>
  <si>
    <t>Impuesto de la renta</t>
  </si>
  <si>
    <t>Переменная</t>
  </si>
  <si>
    <t>Вмененная</t>
  </si>
  <si>
    <t>Имя файла макроса</t>
  </si>
  <si>
    <t>Макрос смены срока</t>
  </si>
  <si>
    <t>Описание (Необязательный)</t>
  </si>
  <si>
    <t>скорректированный</t>
  </si>
  <si>
    <t>Налог на прибыль</t>
  </si>
  <si>
    <t>average</t>
  </si>
  <si>
    <t>opening balance</t>
  </si>
  <si>
    <t>closing balance</t>
  </si>
  <si>
    <t>Net assets</t>
  </si>
  <si>
    <t>Capital charge on net assets</t>
  </si>
  <si>
    <t>Group Net assets</t>
  </si>
  <si>
    <t>Group Capital charge on net assets</t>
  </si>
  <si>
    <t>keskimäärin</t>
  </si>
  <si>
    <t>avaava tase</t>
  </si>
  <si>
    <t>kauden lopussa</t>
  </si>
  <si>
    <t>Sitoutunut pääoma</t>
  </si>
  <si>
    <t>Pääomakustannus sijoitetulle pääomalle</t>
  </si>
  <si>
    <t>Konserni: Sitoutunut pääoma</t>
  </si>
  <si>
    <t>Konserni: Pääomakustannus sijoitetulle pääomalle</t>
  </si>
  <si>
    <t>i genomsnitt</t>
  </si>
  <si>
    <t>ingående balans</t>
  </si>
  <si>
    <t>vid periodens slut</t>
  </si>
  <si>
    <t>Nettokapital</t>
  </si>
  <si>
    <t>Kapitalkostnad på nettokapital</t>
  </si>
  <si>
    <t>Koncern: Nettokapital</t>
  </si>
  <si>
    <t>Koncern: Kapitalkostnad på nettokapital</t>
  </si>
  <si>
    <t>durchschnittlich</t>
  </si>
  <si>
    <t>Eröffnungsbilanz</t>
  </si>
  <si>
    <t>Ende des Geschäftsjahres</t>
  </si>
  <si>
    <t>Gebundenes Kapital</t>
  </si>
  <si>
    <t>Kapitalkosten für gebundenes Kapital</t>
  </si>
  <si>
    <t>Konzern: gebundenes Kapital</t>
  </si>
  <si>
    <t>Konzern: Kapitalkosten für gebundenes Kapital</t>
  </si>
  <si>
    <t>średni stan</t>
  </si>
  <si>
    <t>bilans otwarcia</t>
  </si>
  <si>
    <t>bilans zamknięcia</t>
  </si>
  <si>
    <t>Aktywa netto</t>
  </si>
  <si>
    <t>Koszt kapitału (od wartości aktywów netto)</t>
  </si>
  <si>
    <t>Aktywa netto Grupy</t>
  </si>
  <si>
    <t>Koszt kapitału Grupy (od wartości aktywów netto)</t>
  </si>
  <si>
    <t>media</t>
  </si>
  <si>
    <t>de apertura</t>
  </si>
  <si>
    <t>al final del período</t>
  </si>
  <si>
    <t>Activos netos</t>
  </si>
  <si>
    <t>Cargas de capital en activos netos</t>
  </si>
  <si>
    <t>Activos netos del grupo</t>
  </si>
  <si>
    <t>Cargas de capital en activos netos del grupo</t>
  </si>
  <si>
    <t>средняя стоимость</t>
  </si>
  <si>
    <t>начальное сальдо</t>
  </si>
  <si>
    <t>конечное сальдо</t>
  </si>
  <si>
    <t>Чистые активы</t>
  </si>
  <si>
    <t>Начисления на чистые активы</t>
  </si>
  <si>
    <t>Чистые активы Группы</t>
  </si>
  <si>
    <t>Начисления на чистые активы Группы</t>
  </si>
  <si>
    <t xml:space="preserve">  P E R U S T I E D O T </t>
  </si>
  <si>
    <t>vuosi</t>
  </si>
  <si>
    <t xml:space="preserve">  Projektikuvaus</t>
  </si>
  <si>
    <t>kk</t>
  </si>
  <si>
    <t xml:space="preserve">  Laskentavaihe</t>
  </si>
  <si>
    <t>Yhteensä</t>
  </si>
  <si>
    <t xml:space="preserve">  Kuvaus</t>
  </si>
  <si>
    <t>vuotta</t>
  </si>
  <si>
    <t xml:space="preserve">  Tarkasteluaika, vuosia</t>
  </si>
  <si>
    <t xml:space="preserve">  + kuukautta</t>
  </si>
  <si>
    <t xml:space="preserve">  Tarkastelujakson pituus kuukausissa</t>
  </si>
  <si>
    <t xml:space="preserve">  Tarkastelujaksoja</t>
  </si>
  <si>
    <t>(KK/VVVV)</t>
  </si>
  <si>
    <t xml:space="preserve">  Tarkasteluaika alkaa</t>
  </si>
  <si>
    <t xml:space="preserve">  Laskenta-ajankohta</t>
  </si>
  <si>
    <t xml:space="preserve">  Tarkasteluaika päättyy</t>
  </si>
  <si>
    <t>(kauden lopussa)</t>
  </si>
  <si>
    <t xml:space="preserve">  Rahayksikkö (1/1000/1000000)</t>
  </si>
  <si>
    <t xml:space="preserve">  Valuutta</t>
  </si>
  <si>
    <t xml:space="preserve">  Laskentakorko (vuosikorko)</t>
  </si>
  <si>
    <t>Per kuukausi</t>
  </si>
  <si>
    <t xml:space="preserve">  Per kausi</t>
  </si>
  <si>
    <t xml:space="preserve">  Oman pääoman tuottovaatimus (vuosikorko)</t>
  </si>
  <si>
    <t xml:space="preserve">  Tulovero-%</t>
  </si>
  <si>
    <t xml:space="preserve"> Y H T E Y S T I E D O T </t>
  </si>
  <si>
    <t xml:space="preserve">  Yhteyshenkilö</t>
  </si>
  <si>
    <t xml:space="preserve">  Yhteystiedot</t>
  </si>
  <si>
    <t xml:space="preserve">  Päivämäärä</t>
  </si>
  <si>
    <t xml:space="preserve">  Kommentteja</t>
  </si>
  <si>
    <t xml:space="preserve">  Laskelmatiedosto</t>
  </si>
  <si>
    <t xml:space="preserve">  G R U N D D A T A</t>
  </si>
  <si>
    <t>år</t>
  </si>
  <si>
    <t xml:space="preserve">  Projektbeskrivning</t>
  </si>
  <si>
    <t>månad</t>
  </si>
  <si>
    <t xml:space="preserve">  Kalkylfas</t>
  </si>
  <si>
    <t>Totalt</t>
  </si>
  <si>
    <t xml:space="preserve">  Beskrivning</t>
  </si>
  <si>
    <t xml:space="preserve">  Kalkyltid, år</t>
  </si>
  <si>
    <t>månader</t>
  </si>
  <si>
    <t xml:space="preserve">  + månader</t>
  </si>
  <si>
    <t xml:space="preserve">  Periodlängd i månader</t>
  </si>
  <si>
    <t xml:space="preserve">  Antal perioder</t>
  </si>
  <si>
    <t>(MM/ÅÅÅÅ)</t>
  </si>
  <si>
    <t xml:space="preserve">  Kalkyltiden börjar</t>
  </si>
  <si>
    <t xml:space="preserve">  Kalkyltidpunkt</t>
  </si>
  <si>
    <t xml:space="preserve">  Kalkyltiden slutar</t>
  </si>
  <si>
    <t>(i slutet av perioden)</t>
  </si>
  <si>
    <t xml:space="preserve">  Penningenhet (1/1000/1000000)</t>
  </si>
  <si>
    <t xml:space="preserve">  Valuta</t>
  </si>
  <si>
    <t xml:space="preserve">  Kalkylränta (årlig)</t>
  </si>
  <si>
    <t>Per månad</t>
  </si>
  <si>
    <t xml:space="preserve">  Per period</t>
  </si>
  <si>
    <t xml:space="preserve">  Avkastningskrav på eget kapital (årlig)</t>
  </si>
  <si>
    <t xml:space="preserve">  Inkomstskatte-%</t>
  </si>
  <si>
    <t xml:space="preserve"> K O N T A K T U P P G I F T E R</t>
  </si>
  <si>
    <t xml:space="preserve">  Kontaktperson</t>
  </si>
  <si>
    <t xml:space="preserve">  Kontaktuppgifter</t>
  </si>
  <si>
    <t xml:space="preserve">  Datum</t>
  </si>
  <si>
    <t xml:space="preserve">  Notera</t>
  </si>
  <si>
    <t xml:space="preserve">  Kalkylfil</t>
  </si>
  <si>
    <t xml:space="preserve">  G R U N D D A T E N</t>
  </si>
  <si>
    <t>Jahr</t>
  </si>
  <si>
    <t xml:space="preserve">  Projektbeschreibung</t>
  </si>
  <si>
    <t>Monat</t>
  </si>
  <si>
    <t>Insgesamt</t>
  </si>
  <si>
    <t xml:space="preserve">  Beschreibung</t>
  </si>
  <si>
    <t>Jahre</t>
  </si>
  <si>
    <t xml:space="preserve">  Planungszeitraum, Jahre</t>
  </si>
  <si>
    <t>Monate</t>
  </si>
  <si>
    <t xml:space="preserve">  + Monate</t>
  </si>
  <si>
    <t xml:space="preserve">  Periodenlänge in Monaten</t>
  </si>
  <si>
    <t xml:space="preserve">  Anzahl Perioden</t>
  </si>
  <si>
    <t>(MM/JJJJ)</t>
  </si>
  <si>
    <t xml:space="preserve">  Beginn des Planungszeitraums</t>
  </si>
  <si>
    <t xml:space="preserve">  Kalkulationszeitpunkt</t>
  </si>
  <si>
    <t xml:space="preserve">  Ende des Planungzeitraums</t>
  </si>
  <si>
    <t>(zum Ende des Monats)</t>
  </si>
  <si>
    <t xml:space="preserve">  Werteinheit (1/1000/1000000)</t>
  </si>
  <si>
    <t xml:space="preserve">  Währung</t>
  </si>
  <si>
    <t xml:space="preserve">  Kalkulationszinsfuß (pro Jahr)</t>
  </si>
  <si>
    <t>pro Monat</t>
  </si>
  <si>
    <t xml:space="preserve">  pro Periode</t>
  </si>
  <si>
    <t xml:space="preserve">  Eigenkapitalkosten (Pro Jahr)</t>
  </si>
  <si>
    <t xml:space="preserve">  K O N T A K T D A T E N</t>
  </si>
  <si>
    <t xml:space="preserve">  Kontaktdaten</t>
  </si>
  <si>
    <t xml:space="preserve">  Kommentare</t>
  </si>
  <si>
    <t xml:space="preserve">  Berechnungsdatei</t>
  </si>
  <si>
    <t>W A R T O Ś C I  B A Z O W E</t>
  </si>
  <si>
    <t>rok</t>
  </si>
  <si>
    <t xml:space="preserve">  Opis projektu</t>
  </si>
  <si>
    <t>miesiąc</t>
  </si>
  <si>
    <t xml:space="preserve">  Okres obliczeniowy</t>
  </si>
  <si>
    <t>Razem</t>
  </si>
  <si>
    <t xml:space="preserve">  Opis</t>
  </si>
  <si>
    <t>lat(a)</t>
  </si>
  <si>
    <t xml:space="preserve">  Okres obliczeniowy (w latach)</t>
  </si>
  <si>
    <t>mies.</t>
  </si>
  <si>
    <t xml:space="preserve">  + liczba miesięcy</t>
  </si>
  <si>
    <t xml:space="preserve">  Długość okresu (w miesiącach)</t>
  </si>
  <si>
    <t xml:space="preserve">  Liczba kolumn</t>
  </si>
  <si>
    <t>(MM/RRRR)</t>
  </si>
  <si>
    <t xml:space="preserve">  Początek okresu obliczeniowego</t>
  </si>
  <si>
    <t xml:space="preserve">  Moment obliczeniowy</t>
  </si>
  <si>
    <t xml:space="preserve">  Koniec okresu obliczeniowego</t>
  </si>
  <si>
    <t>(na końcu okresu)</t>
  </si>
  <si>
    <t xml:space="preserve">  Jednostka (1/1000/1000000)</t>
  </si>
  <si>
    <t xml:space="preserve">  Waluta</t>
  </si>
  <si>
    <t xml:space="preserve">  Stopa dyskontowa (p.a.)</t>
  </si>
  <si>
    <t>na miesiąc</t>
  </si>
  <si>
    <t xml:space="preserve">  Na okres</t>
  </si>
  <si>
    <t xml:space="preserve">  Koszt kapitału własnego (rocznie)</t>
  </si>
  <si>
    <t xml:space="preserve">  Podatek dochodowy (%)</t>
  </si>
  <si>
    <t>D A N E  K O N T A K T O W E</t>
  </si>
  <si>
    <t xml:space="preserve">  Osoba kontaktowa</t>
  </si>
  <si>
    <t xml:space="preserve">  Kontakt</t>
  </si>
  <si>
    <t xml:space="preserve">  Data</t>
  </si>
  <si>
    <t xml:space="preserve">  Uwagi</t>
  </si>
  <si>
    <t xml:space="preserve">  Plik obliczeniowy</t>
  </si>
  <si>
    <t xml:space="preserve">  VALORES BÁSICOS</t>
  </si>
  <si>
    <t>año</t>
  </si>
  <si>
    <t xml:space="preserve">  Descripción de proyecto</t>
  </si>
  <si>
    <t>mes</t>
  </si>
  <si>
    <t xml:space="preserve">  Fase de cálculo</t>
  </si>
  <si>
    <t xml:space="preserve">  Descripción</t>
  </si>
  <si>
    <t>años</t>
  </si>
  <si>
    <t xml:space="preserve">  Plazo de cálculo, años</t>
  </si>
  <si>
    <t>meses</t>
  </si>
  <si>
    <t xml:space="preserve">  + meses</t>
  </si>
  <si>
    <t xml:space="preserve">  Duración de período, meses</t>
  </si>
  <si>
    <t xml:space="preserve">  Número de intervalos</t>
  </si>
  <si>
    <t>(MM/AAAA)</t>
  </si>
  <si>
    <t xml:space="preserve">  El plazo de cálculo empieza</t>
  </si>
  <si>
    <t xml:space="preserve">  Punto de cálculo</t>
  </si>
  <si>
    <t xml:space="preserve">  El plazo de cálculo acaba</t>
  </si>
  <si>
    <t>(al final del período)</t>
  </si>
  <si>
    <t xml:space="preserve">  Cifras (1/1000/1000000)</t>
  </si>
  <si>
    <t xml:space="preserve">  Divisa</t>
  </si>
  <si>
    <t xml:space="preserve">  Tasa de descuento (por año)</t>
  </si>
  <si>
    <t>Por mes</t>
  </si>
  <si>
    <t xml:space="preserve">  Por intervalo</t>
  </si>
  <si>
    <t xml:space="preserve">  Coste de los fondos propios (anual)</t>
  </si>
  <si>
    <t xml:space="preserve">  % de impuesto de la renta</t>
  </si>
  <si>
    <t xml:space="preserve"> INFORMACIÓN DE CONTACTO</t>
  </si>
  <si>
    <t xml:space="preserve">  Persona de contacto</t>
  </si>
  <si>
    <t xml:space="preserve">  Información de contacto</t>
  </si>
  <si>
    <t xml:space="preserve">  Fecha</t>
  </si>
  <si>
    <t xml:space="preserve">  Comentarios</t>
  </si>
  <si>
    <t xml:space="preserve">  Archivo de cálculo</t>
  </si>
  <si>
    <t>О С Н О В Н Ы Е   З Н А Ч Е Н И Я</t>
  </si>
  <si>
    <t>год</t>
  </si>
  <si>
    <t xml:space="preserve">  Описание проекта</t>
  </si>
  <si>
    <t>месяц</t>
  </si>
  <si>
    <t xml:space="preserve">  Этап вычисления</t>
  </si>
  <si>
    <t>Итого</t>
  </si>
  <si>
    <t xml:space="preserve">  Описание</t>
  </si>
  <si>
    <t>гг.</t>
  </si>
  <si>
    <t xml:space="preserve">  Срок вычисления, годы</t>
  </si>
  <si>
    <t>месяцы</t>
  </si>
  <si>
    <t xml:space="preserve">  + месяцы</t>
  </si>
  <si>
    <t xml:space="preserve">  Длина интервала, месяцы</t>
  </si>
  <si>
    <t xml:space="preserve">  Количество интервалов</t>
  </si>
  <si>
    <t xml:space="preserve"> (ММ/ГГГГ)</t>
  </si>
  <si>
    <t xml:space="preserve">  Срок вычисления начинается</t>
  </si>
  <si>
    <t xml:space="preserve">  Точка вычисления</t>
  </si>
  <si>
    <t xml:space="preserve">  Срок вычисления заканчивается</t>
  </si>
  <si>
    <t>(в конце периода)</t>
  </si>
  <si>
    <t xml:space="preserve">  Значения (1/1000/1000000)</t>
  </si>
  <si>
    <t xml:space="preserve">  Валюта</t>
  </si>
  <si>
    <t xml:space="preserve">  Ставка Дисконтирования (годовая)</t>
  </si>
  <si>
    <t>В месяц</t>
  </si>
  <si>
    <t xml:space="preserve">  За интервал</t>
  </si>
  <si>
    <t xml:space="preserve">  Стоимость собственного капитала (в год)</t>
  </si>
  <si>
    <t xml:space="preserve">  Налог на Прибыль %</t>
  </si>
  <si>
    <t>К О Н Т А К Т Н А Я   И Н Ф О Р М А Ц И Я</t>
  </si>
  <si>
    <t xml:space="preserve">  Контактное лицо</t>
  </si>
  <si>
    <t xml:space="preserve">  Контактная информация</t>
  </si>
  <si>
    <t xml:space="preserve">  Дата</t>
  </si>
  <si>
    <t xml:space="preserve">  Комментарии</t>
  </si>
  <si>
    <t xml:space="preserve">  Файл Вычисления</t>
  </si>
  <si>
    <t>ID: Month, Quarter &amp; Fin. year (MMYY)</t>
  </si>
  <si>
    <t>Group goodwill</t>
  </si>
  <si>
    <t>Financing income and expenses, Financing file</t>
  </si>
  <si>
    <t>Change in Appropriations</t>
  </si>
  <si>
    <t>Depreciation in excess of (-) / under (+) imputed</t>
  </si>
  <si>
    <t>Kuukausi</t>
  </si>
  <si>
    <t>Neljännesvuosi</t>
  </si>
  <si>
    <t>Vuosi</t>
  </si>
  <si>
    <t>Vero-%</t>
  </si>
  <si>
    <t>Periodi</t>
  </si>
  <si>
    <t>ID: KK, Neljännesvuosi &amp; Tilikausi (KKVV)</t>
  </si>
  <si>
    <t>Liittymismaksut</t>
  </si>
  <si>
    <t>Kk per jakso</t>
  </si>
  <si>
    <t>Liittymismaksut, lisäys (+) / vähennys (-)</t>
  </si>
  <si>
    <t>INVESTOINNIT (-) / REALISOINNIT (+)</t>
  </si>
  <si>
    <t>Laskennalliset poistot</t>
  </si>
  <si>
    <t>Poisto-%</t>
  </si>
  <si>
    <t>(tasapoisto)</t>
  </si>
  <si>
    <t>Kirjanpitoarvo</t>
  </si>
  <si>
    <t>Laskennallinen kirjanpitoarvo</t>
  </si>
  <si>
    <t>Investoinnit</t>
  </si>
  <si>
    <t>Realisoinnit</t>
  </si>
  <si>
    <t>Myyntivoitot (+) / -tappiot (-)</t>
  </si>
  <si>
    <t>Sisäiset</t>
  </si>
  <si>
    <t>Konserni-investoinnit</t>
  </si>
  <si>
    <t>Konsernirealisoinnit</t>
  </si>
  <si>
    <t>Konsernipoistot</t>
  </si>
  <si>
    <t>Konsernimyyntivoitot (+) / -tappiot (-)</t>
  </si>
  <si>
    <t>Konsernikirjanpitoarvo</t>
  </si>
  <si>
    <t>Liikearvo-laskenta</t>
  </si>
  <si>
    <t>Menetelmä</t>
  </si>
  <si>
    <t>Kauppahinta</t>
  </si>
  <si>
    <t>Omistusosuus, %</t>
  </si>
  <si>
    <t>Osakepääoma</t>
  </si>
  <si>
    <t>Ylikurssirahasto</t>
  </si>
  <si>
    <t>Muu sidottu oma pääoma</t>
  </si>
  <si>
    <t>Edellisten tilikausien voitto</t>
  </si>
  <si>
    <t>Tilikauden voitto (tappio)</t>
  </si>
  <si>
    <t>Poistoero</t>
  </si>
  <si>
    <t>Yliarvo ennen verovelkaa</t>
  </si>
  <si>
    <t>Laskennallinen verovelka</t>
  </si>
  <si>
    <t>Yliarvo</t>
  </si>
  <si>
    <t>Kohdistettu yliarvo ennen verovelkaa</t>
  </si>
  <si>
    <t xml:space="preserve">Kohdistettu erä </t>
  </si>
  <si>
    <t>Poisto</t>
  </si>
  <si>
    <t>Tasearvo</t>
  </si>
  <si>
    <t>Kohdistettu verovelka</t>
  </si>
  <si>
    <t>Kohdistettu yliarvo yhteensä</t>
  </si>
  <si>
    <t>Syntyvä liikearvo</t>
  </si>
  <si>
    <t>Kumulatiivinen poistamaton liikearvo</t>
  </si>
  <si>
    <t>Konserniliikearvo</t>
  </si>
  <si>
    <t>Oman pääoman korjaus</t>
  </si>
  <si>
    <t>Yritysostorahoitus</t>
  </si>
  <si>
    <t>Oma pääoma</t>
  </si>
  <si>
    <t>Korollinen vieras pääoma</t>
  </si>
  <si>
    <t>Lyhennykset</t>
  </si>
  <si>
    <t>Rahoituskulut</t>
  </si>
  <si>
    <t>TULOSLASKELMA</t>
  </si>
  <si>
    <t>Tuotot eriteltynä:</t>
  </si>
  <si>
    <t>Tuotot</t>
  </si>
  <si>
    <t>Muuttuvat kulut</t>
  </si>
  <si>
    <t>Aineet, tarvikkeet ja tavarat</t>
  </si>
  <si>
    <t>Ulkopuoliset palvelut</t>
  </si>
  <si>
    <t>Henkilöstökulut</t>
  </si>
  <si>
    <t>Muut muuttuvat kulut</t>
  </si>
  <si>
    <t>Myyntikate</t>
  </si>
  <si>
    <t>Kiinteät kulut</t>
  </si>
  <si>
    <t>Vuokrat</t>
  </si>
  <si>
    <t>Muut kiinteät kulut</t>
  </si>
  <si>
    <t>Varaukset, lisäys (-) / vähennys (+)</t>
  </si>
  <si>
    <t>EBITDA; Liikevoitto ennen poistoja</t>
  </si>
  <si>
    <t>Liikearvopoistot</t>
  </si>
  <si>
    <t>Muut poistot</t>
  </si>
  <si>
    <t>EBIT; Liikevoitto</t>
  </si>
  <si>
    <t>Rahoitustuotot ja -kulut</t>
  </si>
  <si>
    <t>Rahoitustuotot ja -kulut, Rahoitustiedosto</t>
  </si>
  <si>
    <t>EBT; Tulos rahoituserien jälkeen</t>
  </si>
  <si>
    <t>Satunnaiset tuotot ja kulut</t>
  </si>
  <si>
    <t>Myyntivoitto (-tappio)</t>
  </si>
  <si>
    <t>Muut satunnaiset tuotot (-kulut)</t>
  </si>
  <si>
    <t>Tulos ennen tilinpäätössiirtoja ja veroja</t>
  </si>
  <si>
    <t>Tilinpäätössiirrot, lisäys (-) / vähennys (+)</t>
  </si>
  <si>
    <t>Poistot yli (-) / ali (+) laskennallisten poistojen</t>
  </si>
  <si>
    <t>Välittömät verot</t>
  </si>
  <si>
    <t>Laskennalliset verot</t>
  </si>
  <si>
    <t>Vähemmistöosuudet</t>
  </si>
  <si>
    <t>Kauden voitto (tappio)</t>
  </si>
  <si>
    <t>Investointikohde</t>
  </si>
  <si>
    <t>Sitoutuneen pääoman tuotto (RONA), %</t>
  </si>
  <si>
    <t>Taloudellinen lisäarvo (EVA)</t>
  </si>
  <si>
    <t>Diskontattu taloudellinen lisäarvo (DCVA)</t>
  </si>
  <si>
    <t>Kumulatiivinen diskontattu taloudellinen lisäarvo</t>
  </si>
  <si>
    <t>Liikevoitto</t>
  </si>
  <si>
    <t>Nettoliikevoitto verojen jälkeen</t>
  </si>
  <si>
    <t>Konserni</t>
  </si>
  <si>
    <t>Investointikohteen tulos ennen veroja</t>
  </si>
  <si>
    <t>Rahoituserät ja satunnaiset erät</t>
  </si>
  <si>
    <t>Kokonaisverovaikutus</t>
  </si>
  <si>
    <t>Konsernitulos ennen vähemmistöosuutta</t>
  </si>
  <si>
    <t>Vähemmistöosuus</t>
  </si>
  <si>
    <t>Konsernitulosvaikutus (kum. tilikausi)</t>
  </si>
  <si>
    <t>Konserni: Sitoutuneen pääoman tuotto (RONA), %</t>
  </si>
  <si>
    <t>Konserni: Taloudellinen lisäarvo (EVA)</t>
  </si>
  <si>
    <t>Konserni: Diskontattu taloudellinen lisäarvo (DCVA)</t>
  </si>
  <si>
    <t>Konserni: Kumulatiivinen diskontattu taloudellinen lisäarvo</t>
  </si>
  <si>
    <t>Konserni: Liikevoitto</t>
  </si>
  <si>
    <t>Konserni: Nettoliikevoitto verojen jälkeen</t>
  </si>
  <si>
    <t>KÄYTTÖPÄÄOMA</t>
  </si>
  <si>
    <t>Rahoitusomaisuus</t>
  </si>
  <si>
    <t>Myyntisaamiset</t>
  </si>
  <si>
    <t>Korjattu myyntisaamiset</t>
  </si>
  <si>
    <t>Muut saamiset</t>
  </si>
  <si>
    <t>Minimikassa</t>
  </si>
  <si>
    <t>Minimikassan muutos, lisäys (-)/vähennys (+)</t>
  </si>
  <si>
    <t>Vaihto-omaisuus</t>
  </si>
  <si>
    <t>Lyhytaikaiset velat</t>
  </si>
  <si>
    <t>Ostovelat</t>
  </si>
  <si>
    <t>Korjattu ostovelat</t>
  </si>
  <si>
    <t>Muut lyhytaikaiset velat</t>
  </si>
  <si>
    <t>Muutos, muut lyhytaik. velat, lisäys (+)/väh. (-)</t>
  </si>
  <si>
    <t>Lyhytaikaisten velkojen lisäys (+)/vähennys (-)</t>
  </si>
  <si>
    <t>Käyttöpääomamuutos yhteensä</t>
  </si>
  <si>
    <t>Nettokäyttöpääoma</t>
  </si>
  <si>
    <t>KASSAVIRTALASKELMA</t>
  </si>
  <si>
    <t>Liiketoiminnan kassavirta</t>
  </si>
  <si>
    <t>Käyttöpääomamuutokset</t>
  </si>
  <si>
    <t>Hyödykeinvestoinnit ja -realisoinnit</t>
  </si>
  <si>
    <t>Konsernierät</t>
  </si>
  <si>
    <t>Yritysostot ja -realisoinnit</t>
  </si>
  <si>
    <t>Verovaikutukset</t>
  </si>
  <si>
    <t>Laskentakorko (vuotuinen)</t>
  </si>
  <si>
    <t>Informaatio</t>
  </si>
  <si>
    <t>Käyttöarvo</t>
  </si>
  <si>
    <t>Rahoituskassavirrat</t>
  </si>
  <si>
    <t>Rahoituserien verovaikutuksen oikaisu</t>
  </si>
  <si>
    <t>Vieraan pääoman lisäykset (+) / lyhenn. (-)</t>
  </si>
  <si>
    <t>Muutokset, korollinen vieras pääoma</t>
  </si>
  <si>
    <t>Muutokset vieraassa pääomassa, Rahoitustiedosto</t>
  </si>
  <si>
    <t>Yritysostovelan muutokset</t>
  </si>
  <si>
    <t>Muutokset, koroton vieras pääoma</t>
  </si>
  <si>
    <t>Lyhytaikaisten lainojen muutokset</t>
  </si>
  <si>
    <t>Vapaa kassavirta omalle pääomalle (FCFE)</t>
  </si>
  <si>
    <t>Diskontattu vapaa kassavirta omalle pääomalle (DFCFE)</t>
  </si>
  <si>
    <t>Kumulatiivinen diskontattu vapaa kassavirta omalle pääomalle</t>
  </si>
  <si>
    <t>Oman pääoman tuottovaatimus (vuotuinen)</t>
  </si>
  <si>
    <t>Oman pääoman lisäykset (+) / osingot (-)</t>
  </si>
  <si>
    <t>Osakepääomalisäykset</t>
  </si>
  <si>
    <t>Muutokset ylikurssirahastossa</t>
  </si>
  <si>
    <t>Muutokset muussa sidotussa omassa pääomassa</t>
  </si>
  <si>
    <t>Muutokset emoyhtiön omassa pääomassa</t>
  </si>
  <si>
    <t>Muutokset vapaassa omassa pääomassa</t>
  </si>
  <si>
    <t>Kokonaiskassavirta</t>
  </si>
  <si>
    <t>Kumulatiivinen kokonaiskassavirta</t>
  </si>
  <si>
    <t>TASE</t>
  </si>
  <si>
    <t>VASTAAVAA</t>
  </si>
  <si>
    <t>Avaava tase</t>
  </si>
  <si>
    <t>Käyttöomaisuus ja muut pitkäaikaiset sijoitukset</t>
  </si>
  <si>
    <t>Aineettomat hyödykkeet</t>
  </si>
  <si>
    <t>Aineettomat oikeudet</t>
  </si>
  <si>
    <t>Aineettomat oikeudet (eritellyt)</t>
  </si>
  <si>
    <t>- Poisto</t>
  </si>
  <si>
    <t>Aktivoidut kehityskulut</t>
  </si>
  <si>
    <t>Aktivoidut kehityskulut (eritellyt)</t>
  </si>
  <si>
    <t>Liikearvo</t>
  </si>
  <si>
    <t>Liikearvo (eritellyt)</t>
  </si>
  <si>
    <t>Muut aineettomat hyödykkeet</t>
  </si>
  <si>
    <t>Muut aineettomat hyödykkeet (eritellyt)</t>
  </si>
  <si>
    <t>Aineelliset hyödykkeet</t>
  </si>
  <si>
    <t>Koneet ja kalusto</t>
  </si>
  <si>
    <t>Koneet ja kalusto (eritellyt)</t>
  </si>
  <si>
    <t>Rakennukset ja rakennelmat</t>
  </si>
  <si>
    <t>Rakennukset ja rakennelmat (eritellyt)</t>
  </si>
  <si>
    <t>Maa- ja vesialueet</t>
  </si>
  <si>
    <t>Maa- ja vesialueet (eritellyt)</t>
  </si>
  <si>
    <t>Ennakkomaksut ja keskeneräiset hankinnat</t>
  </si>
  <si>
    <t>Ennakkomaksut ja keskeneräiset hankinnat (eritellyt)</t>
  </si>
  <si>
    <t>Muut aineelliset hyödykkeet</t>
  </si>
  <si>
    <t>Muut aineelliset hyödykkeet (eritellyt)</t>
  </si>
  <si>
    <t>Sijoitukset</t>
  </si>
  <si>
    <t>Osuudet osakkuusyhtiöissä</t>
  </si>
  <si>
    <t>Osuudet osakkuusyhtiöissä (eritellyt)</t>
  </si>
  <si>
    <t>Laskennalliset verosaamiset</t>
  </si>
  <si>
    <t>Laskennalliset verosaamiset (eritellyt)</t>
  </si>
  <si>
    <t>Pitkäaikaiset korolliset saamiset</t>
  </si>
  <si>
    <t>Pitkäaikaiset korolliset saamiset (eritellyt)</t>
  </si>
  <si>
    <t>Muut sijoitukset</t>
  </si>
  <si>
    <t>Muut sijoitukset (eritellyt)</t>
  </si>
  <si>
    <t>Käyttöomaisuus yhteensä</t>
  </si>
  <si>
    <t>Vaihto- ja rahoitusomaisuus</t>
  </si>
  <si>
    <t>Rahat ja pankkisaamiset</t>
  </si>
  <si>
    <t>Vaihto- ja rahoitusomaisuus yhteensä</t>
  </si>
  <si>
    <t>Konserniliikearvo (yritysosto)</t>
  </si>
  <si>
    <t>Rahat ja pankkisaamiset, emoyhtiö</t>
  </si>
  <si>
    <t>KONSERNIVASTAAVAA</t>
  </si>
  <si>
    <t>VASTATTAVAA</t>
  </si>
  <si>
    <t>Oma pääoma yhteensä</t>
  </si>
  <si>
    <t>Tilinpäätössiirtojen kertymä</t>
  </si>
  <si>
    <t>Varaukset</t>
  </si>
  <si>
    <t>Vieras pääoma</t>
  </si>
  <si>
    <t>Pitkäaikainen vieras pääoma</t>
  </si>
  <si>
    <t>Korollinen pitkäaikainen vieras pääoma</t>
  </si>
  <si>
    <t>Koroton pitkäaikainen vieras pääoma</t>
  </si>
  <si>
    <t>Laskennalliset verovelat</t>
  </si>
  <si>
    <t>Lyhytaikainen vieras pääoma</t>
  </si>
  <si>
    <t>Korollinen lyhytaikainen vieras pääoma</t>
  </si>
  <si>
    <t>Lyhytaikaiset lainat</t>
  </si>
  <si>
    <t>Pitkäaikaisten lainojen lyhytaikainen osuus</t>
  </si>
  <si>
    <t>Koroton lyhytaikainen vieras pääoma</t>
  </si>
  <si>
    <t>Muu koroton lyhytaikainen velka</t>
  </si>
  <si>
    <t>Kertyneet investointimenot</t>
  </si>
  <si>
    <t>Vieras pääoma yhteensä</t>
  </si>
  <si>
    <t>Tarkistus, vastattavaa - vastaavaa</t>
  </si>
  <si>
    <t>KONSERNIVASTATTAVAA</t>
  </si>
  <si>
    <t>Tarkistus, vastattavaa - vastaavaa (konsernitase)</t>
  </si>
  <si>
    <t>Arvonalentumistesti</t>
  </si>
  <si>
    <t>Omaisuuserän kirjanpitoarvo</t>
  </si>
  <si>
    <t>Tarkistusarvo (+ kasvupääoma / - arvonalennustappio)</t>
  </si>
  <si>
    <t>TUNNUSLUVUT</t>
  </si>
  <si>
    <t>Månad</t>
  </si>
  <si>
    <t>Kvartal</t>
  </si>
  <si>
    <t>År</t>
  </si>
  <si>
    <t>Skatte-%</t>
  </si>
  <si>
    <t>ID: Mån., Kvartal &amp; Bokslut (MMÅÅ)</t>
  </si>
  <si>
    <t>Anslutningsavgifter</t>
  </si>
  <si>
    <t>Mån. per period</t>
  </si>
  <si>
    <t>INVESTERINGAR (-) / REALISERINGAR (+)</t>
  </si>
  <si>
    <t>Kalkylmässig avskrivning</t>
  </si>
  <si>
    <t>Avskr.-%</t>
  </si>
  <si>
    <t>Bokföringsvärde</t>
  </si>
  <si>
    <t>Kalkylmässigt bokföringsvärde</t>
  </si>
  <si>
    <t>Investeringar</t>
  </si>
  <si>
    <t>Realiseringar</t>
  </si>
  <si>
    <t>Avskrivningar</t>
  </si>
  <si>
    <t>Realiseringsvinster (+) / -förluster (-)</t>
  </si>
  <si>
    <t>Interna</t>
  </si>
  <si>
    <t>Kalkylerat bokföringsvärde</t>
  </si>
  <si>
    <t>Koncerninvesteringar</t>
  </si>
  <si>
    <t>Koncernrealiseringar</t>
  </si>
  <si>
    <t>Koncernavskrivningar</t>
  </si>
  <si>
    <t>Koncernrealiseringsvinster (+) / -förluster (-)</t>
  </si>
  <si>
    <t>Koncernbokföringsvärde</t>
  </si>
  <si>
    <t>Goodwill-kalkyl</t>
  </si>
  <si>
    <t>Metod</t>
  </si>
  <si>
    <t>Inköpspris</t>
  </si>
  <si>
    <t>Andel, %</t>
  </si>
  <si>
    <t>Aktiekapital</t>
  </si>
  <si>
    <t>Överkursfond</t>
  </si>
  <si>
    <t>Övrigt bundet eget kapital</t>
  </si>
  <si>
    <t>Fritt eget kapital</t>
  </si>
  <si>
    <t>Räkenskapsperiodens vinst (förlust)</t>
  </si>
  <si>
    <t>Avskrivningsdifferens</t>
  </si>
  <si>
    <t>Övervärde före skatt</t>
  </si>
  <si>
    <t>Uppskjuten skatt</t>
  </si>
  <si>
    <t>Övervärde</t>
  </si>
  <si>
    <t xml:space="preserve">Belopp allokerat på </t>
  </si>
  <si>
    <t>Balansvärde</t>
  </si>
  <si>
    <t>Allokerad uppskjuten skatt</t>
  </si>
  <si>
    <t>Summa allokerat övervärde</t>
  </si>
  <si>
    <t>Kumulativ oavskriven goodwill</t>
  </si>
  <si>
    <t>Koncern goodwill</t>
  </si>
  <si>
    <t>Korrigering av eget kapital</t>
  </si>
  <si>
    <t>Finansiering av förvärv</t>
  </si>
  <si>
    <t>Eget kapital</t>
  </si>
  <si>
    <t>Räntebärande långfristigt främmande kapital</t>
  </si>
  <si>
    <t>Amorteringar</t>
  </si>
  <si>
    <t>Finansieringskostnader</t>
  </si>
  <si>
    <t>RESULTATRÄKNING</t>
  </si>
  <si>
    <t>Intäkter</t>
  </si>
  <si>
    <t>Rörliga kostnader</t>
  </si>
  <si>
    <t>Material, förnödenheter och varor</t>
  </si>
  <si>
    <t>Tjänster av utomstående</t>
  </si>
  <si>
    <t>Personalkostnader</t>
  </si>
  <si>
    <t>Övriga rörliga kostnader</t>
  </si>
  <si>
    <t>Försäljningsbidrag</t>
  </si>
  <si>
    <t>Fasta kostnader</t>
  </si>
  <si>
    <t>Hyror</t>
  </si>
  <si>
    <t>Övriga fasta kostnader</t>
  </si>
  <si>
    <t>Avsättningar, ökning (-) / minskning (+)</t>
  </si>
  <si>
    <t>EBITDA; Rörelseresultat före avskrivningar</t>
  </si>
  <si>
    <t>Goodwill-avskrivningar</t>
  </si>
  <si>
    <t>Övriga investeringar</t>
  </si>
  <si>
    <t>EBIT; Rörelseresultat</t>
  </si>
  <si>
    <t>Finansiella intäkter och kostnader</t>
  </si>
  <si>
    <t>Finansiella intäkter och kostnader, Finansieringsfil</t>
  </si>
  <si>
    <t>EBT; Resultat efter finansiella poster</t>
  </si>
  <si>
    <t>Extraordinära intäkter och kostnader</t>
  </si>
  <si>
    <t>Övriga extraordinära intäkter (-kostnader)</t>
  </si>
  <si>
    <t>Resultat före bokslutsdispositioner och skatter</t>
  </si>
  <si>
    <t>Bokslutsdispositioner, ökning (-) / minskning (+)</t>
  </si>
  <si>
    <t>Avskrivningar utöver (-) / under (+) kalkylmässiga</t>
  </si>
  <si>
    <t>Direkta skatter</t>
  </si>
  <si>
    <t>Uppskjutna skatter</t>
  </si>
  <si>
    <t>Minoritetsandelar</t>
  </si>
  <si>
    <t>Periodens vinst (förlust)</t>
  </si>
  <si>
    <t>Investeringsobjektet</t>
  </si>
  <si>
    <t>Avkastning på nettokapital (RONA), %</t>
  </si>
  <si>
    <t>Ekonomiskt mervärde (EVA)</t>
  </si>
  <si>
    <t>Diskonterat ekonomiskt mervärde (DCVA)</t>
  </si>
  <si>
    <t>Kumulativt diskonterat ekonomiskt mervärde</t>
  </si>
  <si>
    <t>Rörelsevinst</t>
  </si>
  <si>
    <t>Nettorörelsevinst efter skatt</t>
  </si>
  <si>
    <t>Koncern</t>
  </si>
  <si>
    <t>Investeringsobjektets resultat före skatt</t>
  </si>
  <si>
    <t>Finansieringsposter och extraordinära poster</t>
  </si>
  <si>
    <t>Total skatte-effekt</t>
  </si>
  <si>
    <t>Koncernresultat före minoritetsandel</t>
  </si>
  <si>
    <t>Minoritetsandel</t>
  </si>
  <si>
    <t>Koncernresultateffekt (kum. räkenskapsperiod)</t>
  </si>
  <si>
    <t>Koncern: Avkastning på nettokapital (RONA), %</t>
  </si>
  <si>
    <t>Koncern: Ekonomiskt mervärde (EVA)</t>
  </si>
  <si>
    <t>Koncern: Diskonterat ekonomiskt mervärde (DCVA)</t>
  </si>
  <si>
    <t>Koncern: Kumulativt diskonterat ekonomiskt mervärde</t>
  </si>
  <si>
    <t>Koncern: Rörelsevinst</t>
  </si>
  <si>
    <t>Koncern: Nettorörelsevinst efter skatt</t>
  </si>
  <si>
    <t>RÖRELSEKAPITAL</t>
  </si>
  <si>
    <t>Övriga fordringar</t>
  </si>
  <si>
    <t>Förändring i övriga fordringar</t>
  </si>
  <si>
    <t>Minimikassa, ökning (-)/minskning (+)</t>
  </si>
  <si>
    <t>Lager</t>
  </si>
  <si>
    <t>Lager, ökning (-)/minskning (+)</t>
  </si>
  <si>
    <t>Kortfristiga skulder</t>
  </si>
  <si>
    <t>Leverantörsskulder</t>
  </si>
  <si>
    <t>Korrigerade leverantörsskulder</t>
  </si>
  <si>
    <t>Övriga kortfristiga skulder</t>
  </si>
  <si>
    <t>Förändring i övriga kortfr. skulder, ökning (+)/minskn. (-)</t>
  </si>
  <si>
    <t>Kortfristiga skulder, ökning (+)/minskn. (-)</t>
  </si>
  <si>
    <t>Förändring i rörelsekapital</t>
  </si>
  <si>
    <t>Nettorörelsekapital</t>
  </si>
  <si>
    <t>KASSAFLÖDESANALYS</t>
  </si>
  <si>
    <t>Rörelsens kassaflöde</t>
  </si>
  <si>
    <t>Förändringar i rörelsekapital</t>
  </si>
  <si>
    <t>Tillgångsinvesteringar och -realiseringar</t>
  </si>
  <si>
    <t>Koncernposter</t>
  </si>
  <si>
    <t>Företagsköp och -realiseringar</t>
  </si>
  <si>
    <t>Skatte-effekter</t>
  </si>
  <si>
    <t>Diskonteringsränta (per annum)</t>
  </si>
  <si>
    <t>Nyttjandevärde</t>
  </si>
  <si>
    <t>Finansiella kassaströmmar</t>
  </si>
  <si>
    <t>Rättelse av skatteeffekt av finansiella poster</t>
  </si>
  <si>
    <t>Främmande kapital, ökning (+) / amort. (-)</t>
  </si>
  <si>
    <t>Förändring i räntebärande främmande kapital</t>
  </si>
  <si>
    <t>Förändringar i främmande kapital, Finansieringsfil</t>
  </si>
  <si>
    <t>Förändring i lån för företagsköp</t>
  </si>
  <si>
    <t>Förändring i räntefritt främmande kapital</t>
  </si>
  <si>
    <t>Förändring i kortfristiga lån</t>
  </si>
  <si>
    <t>Fritt kassaflöde till eget kapital (FCFE)</t>
  </si>
  <si>
    <t>Diskonterat fritt kassaflöde till eget kapital (DFCFE)</t>
  </si>
  <si>
    <t>Kumulativt diskonterat fritt kassaflöde till eget kapital</t>
  </si>
  <si>
    <t>Avkastningskrav på eget kapital (per annum)</t>
  </si>
  <si>
    <t>Eget kapital, ökning (+) / utdelning (-)</t>
  </si>
  <si>
    <t>Aktiekapitalökningar</t>
  </si>
  <si>
    <t>Förändring i överkursfond</t>
  </si>
  <si>
    <t>Förändring i övrigt bundet eget kapital</t>
  </si>
  <si>
    <t>Förändringar i moderbolagets eget kapital</t>
  </si>
  <si>
    <t>Förändring i fritt eget kapital</t>
  </si>
  <si>
    <t>Totalt kassaflöde</t>
  </si>
  <si>
    <t>Kumulativt totalkassaflöde</t>
  </si>
  <si>
    <t>BALANSRÄKNING</t>
  </si>
  <si>
    <t>TILLGÅNGAR</t>
  </si>
  <si>
    <t>Ingående balans</t>
  </si>
  <si>
    <t>Anläggningstillgångar och övriga långfristiga tillgångar</t>
  </si>
  <si>
    <t>Immateriella tillgångar</t>
  </si>
  <si>
    <t>Immateriella rättigheter</t>
  </si>
  <si>
    <t>Immateriella rättigheter (specificerade)</t>
  </si>
  <si>
    <t>- Avskrivning</t>
  </si>
  <si>
    <t>Aktiverade utvecklingskostnader</t>
  </si>
  <si>
    <t>Aktiverade utvecklingskostnader (specificerade)</t>
  </si>
  <si>
    <t>Goodwill (specifiserad)</t>
  </si>
  <si>
    <t>Övriga immateriella tillgångar</t>
  </si>
  <si>
    <t>Övriga immateriella tillgångar (specificerade)</t>
  </si>
  <si>
    <t>Materiella tillgångar</t>
  </si>
  <si>
    <t>Maskiner och utrustning</t>
  </si>
  <si>
    <t>Maskiner och utrustning (specificerade)</t>
  </si>
  <si>
    <t>Byggnader och konstruktioner</t>
  </si>
  <si>
    <t>Byggnader och konstruktioner (specificerade)</t>
  </si>
  <si>
    <t>Land- och vattenområden</t>
  </si>
  <si>
    <t>Land- och vattenområden (specificerade)</t>
  </si>
  <si>
    <t>Förskottsbet. och pågående nyanläggningar</t>
  </si>
  <si>
    <t>Förskottsbet. och pågående nyanläggningar (specificerade)</t>
  </si>
  <si>
    <t>Övriga materiella tillgångar</t>
  </si>
  <si>
    <t>Övriga materiella tillgångar (specificerade)</t>
  </si>
  <si>
    <t>Placeringar</t>
  </si>
  <si>
    <t>Andelar i delägarbolag</t>
  </si>
  <si>
    <t>Andelar i delägarbolag (specificerade)</t>
  </si>
  <si>
    <t>Kalkylmässiga skattefordringar</t>
  </si>
  <si>
    <t>Kalkylmässiga skattefordringar (specificerade)</t>
  </si>
  <si>
    <t>Räntebärande långfristiga fordringar</t>
  </si>
  <si>
    <t>Räntebärande långfristiga fordringar (specificerade)</t>
  </si>
  <si>
    <t>Övriga placeringar</t>
  </si>
  <si>
    <t>Övriga placeringar (specificerade)</t>
  </si>
  <si>
    <t>Anläggningstillgångar totalt</t>
  </si>
  <si>
    <t>Omsättningstillgångar</t>
  </si>
  <si>
    <t>Varulager</t>
  </si>
  <si>
    <t>Kassa och banktillgodohavanden</t>
  </si>
  <si>
    <t>Omsättningstillgångar totalt</t>
  </si>
  <si>
    <t>Kassa och banktillgodohavanden, moderbolag</t>
  </si>
  <si>
    <t>KONCERNTILLGÅNGAR</t>
  </si>
  <si>
    <t>EGET KAPITAL OCH SKULDER</t>
  </si>
  <si>
    <t xml:space="preserve">Eget kapital </t>
  </si>
  <si>
    <t>Eget kapital totalt</t>
  </si>
  <si>
    <t>Bokslutsdispositioner</t>
  </si>
  <si>
    <t>Avsättningar</t>
  </si>
  <si>
    <t>Främmande kapital</t>
  </si>
  <si>
    <t>Långfristigt främmande kapital</t>
  </si>
  <si>
    <t>Räntefritt långfristigt främmande kapital</t>
  </si>
  <si>
    <t>Uppskjutna skatteskulder</t>
  </si>
  <si>
    <t>Kortfristigt främmande kapital</t>
  </si>
  <si>
    <t>Räntebärande kortfristigt främmande kapital</t>
  </si>
  <si>
    <t>Kortfristiga lån</t>
  </si>
  <si>
    <t>Kortfristig andel av långfristiga lån</t>
  </si>
  <si>
    <t>Övrigt räntefritt kortfristigt främmande kapital</t>
  </si>
  <si>
    <t>Upplupna investeringsutgifter</t>
  </si>
  <si>
    <t>Kalkylerad skatteskuld</t>
  </si>
  <si>
    <t>Främmande kapital totalt</t>
  </si>
  <si>
    <t>Kontroll: Eget kapital och skulder - Tillgångar</t>
  </si>
  <si>
    <t>Kalkylmässig skatteskuld</t>
  </si>
  <si>
    <t>KONCERN EGET KAPITAL OCH SKULDER</t>
  </si>
  <si>
    <t>Kontroll: Eget kapital och skulder - Tillgångar (koncern)</t>
  </si>
  <si>
    <t>Nedskrivningsprövning</t>
  </si>
  <si>
    <t>Egendomspostens bokföringsvärde</t>
  </si>
  <si>
    <t>Kontrollvärde (+ tillväxtkapital / - värdeminskningsförlust)</t>
  </si>
  <si>
    <t>NYCKELTAL</t>
  </si>
  <si>
    <t>Vierteljahr</t>
  </si>
  <si>
    <t>Steuer-%</t>
  </si>
  <si>
    <t>Periode</t>
  </si>
  <si>
    <t>ID: MM, Vierteljahr &amp; Rechnungsperiode (MMJJ)</t>
  </si>
  <si>
    <t>Anschlussgebühren</t>
  </si>
  <si>
    <t>Monate pro Periode</t>
  </si>
  <si>
    <t>INVESTITIONEN (-) / REALISATIONEN (+)</t>
  </si>
  <si>
    <t>Kalkulatorische Abschreibung</t>
  </si>
  <si>
    <t>Abschr.-%</t>
  </si>
  <si>
    <t>(linear)</t>
  </si>
  <si>
    <t>Buchwert</t>
  </si>
  <si>
    <t>Kalkulatorischer Buchwert</t>
  </si>
  <si>
    <t>Investitionen</t>
  </si>
  <si>
    <t>Realisationen</t>
  </si>
  <si>
    <t>Abschreibungen</t>
  </si>
  <si>
    <t>Verkaufsgewinn (+) / -verlust (-)</t>
  </si>
  <si>
    <t>Interne</t>
  </si>
  <si>
    <t>Konzerninvestitionen</t>
  </si>
  <si>
    <t>Konzernrealisationen</t>
  </si>
  <si>
    <t>Konzernabschreibungen</t>
  </si>
  <si>
    <t>Konzernverkaufsgewinn (+) / -verlust (-)</t>
  </si>
  <si>
    <t>Konzernbuchwert</t>
  </si>
  <si>
    <t>Geschäftswertberechnung</t>
  </si>
  <si>
    <t>Methode</t>
  </si>
  <si>
    <t>Kaufpreis</t>
  </si>
  <si>
    <t>Vermögensbeteiligung, %</t>
  </si>
  <si>
    <t>Aktienkapital</t>
  </si>
  <si>
    <t>Eigenkapital Fond</t>
  </si>
  <si>
    <t>Sonstiges gebundenes Eigenkapital</t>
  </si>
  <si>
    <t>Gewinnvortrag</t>
  </si>
  <si>
    <t>Gewinn (Verlust) der Periode</t>
  </si>
  <si>
    <t>Differenz zwischen plan- und buchmäßigen Abschreibungen</t>
  </si>
  <si>
    <t>Überwert vor Steuerschuld</t>
  </si>
  <si>
    <t>Latente Steuerschuld</t>
  </si>
  <si>
    <t>Überwert</t>
  </si>
  <si>
    <t>Verteilter Überwert vor Steuern</t>
  </si>
  <si>
    <t xml:space="preserve">Verteilter Betrag für </t>
  </si>
  <si>
    <t>Saldo</t>
  </si>
  <si>
    <t>Verteilte latente Steuerschuld</t>
  </si>
  <si>
    <t>Gesamter verteilter Überwert</t>
  </si>
  <si>
    <t>Resultierender Geschäftswert</t>
  </si>
  <si>
    <t>Kumulativer Restbuchwert des Geschäftswertes</t>
  </si>
  <si>
    <t>Konzerngeschäftswert</t>
  </si>
  <si>
    <t>Korrektur für Eigenkapital</t>
  </si>
  <si>
    <t>Unternehmenskauf Finanzierung</t>
  </si>
  <si>
    <t>Eigenkapital</t>
  </si>
  <si>
    <t>Verzinsliches Fremdkapital</t>
  </si>
  <si>
    <t>Abzahlungen</t>
  </si>
  <si>
    <t>Finanzierungsaufwendungen</t>
  </si>
  <si>
    <t>GEWINN- UND VERLUSTRECHNUNG</t>
  </si>
  <si>
    <t>Erträge, spezifiert:</t>
  </si>
  <si>
    <t>Erträge</t>
  </si>
  <si>
    <t>Variable Kosten</t>
  </si>
  <si>
    <t>Aufw. für Roh-, Hilfs-, Betriebsstoffe u. Waren</t>
  </si>
  <si>
    <t>Aufw. für bezogene Leistungen</t>
  </si>
  <si>
    <t>Personalkosten</t>
  </si>
  <si>
    <t>Sonstige direkte Kosten</t>
  </si>
  <si>
    <t>Deckungsbeitrag 1</t>
  </si>
  <si>
    <t>Fixe Kosten</t>
  </si>
  <si>
    <t>Mieten</t>
  </si>
  <si>
    <t>Sonstige Gemeinkosten</t>
  </si>
  <si>
    <t>EBITDA; Ergebnis vor Zinsen, Steuern, Abschreibungen</t>
  </si>
  <si>
    <t>Abschreibungen beim Geschäftswert</t>
  </si>
  <si>
    <t>Sonstige Abschreibungen</t>
  </si>
  <si>
    <t>EBIT; Ergebnis vor Zinsen und Steuern</t>
  </si>
  <si>
    <t>Finanzierungseinkünfte und -kosten</t>
  </si>
  <si>
    <t>Finanzierungseinkünfte und -kosten, Finanzierungsdatei</t>
  </si>
  <si>
    <t>EBT; Ergebnis 1 vor Steuern</t>
  </si>
  <si>
    <t>Ausserordentliche Erträge und Aufwendungen</t>
  </si>
  <si>
    <t>Verkaufsgewinn (-verlust)</t>
  </si>
  <si>
    <t>Abschreibung über (-) / unter (+) kalkulatorische</t>
  </si>
  <si>
    <t>Latente Steuern</t>
  </si>
  <si>
    <t>Minderheitsanteil</t>
  </si>
  <si>
    <t>Gewinn (Verlust)</t>
  </si>
  <si>
    <t>Investitionsprojekt</t>
  </si>
  <si>
    <t xml:space="preserve">Ertrag Nettokapital (RONA),  % </t>
  </si>
  <si>
    <t>Wertbeitrag (EVA)</t>
  </si>
  <si>
    <t>Diskontierter Wertbeitrag (DCVA)</t>
  </si>
  <si>
    <t>Kumulierter diskontierter Wertbeitrag</t>
  </si>
  <si>
    <t>Betriebsergebnis</t>
  </si>
  <si>
    <t>Nettogeschäftsgewinn nach Steuern</t>
  </si>
  <si>
    <t>Konzern</t>
  </si>
  <si>
    <t>Ergebnis des Investitionsobjekts vor Steuern</t>
  </si>
  <si>
    <t>Finanzierungsposten und außerordentliche Posten</t>
  </si>
  <si>
    <t>Gesamtsteuereffekt</t>
  </si>
  <si>
    <t>Einfluss des Gruppenergebnisses vor Minderheitsanteil</t>
  </si>
  <si>
    <t>Konzernergebniseffekt (kumul. Geschäftsjahr)</t>
  </si>
  <si>
    <t>Konzern: Ertrag durch gebundenes Kapital (RONA), %</t>
  </si>
  <si>
    <t>Konzern: Wertbeitrag (EVA)</t>
  </si>
  <si>
    <t>Konzern: Diskontierter Wertbeitrag (DCVA)</t>
  </si>
  <si>
    <t>Konzern: Kumulierter diskontierter Wertbeitrag</t>
  </si>
  <si>
    <t>Konzern: Geschäftsgewinn</t>
  </si>
  <si>
    <t>Konzern: Nettogeschäftsgewinn nach Steuern</t>
  </si>
  <si>
    <t>Finanzielles Umlaufvermögen</t>
  </si>
  <si>
    <t>Zahlungziel der Forder. aus Lief. u. Leist., Tage</t>
  </si>
  <si>
    <t>Forderungen aus Lief. und Leist.</t>
  </si>
  <si>
    <t>Forderungen aus Lief. und Leist., korrigiert</t>
  </si>
  <si>
    <t>Andere Forderungen</t>
  </si>
  <si>
    <t>Veränderung, andere Forderungen, Zu- (-) / Abnahme (+)</t>
  </si>
  <si>
    <t>Mindestliquidität</t>
  </si>
  <si>
    <t>Mindestkassenbestand, Zunahme (-) / Abnahme (+)</t>
  </si>
  <si>
    <t>Vorräte</t>
  </si>
  <si>
    <t>Verbindlichkeiten</t>
  </si>
  <si>
    <t>Durchschnittliche Zahlungsdauer, Tage</t>
  </si>
  <si>
    <t>Verbindlichkeiten aus Lief. und Leist. (LuL)</t>
  </si>
  <si>
    <t>Verbindlichkeiten aus LuL, korrigiert</t>
  </si>
  <si>
    <t>Veränderung, Verbindlichk. aus LuL, Zu- (+) / Abnahme (-)</t>
  </si>
  <si>
    <t>Sonstige kurzfristige Verbindlichkeiten</t>
  </si>
  <si>
    <t>Veränderung, Sonstige kfr. Verbindlichk., Zu- (+) / Abnahme (-)</t>
  </si>
  <si>
    <t>Working Capital</t>
  </si>
  <si>
    <t>CASH FLOW-RECHNUNG</t>
  </si>
  <si>
    <t>Betrieblicher Cash Flow</t>
  </si>
  <si>
    <t>Außerordentliche Erträge und Aufwendungen</t>
  </si>
  <si>
    <t>Investitionen in und Verwertungen von Gütern</t>
  </si>
  <si>
    <t>Konzern Cash Flow</t>
  </si>
  <si>
    <t>Unternehmensaufkäufe und -verwertungen</t>
  </si>
  <si>
    <t>Kalkulationszinsfuß (pro Jahr)</t>
  </si>
  <si>
    <t>Gebrauchswert</t>
  </si>
  <si>
    <t>Finanzieller Cash Flow</t>
  </si>
  <si>
    <t>Steuerkorrektur fur Finanzierungskosten /-ertrage</t>
  </si>
  <si>
    <t>Fremdkapital, Erhöh. (+) / Tilgung (-)</t>
  </si>
  <si>
    <t>Veränderungen, verzinsliches Fremdkapital</t>
  </si>
  <si>
    <t>Änderungen im Fremdkapital, Finanzierungsdatei</t>
  </si>
  <si>
    <t>Veränderungen bei Verbindlichkeiten aus Unternehmensaufkäufen</t>
  </si>
  <si>
    <t>Veränderungen, unverzinsliches Fremdkapital</t>
  </si>
  <si>
    <t>Änderungen bei kurzfristigen Krediten</t>
  </si>
  <si>
    <t>Free Cash Flow des Eigenkapitals (FCFE)</t>
  </si>
  <si>
    <t>Diskontierter Free Cash Flow des Eigenkapitals (DFCFE)</t>
  </si>
  <si>
    <t>Diskontierter Free Cash Flow des Eigenkapitals kumuliert</t>
  </si>
  <si>
    <t>Eigenkapitalkosten (Pro Jahr)</t>
  </si>
  <si>
    <t>Eigenkapital, Erhöhung (+) / Dividenden (-)</t>
  </si>
  <si>
    <t>Erhöhung Eigenkapital</t>
  </si>
  <si>
    <t>Veränderung gesetzl. Rücklagen</t>
  </si>
  <si>
    <t>Veränderung sonstige Rücklagen</t>
  </si>
  <si>
    <t>Erhöhung Eigenkapital, Muttergesellschaft</t>
  </si>
  <si>
    <t>Veränderungen der Gewinnrücklagen</t>
  </si>
  <si>
    <t>Gesamt-Cash Flow</t>
  </si>
  <si>
    <t>Kumuliert Gesamt-Cash Flow</t>
  </si>
  <si>
    <t>BILANZ</t>
  </si>
  <si>
    <t>AKTIVA</t>
  </si>
  <si>
    <t>Anfangsbilanz</t>
  </si>
  <si>
    <t>Anlagevermögen</t>
  </si>
  <si>
    <t>Immaterielle Vermögenswerte</t>
  </si>
  <si>
    <t>Immaterielle Rechte</t>
  </si>
  <si>
    <t>Immaterielle Rechte (spezifiert)</t>
  </si>
  <si>
    <t>- Abschreibung</t>
  </si>
  <si>
    <t>Kapitalisierte Entwicklungskosten</t>
  </si>
  <si>
    <t>Kapitalisierte Entwicklungskosten (spezifiert)</t>
  </si>
  <si>
    <t>Geschäftswert</t>
  </si>
  <si>
    <t>Geschäftswert (spezifiert)</t>
  </si>
  <si>
    <t>Sonstige immaterielle Vermögenswerte</t>
  </si>
  <si>
    <t>Sonstige immaterielle Vermögenswerte (spezifiert)</t>
  </si>
  <si>
    <t>Materielle Vermögensgegenstände</t>
  </si>
  <si>
    <t>Maschinen und Anlagen</t>
  </si>
  <si>
    <t>Maschinen und Anlagen (spezifiert)</t>
  </si>
  <si>
    <t>Gebäude und Konstruktionen</t>
  </si>
  <si>
    <t>Gebäude und Konstruktionen (spezifiert)</t>
  </si>
  <si>
    <t>Grund und Gewässer</t>
  </si>
  <si>
    <t>Grund und Gewässer (spezifiert)</t>
  </si>
  <si>
    <t>Anlagen im Bau und geleistete Anzahlungen</t>
  </si>
  <si>
    <t>Anlagen im Bau und geleistete Anzahlungen  (spezifiert)</t>
  </si>
  <si>
    <t>Sonstige materielle Vermögenswerte</t>
  </si>
  <si>
    <t>Sonstige materielle Vermögenswerte (spezifiert)</t>
  </si>
  <si>
    <t>Finanzinvestitionen</t>
  </si>
  <si>
    <t>Investitionen in Tochterunternehmen</t>
  </si>
  <si>
    <t>Investitionen in Tochterunternehmen (spezifiert)</t>
  </si>
  <si>
    <t>Latenter Steueranspruch</t>
  </si>
  <si>
    <t>Latenter Steueranspruch (spezifiert)</t>
  </si>
  <si>
    <t>Forderungen aus langfristigen Krediten</t>
  </si>
  <si>
    <t>Forderungen aus langfristigen Krediten (spezifiert)</t>
  </si>
  <si>
    <t>Sonstige Investitionen</t>
  </si>
  <si>
    <t>Sonstige Investitionen (spezifiert)</t>
  </si>
  <si>
    <t>Summe Anlagevermögen</t>
  </si>
  <si>
    <t>Umlaufvermögen</t>
  </si>
  <si>
    <t>Liquide Mittel</t>
  </si>
  <si>
    <t>Summe Umlaufvermögen</t>
  </si>
  <si>
    <t>Konzerngeschäftswert (Unternehmensaufkauf)</t>
  </si>
  <si>
    <t>Liquide Mittel, Muttergesellschaft</t>
  </si>
  <si>
    <t>KONZERNAKTIVA</t>
  </si>
  <si>
    <t>EIGENKAPITAL UND VERBINDLICHKEITEN</t>
  </si>
  <si>
    <t>Gesetzliche Rücklagen</t>
  </si>
  <si>
    <t>Freie Rücklagen</t>
  </si>
  <si>
    <t>Summe Eigenkapital</t>
  </si>
  <si>
    <t>Rückstellungen</t>
  </si>
  <si>
    <t>Minderheitsanteile</t>
  </si>
  <si>
    <t>Langfristige Verbindlichkeiten</t>
  </si>
  <si>
    <t>Verzinsliches langfristiges Fremdkapital</t>
  </si>
  <si>
    <t>Unverzinsliches langfristiges Fremdkapital</t>
  </si>
  <si>
    <t>Latente Steuerschulden</t>
  </si>
  <si>
    <t>Kurzfristige Verbindlichkeiten</t>
  </si>
  <si>
    <t>Verzinsliches kurzfristiges Fremdkapital</t>
  </si>
  <si>
    <t>Kurzfristige Kredite</t>
  </si>
  <si>
    <t>Kurzfristiger Anteil an langfristigen Krediten</t>
  </si>
  <si>
    <t>Zinsloses kurzfristiges Fremdkapital</t>
  </si>
  <si>
    <t>Verbindlichkeiten aus Lieferungen</t>
  </si>
  <si>
    <t>Abgegrenzter Investitionsaufwand</t>
  </si>
  <si>
    <t>Kurzfristige Verbindlichkeiten, Steuern</t>
  </si>
  <si>
    <t>Summe Verbindlichkeiten</t>
  </si>
  <si>
    <t>Kontrolle, Passiva - Aktiva</t>
  </si>
  <si>
    <t>KONZERNPASSIVA</t>
  </si>
  <si>
    <t>Kontrolle, Passiva - Aktiva (Konzernbilanz)</t>
  </si>
  <si>
    <t>Wertminderungstest</t>
  </si>
  <si>
    <t>Buchwert der Aktivposten</t>
  </si>
  <si>
    <t>Kontrollwert (+ verzinstes Kapital / - Wertverlust)</t>
  </si>
  <si>
    <t>KENNZAHLEN</t>
  </si>
  <si>
    <t>Miesiąc</t>
  </si>
  <si>
    <t>Kwartał</t>
  </si>
  <si>
    <t>Rok</t>
  </si>
  <si>
    <t>Stopa podatkowa - %</t>
  </si>
  <si>
    <t>Okres</t>
  </si>
  <si>
    <t>Identyfikator: Miesiąc, Kwartał i Rok finansowy (MMRR)</t>
  </si>
  <si>
    <t>Opłaty za podłączenie</t>
  </si>
  <si>
    <t>Liczba miesięcy w okresie</t>
  </si>
  <si>
    <t>Opłaty za podłączenie, wzrost (+) / spadek (-)</t>
  </si>
  <si>
    <t>INWESTYCJE (-) / SPRZEDAŻ AKTYWÓW (+)</t>
  </si>
  <si>
    <t>Amortyzacja kalkulacyjna</t>
  </si>
  <si>
    <t>Amort. (%)</t>
  </si>
  <si>
    <t>(liniowa)</t>
  </si>
  <si>
    <t>Wartość księgowa</t>
  </si>
  <si>
    <t>Kalkulacyjna wartość księgowa</t>
  </si>
  <si>
    <t>Inwestycje</t>
  </si>
  <si>
    <t>Sprzedaż aktywów</t>
  </si>
  <si>
    <t>Zysk (+)/ strata (-) na sprzedaży aktywów</t>
  </si>
  <si>
    <t>Wewnętrzne</t>
  </si>
  <si>
    <t>Inwestycje Grupy</t>
  </si>
  <si>
    <t>Sprzedaż aktywów Grupy</t>
  </si>
  <si>
    <t>Amortyzacja Grupy</t>
  </si>
  <si>
    <t>Zysk (+)/ strata (-) na sprzedaży aktywów Grupy</t>
  </si>
  <si>
    <t>Wartość księgowa Grupy</t>
  </si>
  <si>
    <t>Obliczenie wartości firmy</t>
  </si>
  <si>
    <t>Metoda</t>
  </si>
  <si>
    <t>Cena</t>
  </si>
  <si>
    <t>Udział (%)</t>
  </si>
  <si>
    <t>Kapitał udziałowy/akcyjny</t>
  </si>
  <si>
    <t>Nadwyżka ceny emisyjnej nad wartością nominalną</t>
  </si>
  <si>
    <t>Środki o ograniczonej możliwości dysponowania</t>
  </si>
  <si>
    <t>Zyski zatrzymane</t>
  </si>
  <si>
    <t>Zysk (strata) w okresie</t>
  </si>
  <si>
    <t>Korekta amortyzacji</t>
  </si>
  <si>
    <t>Przeszacowanie przed opodatkowaniem</t>
  </si>
  <si>
    <t>Rezerwa z tytułu odroczonego podatku dochodowego</t>
  </si>
  <si>
    <t>Przeszacowanie</t>
  </si>
  <si>
    <t>Alokowane przeszacowanie przed opodatkowaniem</t>
  </si>
  <si>
    <t xml:space="preserve">Środki alokowane do </t>
  </si>
  <si>
    <t>Alokowana rezerwa z tyt. odroczonego podatku dochod.</t>
  </si>
  <si>
    <t>Przydzielone przeszacowanie razem</t>
  </si>
  <si>
    <t>Wartość firmy (goodwill)</t>
  </si>
  <si>
    <t>Saldo skumulowanej wartości firmy</t>
  </si>
  <si>
    <t>Wartość firmy (goodwill) Grupy</t>
  </si>
  <si>
    <t>Korekty kapitału własnego</t>
  </si>
  <si>
    <t>Finansowanie przejęcia</t>
  </si>
  <si>
    <t>Kapitał własny</t>
  </si>
  <si>
    <t>Zadłużenie długoterminowe oprocentowane</t>
  </si>
  <si>
    <t>Raty kapitałowe</t>
  </si>
  <si>
    <t>Koszty finansowe</t>
  </si>
  <si>
    <t>RACHUNEK WYNIKÓW</t>
  </si>
  <si>
    <t>Liczba miesięcy w okresie:</t>
  </si>
  <si>
    <t>Określenie przychodu:</t>
  </si>
  <si>
    <t>Przychód</t>
  </si>
  <si>
    <t>(skumulowany rok finansowy)</t>
  </si>
  <si>
    <t>Koszty zmienne</t>
  </si>
  <si>
    <t>Materiały i towary</t>
  </si>
  <si>
    <t>Opłaty zewnętrzne</t>
  </si>
  <si>
    <t>Koszty osobowe</t>
  </si>
  <si>
    <t>Pozostałe koszty zmienne</t>
  </si>
  <si>
    <t>Marża brutto</t>
  </si>
  <si>
    <t>Koszty stałe</t>
  </si>
  <si>
    <t>Wynajem/czynsz</t>
  </si>
  <si>
    <t>Inne koszty stałe</t>
  </si>
  <si>
    <t>Rezerwy, wzrost (-)/ spadek (+)</t>
  </si>
  <si>
    <t>EBITDA; Zysk operacyjny przed amortyzacją</t>
  </si>
  <si>
    <t>Amortyzacja wartości goodwill</t>
  </si>
  <si>
    <t>Amortyzacja innych aktywów</t>
  </si>
  <si>
    <t>EBIT; Zysk operacyjny</t>
  </si>
  <si>
    <t>Przychody i koszty finansowe</t>
  </si>
  <si>
    <t>Przychody i koszty finansowe Plik Finansowanie</t>
  </si>
  <si>
    <t>EBT, Zysk po uwzględn. przychodów i kosztów finans.</t>
  </si>
  <si>
    <t>Zyski i straty nadzwyczajne</t>
  </si>
  <si>
    <t>Zysk (strata) na sprzedaży aktywów</t>
  </si>
  <si>
    <t>Zyski (straty) nadzwyczajne</t>
  </si>
  <si>
    <t>Wynik finans. przed korektami z tyt. amort. i opodatk.</t>
  </si>
  <si>
    <t>Korekty z tyt. różnic w amort. i wartością dobrowol. rezerw</t>
  </si>
  <si>
    <t>Amortyzacja ponad (-) / poniżej (+) amort. kalkulacyjnej</t>
  </si>
  <si>
    <t>Podatek odroczony</t>
  </si>
  <si>
    <t>Udział mniejszościowy</t>
  </si>
  <si>
    <t>Zysk netto okresu</t>
  </si>
  <si>
    <t>Przedmiot inwestycji</t>
  </si>
  <si>
    <t>Zwrot z aktywów netto (RONA) (%)</t>
  </si>
  <si>
    <t>Ekonomiczna wartość dodana (EVA)</t>
  </si>
  <si>
    <t>Zdyskontowana wartość dodana (DCVA)</t>
  </si>
  <si>
    <t>Skumulowana zdyskontowana wartość dodana</t>
  </si>
  <si>
    <t>Zysk operacyjny</t>
  </si>
  <si>
    <t>Zysk operacyjny po opodatkowaniu</t>
  </si>
  <si>
    <t>Grupa</t>
  </si>
  <si>
    <t>Wynik inwestycji przed opodatkowaniem</t>
  </si>
  <si>
    <t>Przychody i koszty finansowe oraz zyski i straty nadzwyczajne</t>
  </si>
  <si>
    <t>Łączny wpływ na opodatkowanie</t>
  </si>
  <si>
    <t>Wpływ na wynik Grupy przed udziałem mniejszościowym</t>
  </si>
  <si>
    <t>Wynik Grupy (skumulowany w roku finansowym)</t>
  </si>
  <si>
    <t>Zwrot z aktywów netto (RONA) Grupy (%)</t>
  </si>
  <si>
    <t>Ekonomiczna wartość dodana (EVA) Grupy</t>
  </si>
  <si>
    <t>Zdyskontowana wartość dodana (DCVA) Grupy</t>
  </si>
  <si>
    <t>Skumulowana zdyskontowana wartość dodana Grupy</t>
  </si>
  <si>
    <t>Zysk operacyjny Grupy</t>
  </si>
  <si>
    <t>Zysk operacyjny po opodatkowaniu Grupy</t>
  </si>
  <si>
    <t>KAPITAŁ OBROTOWY</t>
  </si>
  <si>
    <t>Aktywa krótkoterminowe</t>
  </si>
  <si>
    <t>Średni okres spłaty należności (dni)</t>
  </si>
  <si>
    <t>Należności z tyt. dostaw i usług</t>
  </si>
  <si>
    <t>Należności skorygowane</t>
  </si>
  <si>
    <t>Zmiana stanu należności</t>
  </si>
  <si>
    <t>Pozostałe należności</t>
  </si>
  <si>
    <t>Zmiana stanu pozostałych należności</t>
  </si>
  <si>
    <t>Minimalny stan środków pieniężnych</t>
  </si>
  <si>
    <t>Minimalny stan środków pieniężnych, wzrost (-)/spadek (+)</t>
  </si>
  <si>
    <t>Aktywa bieżące, wzrost (-), spadek (+)</t>
  </si>
  <si>
    <t>Zapasy</t>
  </si>
  <si>
    <t>Wzrost (-), spadek (+) stanu zapasów</t>
  </si>
  <si>
    <t>Skorygowany okres obrotu zapasów (dni)</t>
  </si>
  <si>
    <t>Zobowiązania krótkoterminowe</t>
  </si>
  <si>
    <t>Średni okres obrotu zobowiązań (dni)</t>
  </si>
  <si>
    <t>Zobowiązania z tyt. dostaw i usług</t>
  </si>
  <si>
    <t>Zobowiązania skorygowane</t>
  </si>
  <si>
    <t>Zmiana stanu zobowiązań</t>
  </si>
  <si>
    <t>Pozostałe zobowiązania bieżące</t>
  </si>
  <si>
    <t>Zmiana stanu pozost. zobowiąz. bież., wzrost (+)/spadek (-)</t>
  </si>
  <si>
    <t>Wzrost (+)/spadek (-) stanu zobowiązań bieżących</t>
  </si>
  <si>
    <t>Zmiana kapitału obrotowego</t>
  </si>
  <si>
    <t>Kapitał obrotowy netto</t>
  </si>
  <si>
    <t>RACHUNEK PRZEPŁYWÓW PIENIĘŻNYCH</t>
  </si>
  <si>
    <t>Przepływy pieniężne z działalności operacyjnej</t>
  </si>
  <si>
    <t>Opłaty podłączeniowe</t>
  </si>
  <si>
    <t>Inwestycje w aktywa i sprzedaż aktywów</t>
  </si>
  <si>
    <t>Pozycje Grupy</t>
  </si>
  <si>
    <t>Przejęcia i zbycia</t>
  </si>
  <si>
    <t>Stopa dyskontowa (p.a.)</t>
  </si>
  <si>
    <t>Informacja</t>
  </si>
  <si>
    <t>Wartość użytkowa</t>
  </si>
  <si>
    <t>Przepływy pieniężne finansowania</t>
  </si>
  <si>
    <t>Korekta podatku dochod. dot. przychodów i kosztów finans.</t>
  </si>
  <si>
    <t>Zobowiązania długoterminowe, wzrost (+) / spadek (-)</t>
  </si>
  <si>
    <t>Zmiana stanu oprocentowanych zobowiązań długoterm.</t>
  </si>
  <si>
    <t>Zmiana stanu zobowiąz. długoterm. (plik Finansowanie)</t>
  </si>
  <si>
    <t>Zmiana stanu zobowiązań z tytułu przejęć</t>
  </si>
  <si>
    <t>Zmiana stanu nieoprocentowanych zobowiąz. długoterm.</t>
  </si>
  <si>
    <t>Zmiana stanu pożyczek krótkoterminowych</t>
  </si>
  <si>
    <t>Przepływy dla dostawcy kapitału własnego (FCFE)</t>
  </si>
  <si>
    <t>Zdyskont. przepływy dla dostawcy kapitału własn. (DFCFE)</t>
  </si>
  <si>
    <t>Skumulowane zdyskont. przepływy dla dostawcy kapit. własn.</t>
  </si>
  <si>
    <t>Koszt kapitału własnego (rocznie)</t>
  </si>
  <si>
    <t>Kapitał własny, wzrost (+) / spadek (-)</t>
  </si>
  <si>
    <t>Wzrost kapitału akcyjnego/udziałowego</t>
  </si>
  <si>
    <t>Zmiany nadwyżki ceny emis. nad wart. nomin. udziałów/akcji</t>
  </si>
  <si>
    <t>Zmiana w innych pozycjach kapitału własnego</t>
  </si>
  <si>
    <t>Zmiany w kapitale własnym spółki matki</t>
  </si>
  <si>
    <t>Zmiany w zyskach zatrzymanych</t>
  </si>
  <si>
    <t>Przepływy pieniężne ogółem</t>
  </si>
  <si>
    <t>Skumulowane przepływy pieniężne ogółem</t>
  </si>
  <si>
    <t>BILANS</t>
  </si>
  <si>
    <t>AKTYWA</t>
  </si>
  <si>
    <t>Bilans otwarcia</t>
  </si>
  <si>
    <t>Środki trwałe i inne aktywa trwałe</t>
  </si>
  <si>
    <t>Wartości niematerialne i prawne</t>
  </si>
  <si>
    <t>Wartości prawne</t>
  </si>
  <si>
    <t>Wartości prawne (specyfikacja)</t>
  </si>
  <si>
    <t>- Amortyzacja</t>
  </si>
  <si>
    <t>Skapitalizowane koszty rozwoju</t>
  </si>
  <si>
    <t>Skapitalizowane koszty rozwoju (specyfikacja)</t>
  </si>
  <si>
    <t>Wartość firmy</t>
  </si>
  <si>
    <t>Wartość firmy (specyfikacja)</t>
  </si>
  <si>
    <t>Inne wartości niematerialne i prawne</t>
  </si>
  <si>
    <t>Inne wartości niematerialne i prawne (specyfikacja)</t>
  </si>
  <si>
    <t>Rzeczowy majątek trwały</t>
  </si>
  <si>
    <t>Maszyny i urządzenia</t>
  </si>
  <si>
    <t>Maszyny i urządzenia (specyfikacja)</t>
  </si>
  <si>
    <t>Budynki i budowle</t>
  </si>
  <si>
    <t>Budynki i budowle (specyfikacja)</t>
  </si>
  <si>
    <t>Grunty</t>
  </si>
  <si>
    <t>Grunty (specyfikacja)</t>
  </si>
  <si>
    <t>Przedpłaty i budowa w toku</t>
  </si>
  <si>
    <t>Przedpłaty i budowa w toku (specyfikacja)</t>
  </si>
  <si>
    <t>Inny majątek rzeczowy</t>
  </si>
  <si>
    <t>Inny majątek rzeczowy (specyfikacja)</t>
  </si>
  <si>
    <t>Inwestycje w jednostkach stowarzyszonych</t>
  </si>
  <si>
    <t>Inwestycje w jednost. stowarzyszonych (specyfikacja)</t>
  </si>
  <si>
    <t>Inwestycje w jednost. stowarzyszonych</t>
  </si>
  <si>
    <t>Aktywa z tytułu podatku odroczonego</t>
  </si>
  <si>
    <t>Aktywa z tytułu podatku odroczonego (specyfikacja)</t>
  </si>
  <si>
    <t>Należności z tytułu pożyczek długoterminowych</t>
  </si>
  <si>
    <t>Należności z tytułu pożyczek długoterm. (specyfikacja)</t>
  </si>
  <si>
    <t>Należności z tytułu pożyczek długoterm.</t>
  </si>
  <si>
    <t>Inne inwestycje</t>
  </si>
  <si>
    <t>Inne inwestycje (specyfikacja)</t>
  </si>
  <si>
    <t>Razem majątek trwały</t>
  </si>
  <si>
    <t>Majątek obrotowy</t>
  </si>
  <si>
    <t>Zapasy i produkcja w toku</t>
  </si>
  <si>
    <t>Inne należności</t>
  </si>
  <si>
    <t>Środki pieniężne w kasie i na rachunkach</t>
  </si>
  <si>
    <t>Razem majątek obrotowy</t>
  </si>
  <si>
    <t>Wartość goodwill (przejęcia) Grupy</t>
  </si>
  <si>
    <t>Środki pieniężne w kasie i na rachunkach spółki matki</t>
  </si>
  <si>
    <t>AKTYWA GRUPY</t>
  </si>
  <si>
    <t>PASYWA</t>
  </si>
  <si>
    <t>Nadwyżka ceny emis. nad wart. nomin. udziałów/akcji</t>
  </si>
  <si>
    <t>Inne składniki kapitału własnego</t>
  </si>
  <si>
    <t>Zysk (strata) okresu</t>
  </si>
  <si>
    <t>Razem kapitał własny</t>
  </si>
  <si>
    <t>Skumulow. korekta amort. oraz zmiana stanu rezerw dobrowol.</t>
  </si>
  <si>
    <t>Rezerwy</t>
  </si>
  <si>
    <t>Udziały mniejszościowe</t>
  </si>
  <si>
    <t>Zobowiązania</t>
  </si>
  <si>
    <t>Zobowiązania długoterminowe</t>
  </si>
  <si>
    <t>Oprocentowane zobowiązania długoterminowe</t>
  </si>
  <si>
    <t>Nieoprocentowane zobowiązania długoterminowe</t>
  </si>
  <si>
    <t>Rezerwy z tytułu podatku odroczonego</t>
  </si>
  <si>
    <t>Oprocentowane zobowiązania krótkoterminowe</t>
  </si>
  <si>
    <t>Pożyczki krótkoterminowe</t>
  </si>
  <si>
    <t>Bieżąca część zobowiązań długoterminowych</t>
  </si>
  <si>
    <t>Nieoprocentowane zobowiązania krótkoterminowe</t>
  </si>
  <si>
    <t>Zobowiązania z tytułu dostaw i usług</t>
  </si>
  <si>
    <t>Inne nieoprocentowane zobowiązania krótkoterminowe</t>
  </si>
  <si>
    <t>Rozliczenia międzyokresowe wydatków inwest.</t>
  </si>
  <si>
    <t>Zobowiązania z tytułu podatków</t>
  </si>
  <si>
    <t>Razem zobowiązania</t>
  </si>
  <si>
    <t>Sprawdzenie: Pasywa - Aktywa</t>
  </si>
  <si>
    <t>Zobowiązania długoterminowe oprocentowane</t>
  </si>
  <si>
    <t>PASYWA GRUPY</t>
  </si>
  <si>
    <t>Sprawdzenie: Pasywa (Grupy) - Aktywa (Grupy)</t>
  </si>
  <si>
    <t>Test na trwałą utratę wartości aktywów:</t>
  </si>
  <si>
    <t>Wartość księgowa składnika aktywów</t>
  </si>
  <si>
    <t>Wartość kontrolna (+przyrost kapitału / -utrata wart. aktywów)</t>
  </si>
  <si>
    <t>KLUCZOWE WSKAŹNIKI</t>
  </si>
  <si>
    <t>Mes</t>
  </si>
  <si>
    <t>Trimestre</t>
  </si>
  <si>
    <t>Año</t>
  </si>
  <si>
    <t>% de impuestos</t>
  </si>
  <si>
    <t>Período</t>
  </si>
  <si>
    <t>ID: Mes, trimestre y ejercicio financiero (MMAA)</t>
  </si>
  <si>
    <t>Tarifas de conexión</t>
  </si>
  <si>
    <t>Meses por intervalo</t>
  </si>
  <si>
    <t>Tarifas de conexión, aumento (+) / disminución (-)</t>
  </si>
  <si>
    <t>INVERSIONES (-) / REALIZACIONES (+)</t>
  </si>
  <si>
    <t>Depreciación imputada</t>
  </si>
  <si>
    <t>-% amort.</t>
  </si>
  <si>
    <t>(lineal)</t>
  </si>
  <si>
    <t>Valor contable</t>
  </si>
  <si>
    <t>Valor contable imputado</t>
  </si>
  <si>
    <t>Inversiones</t>
  </si>
  <si>
    <t>Realizaciones</t>
  </si>
  <si>
    <t>Beneficios (+)/ pérdidas (-) de realización</t>
  </si>
  <si>
    <t>Internos</t>
  </si>
  <si>
    <t>Inversiones del grupo</t>
  </si>
  <si>
    <t>Realizaciones del grupo</t>
  </si>
  <si>
    <t>Amortización del grupo</t>
  </si>
  <si>
    <t>Beneficios (+)/ pérdidas (-) de realización del grupo</t>
  </si>
  <si>
    <t>Valor contable del grupo</t>
  </si>
  <si>
    <t>Cálculo de fondo de comercio</t>
  </si>
  <si>
    <t>Método</t>
  </si>
  <si>
    <t>Precio</t>
  </si>
  <si>
    <t>Acción, %</t>
  </si>
  <si>
    <t>Capital en acciones</t>
  </si>
  <si>
    <t>Prima de emisión de acciones</t>
  </si>
  <si>
    <t>Otros fondos propios restringidos</t>
  </si>
  <si>
    <t>Beneficios no distribuidos</t>
  </si>
  <si>
    <t>Beneficios (pérdidas) del período</t>
  </si>
  <si>
    <t>Diferencia de amortización</t>
  </si>
  <si>
    <t>Sobrevalor antes de impuestos por pagar</t>
  </si>
  <si>
    <t>Impuestos diferidos por pagar</t>
  </si>
  <si>
    <t>Sobrevalor</t>
  </si>
  <si>
    <t>Sobrevalor asignado antes de impuestos</t>
  </si>
  <si>
    <t xml:space="preserve">Importe asignado en </t>
  </si>
  <si>
    <t>Depreciación</t>
  </si>
  <si>
    <t>Impuesto diferido por pagar asignado</t>
  </si>
  <si>
    <t>Sobrevalor total asignado</t>
  </si>
  <si>
    <t>Fondo de comercio/fondo de comercio negativo</t>
  </si>
  <si>
    <t>Balanza de fondo de comercio acumulativo</t>
  </si>
  <si>
    <t>Fondo de comercio del grupo</t>
  </si>
  <si>
    <t>Corrección de fondos propios</t>
  </si>
  <si>
    <t>Financiación de la adquisición</t>
  </si>
  <si>
    <t>Fondos propios</t>
  </si>
  <si>
    <t>Deuda a largo plazo con intereses</t>
  </si>
  <si>
    <t>Amortizaciones</t>
  </si>
  <si>
    <t>Costes financieros</t>
  </si>
  <si>
    <t>ESTADO DE RESULTADOS</t>
  </si>
  <si>
    <t>Ingreso especificado:</t>
  </si>
  <si>
    <t>Ingreso</t>
  </si>
  <si>
    <t>Costes variables</t>
  </si>
  <si>
    <t>Materias primas y consumibles</t>
  </si>
  <si>
    <t>Gastos externos</t>
  </si>
  <si>
    <t>Costes de personal</t>
  </si>
  <si>
    <t>Otros costes variables</t>
  </si>
  <si>
    <t>Margen bruto</t>
  </si>
  <si>
    <t>Costes fijos</t>
  </si>
  <si>
    <t>Alquileres</t>
  </si>
  <si>
    <t>Otros costes fijos</t>
  </si>
  <si>
    <t>Provisiones, aumento (-) / disminución (+)</t>
  </si>
  <si>
    <t>EBITDA; ingresos de explotación antes de amortización</t>
  </si>
  <si>
    <t>Amortización de fondo de comercio</t>
  </si>
  <si>
    <t xml:space="preserve">Otras amortizaciones </t>
  </si>
  <si>
    <t>BEI; Ingreso de explotación</t>
  </si>
  <si>
    <t>Ingreso de financiación y otros costes</t>
  </si>
  <si>
    <t>Archivo de ingresos y costes de financiación</t>
  </si>
  <si>
    <t>EBT; Ingresos tras partidas de financiación</t>
  </si>
  <si>
    <t>Ingresos y gastos extraordinarios</t>
  </si>
  <si>
    <t>Beneficios de realización (-pérdidas)</t>
  </si>
  <si>
    <t>Otros ingresos extraordinarios (-gastos)</t>
  </si>
  <si>
    <t>Ingresos antes de dotaciones e impuestos</t>
  </si>
  <si>
    <t>Dotaciones, aumento (-) / disminución (+)</t>
  </si>
  <si>
    <t>Amortización en exceso de (-) / bajo (+) amortización imputada</t>
  </si>
  <si>
    <t>Impuesto diferido</t>
  </si>
  <si>
    <t>Interés minoritario</t>
  </si>
  <si>
    <t>Ingreso neto para el período</t>
  </si>
  <si>
    <t>Objeto de inversión</t>
  </si>
  <si>
    <t>Beneficio sobre activos netos (BAN), %</t>
  </si>
  <si>
    <t>Valor económico añadido (VEA)</t>
  </si>
  <si>
    <t>Valor añadido descontado (VAD)</t>
  </si>
  <si>
    <t>Valor añadido descontado acumulativo</t>
  </si>
  <si>
    <t>Beneficio de explotación</t>
  </si>
  <si>
    <t>Beneficio de explotación neto después de impuestos</t>
  </si>
  <si>
    <t>Grupo</t>
  </si>
  <si>
    <t>Resultado del objeto de la inversión antes de impuestos</t>
  </si>
  <si>
    <t>Partidas financieras y extraordinarias</t>
  </si>
  <si>
    <t>Efecto fiscal total</t>
  </si>
  <si>
    <t>Resultado conjunto antes de deducir la participación minoritaria</t>
  </si>
  <si>
    <t>Participación minoritaria</t>
  </si>
  <si>
    <t>Efecto de resultado de grupo (año fin. acum.)</t>
  </si>
  <si>
    <t>Beneficio sobre activos netos del grupo (BAN), %</t>
  </si>
  <si>
    <t>Valor económico añadido del grupo (VEA)</t>
  </si>
  <si>
    <t>Valor añadido descontado del grupo (VAD)</t>
  </si>
  <si>
    <t>Valor añadido descontado acumulativo del grupo</t>
  </si>
  <si>
    <t>Beneficio de explotación del grupo</t>
  </si>
  <si>
    <t>Beneficio de explotación neto del grupo</t>
  </si>
  <si>
    <t>CAPITAL DE EXPLOTACIÓN</t>
  </si>
  <si>
    <t>Activos a corto plazo</t>
  </si>
  <si>
    <t>Plazo de pago medio de las cuentas a cobrar, días</t>
  </si>
  <si>
    <t>Cuentas a cobrar</t>
  </si>
  <si>
    <t>Cuentas a cobrar ajustadas</t>
  </si>
  <si>
    <t>Cambio en cuentas a cobrar</t>
  </si>
  <si>
    <t>Otras cuentas a cobrar</t>
  </si>
  <si>
    <t>Cambio en otras cuentas a cobrar</t>
  </si>
  <si>
    <t>Efectivo mínimo</t>
  </si>
  <si>
    <t>Efectivo mínimo, aumento (-)/ disminución (+)</t>
  </si>
  <si>
    <t>Activos a corto plazo, aumento (-)/disminución (+)</t>
  </si>
  <si>
    <t>Inventarios</t>
  </si>
  <si>
    <t>Aumento (-) o disminución (+) en inventarios</t>
  </si>
  <si>
    <t>Período de facturación ajustado, días</t>
  </si>
  <si>
    <t>Aumento (-)/disminución (+) de inventarios</t>
  </si>
  <si>
    <t>Pasivo corriente</t>
  </si>
  <si>
    <t>Cuentas a pagar, plazo medio de pago, días</t>
  </si>
  <si>
    <t>Cuentas a pagar</t>
  </si>
  <si>
    <t>Cuentas a pagar ajustadas</t>
  </si>
  <si>
    <t>Cambio en cuentas a pagar, aumento (+)/ dism. (-)</t>
  </si>
  <si>
    <t>Otro pasivo corriente</t>
  </si>
  <si>
    <t>Cambio en otro pasivo corriente, aumento (+)/dism. (-)</t>
  </si>
  <si>
    <t>Aumento (+)/disminución (-) de pasivo corriente</t>
  </si>
  <si>
    <t>Cambio en el capital de explotación</t>
  </si>
  <si>
    <t>Capital de explotación neto</t>
  </si>
  <si>
    <t>ESTADO DE FLUJO DE CAJA</t>
  </si>
  <si>
    <t>Flujo de caja de operaciones</t>
  </si>
  <si>
    <t>Gastos e ingresos extraordinarios</t>
  </si>
  <si>
    <t>Inversiones y realizaciones de activos</t>
  </si>
  <si>
    <t>Elementos del grupo</t>
  </si>
  <si>
    <t>Adquisiciones y realizaciones</t>
  </si>
  <si>
    <t>Efectos fiscales</t>
  </si>
  <si>
    <t>Flujo de caja disponible para la empresa (FCFF)</t>
  </si>
  <si>
    <t>Flujo de caja descontado disponible para la empresa (DFCFF)</t>
  </si>
  <si>
    <t>Flujo de caja descontado disponible para la empresa acumulado</t>
  </si>
  <si>
    <t>Tasa de descuento (por año)</t>
  </si>
  <si>
    <t>Información</t>
  </si>
  <si>
    <t>Valor de uso</t>
  </si>
  <si>
    <t>Flujo de caja financiero</t>
  </si>
  <si>
    <t>Ingresos y gastos financieros</t>
  </si>
  <si>
    <t>Corrección del Impuesto por puestos financieros</t>
  </si>
  <si>
    <t>Deuda a largo plazo, aumento (+)/disminución (-)</t>
  </si>
  <si>
    <t>Cambios en la deuda a largo plazo con interés</t>
  </si>
  <si>
    <t>Cambios en la deuda a largo plazo, archivo de financiación</t>
  </si>
  <si>
    <t>Cambios en la deuda de adquisición empresarial</t>
  </si>
  <si>
    <t>Cambios en la deuda a largo plazo sin intereses</t>
  </si>
  <si>
    <t>Cambios en préstamos a corto plazo</t>
  </si>
  <si>
    <t>Flujo de caja disponible para los accionistas (FCFE)</t>
  </si>
  <si>
    <t>Flujo de caja descontado disponible para los accionistas (DFCFE)</t>
  </si>
  <si>
    <t>Flujo de caja descontado disponible para los accionistas acumulado</t>
  </si>
  <si>
    <t>Coste de los fondos propios (anual)</t>
  </si>
  <si>
    <t>Fondos propios, aumento (+) / dividendos (-)</t>
  </si>
  <si>
    <t>Aumento en el capital en acciones</t>
  </si>
  <si>
    <t>Cambios en la prima de emisión de acciones</t>
  </si>
  <si>
    <t>Cambios en otros fondos propios restringidos</t>
  </si>
  <si>
    <t>Cambios de Capital, casa matriz</t>
  </si>
  <si>
    <t>Variación al resultado acumulado</t>
  </si>
  <si>
    <t>Flujo de caja total</t>
  </si>
  <si>
    <t>Flujo de caja total acumulativo</t>
  </si>
  <si>
    <t>HOJA DE BALANCE</t>
  </si>
  <si>
    <t>ACTIVOS</t>
  </si>
  <si>
    <t>Balance de apertura</t>
  </si>
  <si>
    <t>Activos fijos y otros activos no realizables</t>
  </si>
  <si>
    <t>Activos intangibles</t>
  </si>
  <si>
    <t>Derechos intangibles</t>
  </si>
  <si>
    <t>Derechos intangibles (especificados)</t>
  </si>
  <si>
    <t>Costos de desarrollo capitalizados</t>
  </si>
  <si>
    <t>Costos de desarrollo capitalizados (especificados)</t>
  </si>
  <si>
    <t xml:space="preserve">Costos de desarrollo capitalizados </t>
  </si>
  <si>
    <t>Fondo de comercio</t>
  </si>
  <si>
    <t>Fondo de comercio (especificado)</t>
  </si>
  <si>
    <t>Otros activos intangibles</t>
  </si>
  <si>
    <t>Otros activos intangibles (especificados)</t>
  </si>
  <si>
    <t>Inmovilizaciones materiales</t>
  </si>
  <si>
    <t>Maquinaria y equipos</t>
  </si>
  <si>
    <t>Maquinaria y equipos (especificados)</t>
  </si>
  <si>
    <t>Edificios y estructuras</t>
  </si>
  <si>
    <t>Edificios y estructuras (especificados)</t>
  </si>
  <si>
    <t>Terrenos y aguas</t>
  </si>
  <si>
    <t>Terrenos y aguas (especificados)</t>
  </si>
  <si>
    <t xml:space="preserve">Terrenos y aguas </t>
  </si>
  <si>
    <t>Prepagos y construcción en progreso</t>
  </si>
  <si>
    <t>Prepagos y construcción en progreso (especificados)</t>
  </si>
  <si>
    <t>Otros activos tangibles</t>
  </si>
  <si>
    <t>Otros activos tangibles (especificados)</t>
  </si>
  <si>
    <t>inversiones</t>
  </si>
  <si>
    <t>Inversiones en compañías asociadas</t>
  </si>
  <si>
    <t>Inversiones en compañías asociadas (especificadas)</t>
  </si>
  <si>
    <t>Activo por impuesto diferido</t>
  </si>
  <si>
    <t>Activo por impuesto diferido (especificados)</t>
  </si>
  <si>
    <t>Préstamos a largo plazo 
por cobrar</t>
  </si>
  <si>
    <t>Préstamos a largo plazo 
por cobrar (especificados)</t>
  </si>
  <si>
    <t>Otras inversiones</t>
  </si>
  <si>
    <t>Otras inversiones (especificadas)</t>
  </si>
  <si>
    <t>Activos fijos totales y otros activos no realizables</t>
  </si>
  <si>
    <t>Activos realizables</t>
  </si>
  <si>
    <t>Inventarios y trabajo en curso</t>
  </si>
  <si>
    <t>Caja o banco</t>
  </si>
  <si>
    <t>Total de activos realizables</t>
  </si>
  <si>
    <t>Fondo de comercio positivo (adquisición)</t>
  </si>
  <si>
    <t>Caja y bancos, casa matriz</t>
  </si>
  <si>
    <t>ACTIVOS DE GRUPO</t>
  </si>
  <si>
    <t>FONDOS PROPIOS Y PASIVO DE LOS ACCIONISTAS</t>
  </si>
  <si>
    <t>Fondos propios de los accionistas</t>
  </si>
  <si>
    <t>Fondos propios totales de los accionistas</t>
  </si>
  <si>
    <t>Dotaciones acumuladas</t>
  </si>
  <si>
    <t>Provisiones</t>
  </si>
  <si>
    <t>Pasivo</t>
  </si>
  <si>
    <t>Pasivo a largo plazo</t>
  </si>
  <si>
    <t>Deuda a largo plazo sin intereses</t>
  </si>
  <si>
    <t>Pasivo por impuesto diferido</t>
  </si>
  <si>
    <t>Pasivo a corto plazo</t>
  </si>
  <si>
    <t>Pasivo a corto plazo con intereses</t>
  </si>
  <si>
    <t>Préstamos a corto plazo</t>
  </si>
  <si>
    <t>Porción actual de préstamos a largo plazo</t>
  </si>
  <si>
    <t>Pasivo a corto plazo sin intereses</t>
  </si>
  <si>
    <t>Otra deuda a corto plazo sin intereses</t>
  </si>
  <si>
    <t>Gasto de inversión devengado</t>
  </si>
  <si>
    <t>Deuda tributaria calculada</t>
  </si>
  <si>
    <t>Pasivo total</t>
  </si>
  <si>
    <t>Comprobar: Fondos propios y pasivo - Activos</t>
  </si>
  <si>
    <t>FONDOS PROPIOS Y OBLIGACIONES DEL GRUPO</t>
  </si>
  <si>
    <t>Comprobar: fondos propios y Pasivo - Activos (grupo)</t>
  </si>
  <si>
    <t>Prueba de pérdida de valor</t>
  </si>
  <si>
    <t>Valor contable de activos</t>
  </si>
  <si>
    <t>Valor de control (+ capital de crecimiento / - pérdida de valor)</t>
  </si>
  <si>
    <t>RELACIONES CLAVE</t>
  </si>
  <si>
    <t>Месяц</t>
  </si>
  <si>
    <t>Квартал</t>
  </si>
  <si>
    <t>Год</t>
  </si>
  <si>
    <t>Налог-%</t>
  </si>
  <si>
    <t>Период</t>
  </si>
  <si>
    <t>ID: Месяц, Квартал и Фин. Год (ММГГ)</t>
  </si>
  <si>
    <t>Тарифы за подключение</t>
  </si>
  <si>
    <t>Месяцев за интервал</t>
  </si>
  <si>
    <t>Тарифы за подключение, увеличить (+) / уменьшить (-)</t>
  </si>
  <si>
    <t>ИНВЕСТИЦИИ (-) / ДОХОДЫ ОТ РЕАЛИЗАЦИИ (+)</t>
  </si>
  <si>
    <t>Вмененная амортизация</t>
  </si>
  <si>
    <t>Аморт.-%</t>
  </si>
  <si>
    <t>(линейная)</t>
  </si>
  <si>
    <t>Балансовая стоимость</t>
  </si>
  <si>
    <t>Вмененная балансовая стоимость</t>
  </si>
  <si>
    <t>Инвестиции</t>
  </si>
  <si>
    <t>Доходы от реализации</t>
  </si>
  <si>
    <t>Доходы (+) / расходы (-) от реализации</t>
  </si>
  <si>
    <t>Внутренние</t>
  </si>
  <si>
    <t>Реализации</t>
  </si>
  <si>
    <t>Групповые инвестиции</t>
  </si>
  <si>
    <t>Групповые доходы от реализации</t>
  </si>
  <si>
    <t>Групповая амортизация</t>
  </si>
  <si>
    <t>Групповые доходы (+) / расходы (-) от реализации</t>
  </si>
  <si>
    <t>Групповая балансовая стоимость</t>
  </si>
  <si>
    <t>Вычисление гудвила</t>
  </si>
  <si>
    <t>Метод</t>
  </si>
  <si>
    <t>Цена</t>
  </si>
  <si>
    <t>Доля, %</t>
  </si>
  <si>
    <t>Акционерный капитал</t>
  </si>
  <si>
    <t>Эмиссионная премия</t>
  </si>
  <si>
    <t>Прочий ограниченный собственный капитал</t>
  </si>
  <si>
    <t>Нераспределенная прибыль</t>
  </si>
  <si>
    <t>Прибыль (убыток) за период</t>
  </si>
  <si>
    <t>Разница амортизации</t>
  </si>
  <si>
    <t>Переоценка до налогообложения</t>
  </si>
  <si>
    <t>Обязательства по отложенному налогу</t>
  </si>
  <si>
    <t>Переоценка</t>
  </si>
  <si>
    <t>Распределенная переоценка до налогообложения</t>
  </si>
  <si>
    <t xml:space="preserve">Сумма распределенная на </t>
  </si>
  <si>
    <t>Баланс</t>
  </si>
  <si>
    <t>Распределенное обязательство по отложенным налогам</t>
  </si>
  <si>
    <t>Итого распределенная переоценка</t>
  </si>
  <si>
    <t>Гудвил</t>
  </si>
  <si>
    <t>Кумулятивный баланс гудвила</t>
  </si>
  <si>
    <t>Групповой гудвил</t>
  </si>
  <si>
    <t>Коррекция собственного капитала</t>
  </si>
  <si>
    <t>Финансирование приобретения</t>
  </si>
  <si>
    <t>Собственный капитал</t>
  </si>
  <si>
    <t>Долгосрочная процентная задолженность</t>
  </si>
  <si>
    <t>Погашения задолженностей</t>
  </si>
  <si>
    <t>Расходы на финансирование</t>
  </si>
  <si>
    <t>ОТЧЕТ О ПРИБЫЛЯХ И УБЫТКАХ</t>
  </si>
  <si>
    <t>Составные части Доходов:</t>
  </si>
  <si>
    <t>Доходы</t>
  </si>
  <si>
    <t>(кумулятивное значение за финансовый год)</t>
  </si>
  <si>
    <t>Переменные расходы</t>
  </si>
  <si>
    <t>Сырье и расходные материалы</t>
  </si>
  <si>
    <t>Внешние расходы</t>
  </si>
  <si>
    <t>Расходы на персонал</t>
  </si>
  <si>
    <t>Прочие переменные расходы</t>
  </si>
  <si>
    <t>Валовая маржа</t>
  </si>
  <si>
    <t>Фиксированные расходы</t>
  </si>
  <si>
    <t>Арендные платежи</t>
  </si>
  <si>
    <t>Прочие фиксированные расходы</t>
  </si>
  <si>
    <t>Резервные отчисления, прирост (-) / снижение (+)</t>
  </si>
  <si>
    <t>EBITDA; Прибыль до амортизационных отчислений</t>
  </si>
  <si>
    <t>Амортизация гудвила</t>
  </si>
  <si>
    <t>Прочая амортизация</t>
  </si>
  <si>
    <t>EBIT; Чистая операционная прибыль</t>
  </si>
  <si>
    <t>Финансовые доходы и расходы</t>
  </si>
  <si>
    <t>Финансовые доходы и расходы, Финансовый Файл</t>
  </si>
  <si>
    <t>EBT; Прибыль после финансовых статей</t>
  </si>
  <si>
    <t>Внереализационные доходы и расходы</t>
  </si>
  <si>
    <t>Доходы (-убытки) от реализации</t>
  </si>
  <si>
    <t>Прочие внереализационные доходы (-расходы)</t>
  </si>
  <si>
    <t>Прибыль до вычета ассигнований и налогов</t>
  </si>
  <si>
    <t>Изменения по ассигнованиям</t>
  </si>
  <si>
    <t>Превышение амортизации над (-) / отставание от (+) вменённой</t>
  </si>
  <si>
    <t>Отложенный налог</t>
  </si>
  <si>
    <t>Доля миноритарных акционеров</t>
  </si>
  <si>
    <t>Чистый доход за период</t>
  </si>
  <si>
    <t>Объект инвестирования</t>
  </si>
  <si>
    <t>Рентабельность чистых активов (RONA), %</t>
  </si>
  <si>
    <t>Эконом. Добавленная Стоимость (EVA)</t>
  </si>
  <si>
    <t>Дисконтированная Добавленная Стоимость (DCVA)</t>
  </si>
  <si>
    <t>Кумулятивная Дисконтированная Добавленная Стоимость</t>
  </si>
  <si>
    <t>Операционная прибыль</t>
  </si>
  <si>
    <t>Чистая операционная прибыль после налогов</t>
  </si>
  <si>
    <t>Группа</t>
  </si>
  <si>
    <t>Результат по объекту инвестирования до налогообложения</t>
  </si>
  <si>
    <t>Финансовые и внереализационные статьи</t>
  </si>
  <si>
    <t>Итого налоговый эффект</t>
  </si>
  <si>
    <t>Эффект результата на группу до доли минор. акционеров</t>
  </si>
  <si>
    <t>Эффект результата на группу (кум. фин. год)</t>
  </si>
  <si>
    <t>Рентабельность чистых активов Группы (RONA), %</t>
  </si>
  <si>
    <t>Экономическая Добавленная Стоимость Группы (EVA)</t>
  </si>
  <si>
    <t>Дисконт. Добавленная Стоимость Группы (DCVA)</t>
  </si>
  <si>
    <t>Кум. Дисконт. Добавленная Стоимость Группы</t>
  </si>
  <si>
    <t>Операционная прибыль Группы</t>
  </si>
  <si>
    <t>Чистая операционная прибыль Группы после налогов</t>
  </si>
  <si>
    <t>ОБОРОТНЫЙ КАПИТАЛ</t>
  </si>
  <si>
    <t>Краткосрочные активы</t>
  </si>
  <si>
    <t>Средн. срок выплаты дебиторской задолженности, дни</t>
  </si>
  <si>
    <t>Дебиторская задолженность</t>
  </si>
  <si>
    <t>Скорректированная дебиторская задолженность</t>
  </si>
  <si>
    <t>Изменения по дебиторской задолженности</t>
  </si>
  <si>
    <t>Прочая дебиторская задолженность</t>
  </si>
  <si>
    <t>Изменения по прочей дебиторской задолженности</t>
  </si>
  <si>
    <t>Минимальный остаток наличных денег</t>
  </si>
  <si>
    <t>Мин. остаток наличных денег, прирост (-) / снижение (+)</t>
  </si>
  <si>
    <t>Краткосрочные активы, прирост (-) / снижение (+)</t>
  </si>
  <si>
    <t>Запасы</t>
  </si>
  <si>
    <t>Увеличение (-) или уменьшение (+) запасов</t>
  </si>
  <si>
    <t>Скорректированный период оборота, дни</t>
  </si>
  <si>
    <t>Увеличение (-)/уменьшение (+) запасов</t>
  </si>
  <si>
    <t>Текущие обязательства</t>
  </si>
  <si>
    <t>Кредиторская задолженность, средн. срок выплаты, дни</t>
  </si>
  <si>
    <t>Кредиторская задолженность</t>
  </si>
  <si>
    <t>Скорректированная кредиторская задолженность</t>
  </si>
  <si>
    <t>Изменения по кред. задолж., увелич.(+) / уменьш.(-)</t>
  </si>
  <si>
    <t>Прочие текущие обязательства</t>
  </si>
  <si>
    <t>Изменения по прочим тек. обяз., увелич.(+) / уменьш.(-)</t>
  </si>
  <si>
    <t>Текущие обязательства, увеличение (+)/уменьшение (-)</t>
  </si>
  <si>
    <t>Изменения в Оборотном Капитале</t>
  </si>
  <si>
    <t>Чистый Оборотный Капитал</t>
  </si>
  <si>
    <t>ОТЧЕТ О ДВИЖЕНИИ ДЕНЕЖНЫХ СРЕДСТВ</t>
  </si>
  <si>
    <t>Денежный поток от операционной деятельности</t>
  </si>
  <si>
    <t>Доход</t>
  </si>
  <si>
    <t>Тариф за подключение</t>
  </si>
  <si>
    <t>Инвестиции в активы и доходы от их реализации</t>
  </si>
  <si>
    <t>Групповые статьи</t>
  </si>
  <si>
    <t>Приобретения и реализации</t>
  </si>
  <si>
    <t>Налоговый эффект</t>
  </si>
  <si>
    <t>Учетная ставка (годовая)</t>
  </si>
  <si>
    <t>Информация</t>
  </si>
  <si>
    <t>Стоимость от использования</t>
  </si>
  <si>
    <t>Финансовый Денежный Поток</t>
  </si>
  <si>
    <t>Коррекция подоходного налога для финансовых статей</t>
  </si>
  <si>
    <t>Долгосрочная задолж., увелич.(+) / уменьш.(-)</t>
  </si>
  <si>
    <t>Изменения по долгосрочной процентной задолж.</t>
  </si>
  <si>
    <t>Изменения по долгосрочн. задолж., Финанс. Файл</t>
  </si>
  <si>
    <t>Изменения в задолж. по корп. приобретению</t>
  </si>
  <si>
    <t>Изменения по долгосрочной беспроцентной задолж.</t>
  </si>
  <si>
    <t>Изменения по краткосрочным кредитам и займам</t>
  </si>
  <si>
    <t>Cвоб. денежный поток на собств. капитал (FCFE)</t>
  </si>
  <si>
    <t>Дисконт. своб. денежный поток на собств. капитал (DFCFE)</t>
  </si>
  <si>
    <t>Совокупный дисконт. своб. ден. поток на собств. капитал</t>
  </si>
  <si>
    <t>Стоимость собственного капитала (в год)</t>
  </si>
  <si>
    <t>Собственный капитал, прирост (+) / снижение (-)</t>
  </si>
  <si>
    <t>Изменения по акционерному капиталу</t>
  </si>
  <si>
    <t>Изменения по эмиссионной премии</t>
  </si>
  <si>
    <t>Изменения по прочему огранич. собств. капиталу</t>
  </si>
  <si>
    <t>Изменения по собств. капиталу в материнской комп.</t>
  </si>
  <si>
    <t>Узменения в нераспределённой прибыли</t>
  </si>
  <si>
    <t>Итого Денежный Поток</t>
  </si>
  <si>
    <t>Итого Кумулятивный Денежный Поток</t>
  </si>
  <si>
    <t>БАЛАНСОВЫЙ ОТЧЕТ</t>
  </si>
  <si>
    <t>АКТИВЫ</t>
  </si>
  <si>
    <t>Начальный баланс</t>
  </si>
  <si>
    <t>Основные средства и прочие внеоборотные активы</t>
  </si>
  <si>
    <t>Нематериальные активы</t>
  </si>
  <si>
    <t>Нематериальные права</t>
  </si>
  <si>
    <t>Нематериальные права (указанные)</t>
  </si>
  <si>
    <t>- Амортизация</t>
  </si>
  <si>
    <t>Капитализированные расходы на разработку</t>
  </si>
  <si>
    <t>Капитализированные расходы на разр. (указанные)</t>
  </si>
  <si>
    <t>Капитализированные расходы на разр.</t>
  </si>
  <si>
    <t>Гудвил (указанный)</t>
  </si>
  <si>
    <t>Прочие нематериальные активы</t>
  </si>
  <si>
    <t>Прочие нематериальные активы (указанные)</t>
  </si>
  <si>
    <t>Материальные активы</t>
  </si>
  <si>
    <t>Машины и оборудование</t>
  </si>
  <si>
    <t>Машины и оборудование (указанные)</t>
  </si>
  <si>
    <t>Здания и сооружения</t>
  </si>
  <si>
    <t>Здания и сооружения (указанные)</t>
  </si>
  <si>
    <t>Земля и вода</t>
  </si>
  <si>
    <t>Земля и вода (указанные)</t>
  </si>
  <si>
    <t>Расходы буд. пер. и незаверш. строит.</t>
  </si>
  <si>
    <t>Расходы буд. пер. и незаверш. строит. (указанные)</t>
  </si>
  <si>
    <t>Прочие материальные активы</t>
  </si>
  <si>
    <t>Прочие материальные активы (указанные)</t>
  </si>
  <si>
    <t>Инвестиции в дочерние компании</t>
  </si>
  <si>
    <t>Инвестиции в дочерние компании (указанные)</t>
  </si>
  <si>
    <t>Активы по отложенным налогам</t>
  </si>
  <si>
    <t>Активы по отложенным налогам (указанные)</t>
  </si>
  <si>
    <t>Долгосрочные ссуды к возмещению</t>
  </si>
  <si>
    <t>Долгосрочные ссуды к возмещению (указанные)</t>
  </si>
  <si>
    <t>Прочие инвестиции</t>
  </si>
  <si>
    <t>Прочие инвестиции (указанные)</t>
  </si>
  <si>
    <t>Итого основных средств и прочих внеоборотн. активов</t>
  </si>
  <si>
    <t>Оборотные Активы</t>
  </si>
  <si>
    <t>Запасы и незавершенное производство</t>
  </si>
  <si>
    <t>Банк и касса</t>
  </si>
  <si>
    <t>Итого оборотных активов</t>
  </si>
  <si>
    <t>Гудвил Группы (приобретение)</t>
  </si>
  <si>
    <t>Банк и касса, материнская компания</t>
  </si>
  <si>
    <t>АКТИВЫ ГРУППЫ</t>
  </si>
  <si>
    <t xml:space="preserve">СОБСТВ. КАПИТАЛ И ОБЯЗАТЕЛЬСТВА АКЦИОНЕРОВ </t>
  </si>
  <si>
    <t>Собственный капитал акционеров</t>
  </si>
  <si>
    <t>Прочий ограниченный капитал</t>
  </si>
  <si>
    <t>Итого собственный капитал акционеров</t>
  </si>
  <si>
    <t>Накопленные ассигнования</t>
  </si>
  <si>
    <t>Резервные отчисления</t>
  </si>
  <si>
    <t>Обязательства</t>
  </si>
  <si>
    <t>Долгосрочные обязательства</t>
  </si>
  <si>
    <t>Долгосрочная беспроцентная задолженность</t>
  </si>
  <si>
    <t>Краткосрочные обязательства</t>
  </si>
  <si>
    <t>Краткосрочные процентные обязательства</t>
  </si>
  <si>
    <t>Краткосрочные кредиты и займы</t>
  </si>
  <si>
    <t>Текущая часть по долгосрочным Кредитм</t>
  </si>
  <si>
    <t>Краткосрочные беспроцентные обязательства</t>
  </si>
  <si>
    <t>Прочая краткосрочная беспроцентная задолж.</t>
  </si>
  <si>
    <t>Накопленные инвестиционные расходы</t>
  </si>
  <si>
    <t>Вычисленная задолженность по налогам</t>
  </si>
  <si>
    <t>Итого обязательств</t>
  </si>
  <si>
    <t>СОБСТВЕННЫЙ КАПИТАЛ И ОБЯЗАТЕЛЬСТВА</t>
  </si>
  <si>
    <t>Проверка: Собственный капитал и обязательства - Активы</t>
  </si>
  <si>
    <t>Коррекция величины собственного капитала</t>
  </si>
  <si>
    <t>Обязательства по отложенным налогам</t>
  </si>
  <si>
    <t>СОБСТВЕННЫЕ СРЕДСТВА И ОБЯЗАТЕЛЬСТВА ГРУППЫ</t>
  </si>
  <si>
    <t>Проверка: Собственный капитал и обязательства – Активы (Группы)</t>
  </si>
  <si>
    <t>Тест на обесценение</t>
  </si>
  <si>
    <t>Балансовая стоимость активов</t>
  </si>
  <si>
    <t>Контрольная стоимость (+ прирост капитала / - убыток от обесценения)</t>
  </si>
  <si>
    <t>ФИНАНСОВЫЕ ПОКАЗАТЕЛИ</t>
  </si>
  <si>
    <t>Calculation file</t>
  </si>
  <si>
    <t>Vertailutaulukkoon:</t>
  </si>
  <si>
    <t>Investointiehdotus:</t>
  </si>
  <si>
    <t>Arvonalentumistesti Tosite:</t>
  </si>
  <si>
    <t>K A N N A T T A V U U S A N A L Y Y S I</t>
  </si>
  <si>
    <t>Projektikuvaus</t>
  </si>
  <si>
    <t>Yhtiölle</t>
  </si>
  <si>
    <t>Kokonaisinvestointi, nimellisarvo</t>
  </si>
  <si>
    <t>Diskontatut investoinnit</t>
  </si>
  <si>
    <t>Pääoman tuottovaatimus</t>
  </si>
  <si>
    <t>Tarkasteluaika</t>
  </si>
  <si>
    <t>Laskenta-ajankohta</t>
  </si>
  <si>
    <t>Liiketoiminnan kassavirtojen nykyarvo</t>
  </si>
  <si>
    <t>Kommentit</t>
  </si>
  <si>
    <t>Operatiivisen kassavirran nykyarvo</t>
  </si>
  <si>
    <t>Jäännösarvon nykyarvo</t>
  </si>
  <si>
    <t xml:space="preserve">      Nettokassavirtaan vuodelta</t>
  </si>
  <si>
    <t>Ekstrapolointiaika</t>
  </si>
  <si>
    <t>Laskentakorko</t>
  </si>
  <si>
    <t xml:space="preserve">      Vakio (ei kasvava)</t>
  </si>
  <si>
    <t xml:space="preserve">      Kasvava, vuotuisella prosentilla</t>
  </si>
  <si>
    <t>Oletettu Exit-kerroin</t>
  </si>
  <si>
    <t>Jäännösarvo</t>
  </si>
  <si>
    <t>Nykyarvo yhteensä (PV)</t>
  </si>
  <si>
    <t>Ostetun yhtiön korollinen nettovelka</t>
  </si>
  <si>
    <t>Vapaa kassavirtaperusteinen oma pääoma-arvo (EV)</t>
  </si>
  <si>
    <t>Perusteena EBITDA:</t>
  </si>
  <si>
    <t>Investointiehdotus</t>
  </si>
  <si>
    <t>Nimellinen</t>
  </si>
  <si>
    <t>Nykyarvo</t>
  </si>
  <si>
    <t>Ehdotetut investoinnit, hyödykkeet</t>
  </si>
  <si>
    <t>Investointisubventiot</t>
  </si>
  <si>
    <t>Ehdotetut investoinnit, osakkeet</t>
  </si>
  <si>
    <t xml:space="preserve"> kannattava</t>
  </si>
  <si>
    <t>Nettonykyarvo (NPV)</t>
  </si>
  <si>
    <t xml:space="preserve"> ei kannattava</t>
  </si>
  <si>
    <t>NPV kuukausiannuiteettina</t>
  </si>
  <si>
    <t>Annuiteetti investoinnista</t>
  </si>
  <si>
    <t>Vuosiannuiteetti</t>
  </si>
  <si>
    <t>Omaisuuserän kirjanpitoarvo (A)</t>
  </si>
  <si>
    <t>Käyttöarvo (B)</t>
  </si>
  <si>
    <t>Sisäinen korkokanta (IRR)</t>
  </si>
  <si>
    <t>Sisäinen korkokanta ennen veroja</t>
  </si>
  <si>
    <t>Modifioitu sisäinen korkokanta (MIRR)</t>
  </si>
  <si>
    <t>Suhteellinen nykyarvo (PI)</t>
  </si>
  <si>
    <t>Takaisinmaksuaika (Payback), vuosia</t>
  </si>
  <si>
    <t>Peruste: diskontattu FCF</t>
  </si>
  <si>
    <t>Laskenta-ajankohta, Payback</t>
  </si>
  <si>
    <t>Yksinkertainen Payback, vuosia</t>
  </si>
  <si>
    <t>Peruste: FCF</t>
  </si>
  <si>
    <t>Nettopääoman tuotto (RONA), %</t>
  </si>
  <si>
    <t>DCVA-perusteinen sisäinen korkokanta (IRRd)</t>
  </si>
  <si>
    <t>DCVA-perusteinen modifioitu sisäinen korkokanta (MIRRd)</t>
  </si>
  <si>
    <t>DCVA-perusteinen takaisinmaksuaika, vuosia</t>
  </si>
  <si>
    <t>Omalle pääomalle</t>
  </si>
  <si>
    <t>Oman pääoman tuottovaatimus</t>
  </si>
  <si>
    <t>Diskontattu FCFE ilman jäännösarvoa</t>
  </si>
  <si>
    <t>Jäännösarvon nykyarvo omalle pääomalle</t>
  </si>
  <si>
    <t>Velkajäännöskorjaus</t>
  </si>
  <si>
    <t>Nykyarvo omalle pääomalle (NPVe)</t>
  </si>
  <si>
    <t>NPVe kuukausiannuiteettina</t>
  </si>
  <si>
    <t>Sisäinen korkokanta omalle pääomalle (IRRe)</t>
  </si>
  <si>
    <t>Sisäinen korkokanta omalle pääomalle ennen veroja</t>
  </si>
  <si>
    <t>Modifioitu sisäinen korkokanta omalle pääomalle (MIRRe)</t>
  </si>
  <si>
    <t>Takaisinmaksuaika omalle pääomalle, vuosia</t>
  </si>
  <si>
    <t>Peruste: diskontattu FCFE</t>
  </si>
  <si>
    <t>Yksinkertainen Payback omalle pääomalle, vuosia</t>
  </si>
  <si>
    <t>Peruste: FCFE</t>
  </si>
  <si>
    <t>Laskelman on tehnyt</t>
  </si>
  <si>
    <t>Laskelmatiedosto</t>
  </si>
  <si>
    <t xml:space="preserve">      Näytä johtopäätökset kannattavuusmittareista</t>
  </si>
  <si>
    <t>Till jämförelsetabellen:</t>
  </si>
  <si>
    <t>Investeringsförslag:</t>
  </si>
  <si>
    <t>Nedskrivningsprövning:</t>
  </si>
  <si>
    <t>L Ö N S A M H E T S A N A L Y S</t>
  </si>
  <si>
    <t>Projektbeskrivning</t>
  </si>
  <si>
    <t>Till Företag</t>
  </si>
  <si>
    <t>Totalinvestering, nominellt värde</t>
  </si>
  <si>
    <t>Diskonterade investeringar</t>
  </si>
  <si>
    <t>Avkastningskrav</t>
  </si>
  <si>
    <t>Kalkyltid</t>
  </si>
  <si>
    <t>Kalkyltidpunkt</t>
  </si>
  <si>
    <t>Nuvärde av affärsverksamhetens kassaflöden</t>
  </si>
  <si>
    <t>Kommentarer</t>
  </si>
  <si>
    <t>Nuvärde av operativt kassaflöde</t>
  </si>
  <si>
    <t>Nuvärde av restvärde</t>
  </si>
  <si>
    <t xml:space="preserve">      Nettokassaflöde för år</t>
  </si>
  <si>
    <t>Extrapolering</t>
  </si>
  <si>
    <t xml:space="preserve">      Standard (ingen tillväxt)</t>
  </si>
  <si>
    <t xml:space="preserve">      Växande med tillväxtprocent</t>
  </si>
  <si>
    <t>Antagen Exit-multipel</t>
  </si>
  <si>
    <t>Restvärde</t>
  </si>
  <si>
    <t>Nuvärde totalt (PV)</t>
  </si>
  <si>
    <t>Köpt bolags räntebelagd nettoskuld</t>
  </si>
  <si>
    <t>Fritt kassaflödebaserat eget kapitalvärde (EV)</t>
  </si>
  <si>
    <t>Baserar på EBITDA:</t>
  </si>
  <si>
    <t>Investeringsförslag</t>
  </si>
  <si>
    <t>Nominellt</t>
  </si>
  <si>
    <t>Nuvärde</t>
  </si>
  <si>
    <t>Föreslagna investeringar i tillgångar</t>
  </si>
  <si>
    <t>Investeringsbidrag</t>
  </si>
  <si>
    <t>Föreslagna investeringar i aktier</t>
  </si>
  <si>
    <t xml:space="preserve"> lönsam</t>
  </si>
  <si>
    <t>Nettonuvärde (NPV)</t>
  </si>
  <si>
    <t xml:space="preserve"> ej lönsam</t>
  </si>
  <si>
    <t>NPV som månadsannuitet</t>
  </si>
  <si>
    <t>Annuitet av investering</t>
  </si>
  <si>
    <t>Årsannuitet</t>
  </si>
  <si>
    <t>Egendomspostens bokföringsvärde (A)</t>
  </si>
  <si>
    <t>Nyttjandevärde (B)</t>
  </si>
  <si>
    <t>Internränta (IRR)</t>
  </si>
  <si>
    <t>Internränta före skatt</t>
  </si>
  <si>
    <t>Modifierad internränta (MIRR)</t>
  </si>
  <si>
    <t>Nuvärdeskvot (PI)</t>
  </si>
  <si>
    <t>Återbetalningstid (Payback), år</t>
  </si>
  <si>
    <t>Baserad på diskonterat FCF</t>
  </si>
  <si>
    <t>Kalkyltidpunkt, Payback</t>
  </si>
  <si>
    <t>Enkel Payback, år</t>
  </si>
  <si>
    <t>Baserad på FCF</t>
  </si>
  <si>
    <t>Internränta baserad på DCVA (IRRd)</t>
  </si>
  <si>
    <t>Modifierad internränta baserad på DCVA (MIRRd)</t>
  </si>
  <si>
    <t>Återbetalningstid, år, baserad på DCVA</t>
  </si>
  <si>
    <t>Till Eget kapital</t>
  </si>
  <si>
    <t>Avkastningskrav på eget kapital</t>
  </si>
  <si>
    <t>Diskonterat FCFE utan restvärde</t>
  </si>
  <si>
    <t>Nuvärde av restvärde till eget kapital</t>
  </si>
  <si>
    <t>Skuldresidualkorrigering</t>
  </si>
  <si>
    <t>Nettonuvärde till eget kapital (NPVe)</t>
  </si>
  <si>
    <t>NPVe som månadsannuitet</t>
  </si>
  <si>
    <t>Internränta till eget kapital (IRRe)</t>
  </si>
  <si>
    <t>Internränta till eget kapital före skatt</t>
  </si>
  <si>
    <t>Modifierad internränta till eget kapital (MIRRe)</t>
  </si>
  <si>
    <t>Återbetalningstid till eget kapital, år</t>
  </si>
  <si>
    <t>Baserad på diskonterat FCFE</t>
  </si>
  <si>
    <t>Enkel Payback till eget kapital, år</t>
  </si>
  <si>
    <t>Baserad på FCFE</t>
  </si>
  <si>
    <t>Kalkylen sammanställd av</t>
  </si>
  <si>
    <t>Kalkylfil</t>
  </si>
  <si>
    <t xml:space="preserve">      Visa slutsatser av lönsamhetsindikatorer</t>
  </si>
  <si>
    <t>In der Vergleichstabelle:</t>
  </si>
  <si>
    <t>Investitionsvorschlag:</t>
  </si>
  <si>
    <t>Wertminderungstest:</t>
  </si>
  <si>
    <t>R E N T A B I L I T Ä T S A N A L Y S E</t>
  </si>
  <si>
    <t>Gesamtinvestition, Nominalwert</t>
  </si>
  <si>
    <t>Diskontierte Investitionen</t>
  </si>
  <si>
    <t>Renditeforderung</t>
  </si>
  <si>
    <t>Planungszeitraum</t>
  </si>
  <si>
    <t>Kalkulationszeitpunkt</t>
  </si>
  <si>
    <t>Barwert des betrieblichen Cash Flows</t>
  </si>
  <si>
    <t>Bemerkungen</t>
  </si>
  <si>
    <t>Barwert des operativen Cash Flows</t>
  </si>
  <si>
    <t>Barwert der Restwerte</t>
  </si>
  <si>
    <t xml:space="preserve">      Netto-Cash Flow für das Jahr</t>
  </si>
  <si>
    <t xml:space="preserve">      Jahreswert eingeben</t>
  </si>
  <si>
    <t>Art der Fortführung</t>
  </si>
  <si>
    <t xml:space="preserve">      Standard (kein Zuwachs)</t>
  </si>
  <si>
    <t xml:space="preserve">      Veränderung pro Jahr (in %)</t>
  </si>
  <si>
    <t>Barwert gesamt</t>
  </si>
  <si>
    <t>Verzinsliche Nettoschuld der akquirierten Gesellschaft</t>
  </si>
  <si>
    <t>Basis EBITDA:</t>
  </si>
  <si>
    <t>Investitionsvorschlag</t>
  </si>
  <si>
    <t>Nominalwert</t>
  </si>
  <si>
    <t>Barwert</t>
  </si>
  <si>
    <t>Vorgeschlagene Sachinvestitionen</t>
  </si>
  <si>
    <t>Investitionszuschüsse</t>
  </si>
  <si>
    <t>Vorgeschlagene Investitionen in Beteiligungen</t>
  </si>
  <si>
    <t xml:space="preserve"> rentabel</t>
  </si>
  <si>
    <t>Kapitalwert (NPV)</t>
  </si>
  <si>
    <t xml:space="preserve"> nicht rentabel</t>
  </si>
  <si>
    <t>NPV als Monatsannuität</t>
  </si>
  <si>
    <t>Annuität der Investition</t>
  </si>
  <si>
    <t xml:space="preserve"> Jahresannuität</t>
  </si>
  <si>
    <t>Buchwert der Aktivposten (A)</t>
  </si>
  <si>
    <t>Gebrauchswert (B)</t>
  </si>
  <si>
    <t>Interner Zinsfuss (IRR)</t>
  </si>
  <si>
    <t>Interner Zinsfuss vor Steuern</t>
  </si>
  <si>
    <t>Modifizierter Interner Zinsfuss (MIRR)</t>
  </si>
  <si>
    <t>Profitabilitätsindex (PI)</t>
  </si>
  <si>
    <t>Amortisationsdauer (Payback), Jahre</t>
  </si>
  <si>
    <t xml:space="preserve">Basierend auf diskontiertem FCF </t>
  </si>
  <si>
    <t>Kalkulationszeitpunkt, Payback</t>
  </si>
  <si>
    <t>Einfache Payback-Dauer, Jahre</t>
  </si>
  <si>
    <t>Basierend auf FCF</t>
  </si>
  <si>
    <t>Interner Zinsfuss (IRR) auf Basis DCVA (IRRd)</t>
  </si>
  <si>
    <t>Modifizierter Interner Zinsfuss auf Basis DCVA (MIRRd)</t>
  </si>
  <si>
    <t>Amortisationsdauer auf Basis DCVA, Jahre</t>
  </si>
  <si>
    <t>Eigenkapitalkosten</t>
  </si>
  <si>
    <t>Diskontierter FCFE ohne Residualwert</t>
  </si>
  <si>
    <t>PV des Residualwertes des Eigenkapitals</t>
  </si>
  <si>
    <t>Korrektur für Fremdkapital Residualwert</t>
  </si>
  <si>
    <t>Kapitalwert des Eigenkapitals (NPVe)</t>
  </si>
  <si>
    <t>NPVe als monatliche Annuität</t>
  </si>
  <si>
    <t>Interner Zinsfuß des Eigenkapitals (IRRe)</t>
  </si>
  <si>
    <t>Interner Zinsfuß des Eigenkapitals vor Steuern</t>
  </si>
  <si>
    <t>Modifizierter interner Zinsfuß des Eigenkapitals (MIRRe)</t>
  </si>
  <si>
    <t>Amortisationsdauer des Eigenkapitals in Jahren</t>
  </si>
  <si>
    <t>Basierend auf diskontiertem FCFE</t>
  </si>
  <si>
    <t>Einfache Payback-Dauer des Eigenkapitals, Jahre</t>
  </si>
  <si>
    <t>Basierend auf FCFE</t>
  </si>
  <si>
    <t>Erstellt durch</t>
  </si>
  <si>
    <t>Datei</t>
  </si>
  <si>
    <t xml:space="preserve">      Zeige Folgerungen aus Kennzahlen </t>
  </si>
  <si>
    <t>Do tabeli porównawczej:</t>
  </si>
  <si>
    <t>Propozycja inwestycji</t>
  </si>
  <si>
    <t>Weryfikacja testu na trwałą utratę wartości aktywów:</t>
  </si>
  <si>
    <t>ANALIZA RENTOWNOŚCI</t>
  </si>
  <si>
    <t>Opis projektu</t>
  </si>
  <si>
    <t>Dla Firmy</t>
  </si>
  <si>
    <t>Nominalna wartość inwestycji</t>
  </si>
  <si>
    <t>Inwestycje zdyskont.</t>
  </si>
  <si>
    <t>Oczekiwana stopa zwrotu</t>
  </si>
  <si>
    <t>Okres obliczeniowy</t>
  </si>
  <si>
    <t>Moment obliczeniowy</t>
  </si>
  <si>
    <t>Wartość bieżąca przepływów operacyjnych</t>
  </si>
  <si>
    <t>Uwagi</t>
  </si>
  <si>
    <t>Wartość bieżąca przepływów pieniężnych z dział. operacyjnej</t>
  </si>
  <si>
    <t>Renta wieczysta oparta jest o:</t>
  </si>
  <si>
    <t xml:space="preserve">      Przepływy pieniężne netto za rok</t>
  </si>
  <si>
    <t>Okres ekstrapolacji</t>
  </si>
  <si>
    <t>Rodzaj renty wieczystej</t>
  </si>
  <si>
    <t>Stopa dyskontowa</t>
  </si>
  <si>
    <t xml:space="preserve">      Standardowa (bez wzrostu)</t>
  </si>
  <si>
    <t xml:space="preserve">      Rosnąca rocznie o określony procent</t>
  </si>
  <si>
    <t>Zastosowany mnożnik wartości</t>
  </si>
  <si>
    <t>Wartość rezydualna</t>
  </si>
  <si>
    <t>Wartość bieżąca przepływów pieniężnych</t>
  </si>
  <si>
    <t>Ogółem wartość bieżąca (PV)</t>
  </si>
  <si>
    <t>Oprocentowany dług netto przejmowanej firmy</t>
  </si>
  <si>
    <t>Oparty o EBITDA:</t>
  </si>
  <si>
    <t>Nominalna</t>
  </si>
  <si>
    <t>Wartość bieżąca</t>
  </si>
  <si>
    <t>Propozycja inwestycji w aktywa</t>
  </si>
  <si>
    <t>Dotacje na inwestycje</t>
  </si>
  <si>
    <t>Propozycja inwestycji w akcje/udziały</t>
  </si>
  <si>
    <t xml:space="preserve"> Opłacalny</t>
  </si>
  <si>
    <t>Wartość bieżąca netto (NPV)</t>
  </si>
  <si>
    <t xml:space="preserve"> Nieopłacalny</t>
  </si>
  <si>
    <t>NPV jako miesięczna płatność/annuita</t>
  </si>
  <si>
    <t>Annuita (renta okresowa)</t>
  </si>
  <si>
    <t>Renta roczna</t>
  </si>
  <si>
    <t>Wartość księgowa składnika aktywów (A)</t>
  </si>
  <si>
    <t>Wartość użytkowa (B)</t>
  </si>
  <si>
    <t>Wewnętrzna stopa zwrotu (IRR)</t>
  </si>
  <si>
    <t>Wewnętrzna stopa zwrotu przed opodatkowaniem</t>
  </si>
  <si>
    <t>Zmodyfikowana wewnętrzna stopa zwrotu (MIRR)</t>
  </si>
  <si>
    <t>Indeks rentowności (PI)</t>
  </si>
  <si>
    <t>Okres zwrotu (lata)</t>
  </si>
  <si>
    <t>Ze zdyskontowanych FCF</t>
  </si>
  <si>
    <t>Moment obliczeniowy dla okresu zwrotu</t>
  </si>
  <si>
    <t>Prosty okres zwrotu, lata</t>
  </si>
  <si>
    <t>W oparciu o FCF</t>
  </si>
  <si>
    <t>Zwrot z aktywów netto (RONA), %</t>
  </si>
  <si>
    <t>Wewnętrzna stopa zwrotu oparta o DCVA (IRRd)</t>
  </si>
  <si>
    <t>Zmodyfikowana wewn. stopa zwrotu oparta o DCVA (MIRRd)</t>
  </si>
  <si>
    <t>Okres zwrotu, lata, oparty o DCVA</t>
  </si>
  <si>
    <t>Dla Właścicieli kapitału</t>
  </si>
  <si>
    <t>Koszt kapitału własnego</t>
  </si>
  <si>
    <t>Zdyskontowane FCFE bez wartości rezydulanej</t>
  </si>
  <si>
    <t>Korekta o rezydualną część długu</t>
  </si>
  <si>
    <t>Wartość bieżąca dla dostawcy kapitału własnego (NPVe)</t>
  </si>
  <si>
    <t xml:space="preserve">NPVe jako miesięczna annuita </t>
  </si>
  <si>
    <t>Wewnętrzna stopa zwrotu dla dostawcy kapit. własn. (IRRe)</t>
  </si>
  <si>
    <t>Wewnętrzna stopa zwrotu dla dawców kapitału przed opodatkowaniem</t>
  </si>
  <si>
    <t>Zmod. wewn. stopa zwrotu dla dostawcy kapit. własn.(MIRRe)</t>
  </si>
  <si>
    <t>Okres zwrotu dla dostawcy kapitału własnego, w latach</t>
  </si>
  <si>
    <t>Ze zdyskontowanych FCFE</t>
  </si>
  <si>
    <t>Prosty okres zwrotu dla właścicieli kapitału, lata</t>
  </si>
  <si>
    <t>W oparciu o FCFE</t>
  </si>
  <si>
    <t>Obliczeń dokonał(a)</t>
  </si>
  <si>
    <t>Plik z obliczeniami:</t>
  </si>
  <si>
    <t xml:space="preserve">      Pokaż wnioski ze wskaźników rentowności</t>
  </si>
  <si>
    <t>A la tabla de comparación:</t>
  </si>
  <si>
    <t>Propuesta de inversión:</t>
  </si>
  <si>
    <t>Verificación de la prueba de pérdida de valor:</t>
  </si>
  <si>
    <t>ANALISIS DE RENTABILIDAD</t>
  </si>
  <si>
    <t>Descripción de proyecto</t>
  </si>
  <si>
    <t>Para la empresa</t>
  </si>
  <si>
    <t>Valor nominal de inversiones</t>
  </si>
  <si>
    <t>Inversiones descontadas</t>
  </si>
  <si>
    <t>Tasa de rendimiento requerida</t>
  </si>
  <si>
    <t>Plazo de cálculo</t>
  </si>
  <si>
    <t>Punto de cálculo</t>
  </si>
  <si>
    <t>Valor actual de flujos de caja empresarial</t>
  </si>
  <si>
    <t>Notas</t>
  </si>
  <si>
    <t>Valor actual de flujo de caja operativo</t>
  </si>
  <si>
    <t>Valor actual de valor residual</t>
  </si>
  <si>
    <t>Anualidad perpetua basada en</t>
  </si>
  <si>
    <t xml:space="preserve">      Flujo de caja neto para el año</t>
  </si>
  <si>
    <t>Período de extrapolación</t>
  </si>
  <si>
    <t>Tipo de anualidad perpetua</t>
  </si>
  <si>
    <t>Tasa de descuento</t>
  </si>
  <si>
    <t xml:space="preserve">      Normal (sin crecimiento)</t>
  </si>
  <si>
    <t xml:space="preserve">      Crecimiento por porcentaje anual</t>
  </si>
  <si>
    <t>Valor inicial intrínsico</t>
  </si>
  <si>
    <t>Valor residual</t>
  </si>
  <si>
    <t>Valor actual total (PV)</t>
  </si>
  <si>
    <t>Deuda neta con intereses de empresa adquirida</t>
  </si>
  <si>
    <t>Valor contable de la participación (EV)</t>
  </si>
  <si>
    <t xml:space="preserve">Basado en EBITDA </t>
  </si>
  <si>
    <t>Propuesta de inversión</t>
  </si>
  <si>
    <t>Valor actual</t>
  </si>
  <si>
    <t>Inversiones propuestas en activos</t>
  </si>
  <si>
    <t>Subvenciones de inversión</t>
  </si>
  <si>
    <t>Inversiones propuestas en acciones</t>
  </si>
  <si>
    <t xml:space="preserve"> rentable</t>
  </si>
  <si>
    <t>Valor actual neto (NPV)</t>
  </si>
  <si>
    <t xml:space="preserve"> no rentable</t>
  </si>
  <si>
    <t>NPV como mensualidad</t>
  </si>
  <si>
    <t>Anualidad de inversión</t>
  </si>
  <si>
    <t>Anualidad</t>
  </si>
  <si>
    <t>Valor contable de activos (A)</t>
  </si>
  <si>
    <t>Valor de uso (B)</t>
  </si>
  <si>
    <t>Tasa interna de Retorno (IRR)</t>
  </si>
  <si>
    <t>Tasa interna de Retorno antes de impuestos</t>
  </si>
  <si>
    <t>Tasa interna de Retorno modificada</t>
  </si>
  <si>
    <t>Índice de rentabilidad (PI)</t>
  </si>
  <si>
    <t>Plazo de recuperación, años</t>
  </si>
  <si>
    <t>Del FCF descontado</t>
  </si>
  <si>
    <t>Punto de cálculo, recuperación</t>
  </si>
  <si>
    <t>Período de reembolso, años</t>
  </si>
  <si>
    <t>Del FCF</t>
  </si>
  <si>
    <t>Beneficio sobre activos netos (RONA), %</t>
  </si>
  <si>
    <t>Valor económico añadido (EVA)</t>
  </si>
  <si>
    <t>Valor añadido descontado (DCVA)</t>
  </si>
  <si>
    <t>Tasa de rentabilidad interna basada en DCVA (IRRd)</t>
  </si>
  <si>
    <t>Tasa de rentabilidad interna modificada basada en DCVA (MIRRd)</t>
  </si>
  <si>
    <t>Tiempo de recuperación, años, basado en DCVA</t>
  </si>
  <si>
    <t>Para los accionistas</t>
  </si>
  <si>
    <t>Coste de los fondos propios</t>
  </si>
  <si>
    <t>FCFE descontado sin valor residual</t>
  </si>
  <si>
    <t>Corrección de valor residual</t>
  </si>
  <si>
    <t>Valor actual neto para los accionistas (NPVe)</t>
  </si>
  <si>
    <t>NPV para los accionistas como importe mensual</t>
  </si>
  <si>
    <t>Tasa interna de Retorno para los accionistas (IRRe)</t>
  </si>
  <si>
    <t>Tasa interna de Retorno a Capital antes de impuestos</t>
  </si>
  <si>
    <t>Tasa interna de Retorno modificada para los accionistas (MIRRe)</t>
  </si>
  <si>
    <t>Tiempo de recuperación para los accionistas, años</t>
  </si>
  <si>
    <t>Del FCFE descontado</t>
  </si>
  <si>
    <t>Período de reembolso para los accionistas, años</t>
  </si>
  <si>
    <t>Del FCFE</t>
  </si>
  <si>
    <t>Cálculo realizado por</t>
  </si>
  <si>
    <t>Archivo de cálculo</t>
  </si>
  <si>
    <t xml:space="preserve">      Mostrar conclusiones de indicadores de rentabilidad</t>
  </si>
  <si>
    <t>К таблице сравнения:</t>
  </si>
  <si>
    <t>Инвестиционное Предложение:</t>
  </si>
  <si>
    <t>Верификация теста на обесценение:</t>
  </si>
  <si>
    <t>А Н А Л И З   Р Е Н Т А Б Е Л Ь Н О С Т И</t>
  </si>
  <si>
    <t>Описание проекта</t>
  </si>
  <si>
    <t>Для компании</t>
  </si>
  <si>
    <t>Номинальная стоимость всех инвестиций</t>
  </si>
  <si>
    <t>Дисконт. инвестиции</t>
  </si>
  <si>
    <t>Требуемый уровень доходности</t>
  </si>
  <si>
    <t>Срок вычисления</t>
  </si>
  <si>
    <t>Точка вычисления</t>
  </si>
  <si>
    <t>Текущая стоимость коммерческих денежных потоков</t>
  </si>
  <si>
    <t>Примечания</t>
  </si>
  <si>
    <t>Текущая стоимость операционного денежного потока</t>
  </si>
  <si>
    <t>Текущая стоимость остаточной стоимости</t>
  </si>
  <si>
    <t>Бесконечный денежный поток основан на</t>
  </si>
  <si>
    <t xml:space="preserve">      Чистый денежный поток за год</t>
  </si>
  <si>
    <t>Период экстраполяции</t>
  </si>
  <si>
    <t>Тип бесконечного денежного потока</t>
  </si>
  <si>
    <t>Учетная ставка</t>
  </si>
  <si>
    <t xml:space="preserve">      Стандартная (без увеличения)</t>
  </si>
  <si>
    <t xml:space="preserve">      Прирост по годовой процентной ставке</t>
  </si>
  <si>
    <t>Подразумеваемое конечное кратное</t>
  </si>
  <si>
    <t>Остаточная Стоимость</t>
  </si>
  <si>
    <t>Итого Текущая Стоимость (PV)</t>
  </si>
  <si>
    <t>Чистая процентная задолж. приобретенной компании</t>
  </si>
  <si>
    <t>Стоимость собств. капитала на основе своб. ден. Потока (EV)</t>
  </si>
  <si>
    <t>Основ. на EBITDA:</t>
  </si>
  <si>
    <t>Инвестиционное Предложение</t>
  </si>
  <si>
    <t>Номинал</t>
  </si>
  <si>
    <t>Предполагаемые инвестиции в активы</t>
  </si>
  <si>
    <t>Инвестиционные субсидии</t>
  </si>
  <si>
    <t>Предполагаемые инвестиции в акции</t>
  </si>
  <si>
    <t xml:space="preserve"> Прибыльный</t>
  </si>
  <si>
    <t>Чистая Текущая Стоимость (NPV)</t>
  </si>
  <si>
    <t xml:space="preserve"> Не прибыльный</t>
  </si>
  <si>
    <t>NPV как ежемесячный аннуитет</t>
  </si>
  <si>
    <t>Аннуитет инвестиции</t>
  </si>
  <si>
    <t>Годовой аннуитет</t>
  </si>
  <si>
    <t>Балансовая стоимость активов (А)</t>
  </si>
  <si>
    <t>Cтоимость от использования (В)</t>
  </si>
  <si>
    <t>Внутренняя Норма Доходности (IRR)</t>
  </si>
  <si>
    <t>Внутренняя Норма Доходности до налогообложения</t>
  </si>
  <si>
    <t>Модиф. Внутр. Норма Доходности (MIRR)</t>
  </si>
  <si>
    <t>Индекс Рентабельности (PI)</t>
  </si>
  <si>
    <t>Срок окупаемости, гг.</t>
  </si>
  <si>
    <t>Основ. на дисконтированном FCF</t>
  </si>
  <si>
    <t>Точка вычисления, Окупаемость</t>
  </si>
  <si>
    <t>Простая Окупаемость, лет</t>
  </si>
  <si>
    <t>Основ. на FCF</t>
  </si>
  <si>
    <t>Рентабельность чистых активов (RONA)</t>
  </si>
  <si>
    <t>Экономическая Добавленная Стоимость (EVA)</t>
  </si>
  <si>
    <t>Дисконт. Добавленная Стоимость (DCVA)</t>
  </si>
  <si>
    <t>Внутренняя Норма Доходности, основанная на DCVA (IRRd)</t>
  </si>
  <si>
    <t>Модифицированная Внутренняя Норма Доходности, основанная на DCVA (MIRRd)</t>
  </si>
  <si>
    <t>Время окупаемости, гг., основанное на DCVA</t>
  </si>
  <si>
    <t>Для акционеров</t>
  </si>
  <si>
    <t>Стоимость собственного капитала</t>
  </si>
  <si>
    <t>Дисконтированный FCFE, без остаточной стоимости</t>
  </si>
  <si>
    <t>Тек. стоимость остаточной стоимости на собств. капитал</t>
  </si>
  <si>
    <t xml:space="preserve">      Стандартный (без увеличения)</t>
  </si>
  <si>
    <t>Коррекция остатка задолженности</t>
  </si>
  <si>
    <t>Чистая Текущая Стоимость на собственный капитал (NPVe)</t>
  </si>
  <si>
    <t>NPVe как ежемесячный аннуитет</t>
  </si>
  <si>
    <t>Внутренняя Норма Доходности на собственный капитал (IRRe)</t>
  </si>
  <si>
    <t>Внутренняя Норма Доходности на собственный капитал до налогообложения</t>
  </si>
  <si>
    <t>Модифицированная Внутренняя Норма Доходности на собственный капитал (MIRRe)</t>
  </si>
  <si>
    <t>Время окупаемости на собственный капитал, гг.</t>
  </si>
  <si>
    <t>Основ. на дисконтированном FCFE</t>
  </si>
  <si>
    <t>Простая Окупаемость на Собственный капитал, лет</t>
  </si>
  <si>
    <t>Основ. на FCFE</t>
  </si>
  <si>
    <t>Вычисление выполнено</t>
  </si>
  <si>
    <t>Файл Вычисления</t>
  </si>
  <si>
    <t xml:space="preserve">      Показать выводы индикаторов рентабельности</t>
  </si>
  <si>
    <t>Laskentakoron vaikutus kannattavuuteen</t>
  </si>
  <si>
    <t xml:space="preserve"> Laskentakorko</t>
  </si>
  <si>
    <t xml:space="preserve"> Muutos, %</t>
  </si>
  <si>
    <t xml:space="preserve"> Oman pääoman tuottovaatimus</t>
  </si>
  <si>
    <t>Kokonaisinvestoinnin vaikutus kannattavuuteen</t>
  </si>
  <si>
    <t xml:space="preserve"> Avainluvut</t>
  </si>
  <si>
    <t>Tuottojen vaikutus kannattavuuteen</t>
  </si>
  <si>
    <t xml:space="preserve"> Muutos tuotoissa, %</t>
  </si>
  <si>
    <t>Muuttuvien kulujen vaikutus kannattavuuteen</t>
  </si>
  <si>
    <t xml:space="preserve"> Muutos muuttuvissa kuluissa, %</t>
  </si>
  <si>
    <t>Kiinteiden kulujen vaikutus kannattavuuteen</t>
  </si>
  <si>
    <t xml:space="preserve"> Muutos kiinteissä kuluissa, %</t>
  </si>
  <si>
    <t xml:space="preserve"> Muuttuja</t>
  </si>
  <si>
    <t xml:space="preserve"> Muutos arvossa, %</t>
  </si>
  <si>
    <t xml:space="preserve"> Esimerkkiarvo</t>
  </si>
  <si>
    <t>Kalkylräntans inverkan på lönsamheten</t>
  </si>
  <si>
    <t xml:space="preserve"> Kalkylränta</t>
  </si>
  <si>
    <t xml:space="preserve"> Förändring, %</t>
  </si>
  <si>
    <t xml:space="preserve"> Avkastningskrav på eget kapital</t>
  </si>
  <si>
    <t>Totalinvesteringens inverkan på lönsamheten</t>
  </si>
  <si>
    <t xml:space="preserve"> Nyckeltal</t>
  </si>
  <si>
    <t>Intäkternas inverkan på lönsamheten</t>
  </si>
  <si>
    <t xml:space="preserve"> Förändring i intäkter, %</t>
  </si>
  <si>
    <t>Rörliga kostnaders inverkan på lönsamheten</t>
  </si>
  <si>
    <t xml:space="preserve"> Förändring i rörliga kostn., %</t>
  </si>
  <si>
    <t>Fasta kostnaders inverkan på lönsamheten</t>
  </si>
  <si>
    <t xml:space="preserve"> Förändring i fasta kostn., %</t>
  </si>
  <si>
    <t xml:space="preserve"> Variabel</t>
  </si>
  <si>
    <t xml:space="preserve"> Förändring i värde, %</t>
  </si>
  <si>
    <t xml:space="preserve"> Exempelvärde</t>
  </si>
  <si>
    <t xml:space="preserve"> Kalkulationszinsfuss</t>
  </si>
  <si>
    <t xml:space="preserve"> Änderung, %</t>
  </si>
  <si>
    <t xml:space="preserve"> Eigenkapitalkosten</t>
  </si>
  <si>
    <t xml:space="preserve"> Gesamtinvestition,</t>
  </si>
  <si>
    <t xml:space="preserve"> Kennzahlen</t>
  </si>
  <si>
    <t xml:space="preserve"> Ertragsveränderung, %</t>
  </si>
  <si>
    <t xml:space="preserve"> Variable Kosten, Änderung, %</t>
  </si>
  <si>
    <t xml:space="preserve"> Fixkosten, Änderung,%</t>
  </si>
  <si>
    <t>Die Variable</t>
  </si>
  <si>
    <t>Änderung, %</t>
  </si>
  <si>
    <t>Beispiel Wert</t>
  </si>
  <si>
    <t>Wpływ współczynnika dyskontującego na rentowność</t>
  </si>
  <si>
    <t xml:space="preserve"> Współczynnik dyskontujący</t>
  </si>
  <si>
    <t xml:space="preserve"> Zmiana (%)</t>
  </si>
  <si>
    <t xml:space="preserve"> Koszt kapitału własnego</t>
  </si>
  <si>
    <t>Wpływ łącznej inwestycji na rentowność</t>
  </si>
  <si>
    <t xml:space="preserve"> Kluczowe dane</t>
  </si>
  <si>
    <t>Wpływ przychodu na rentowność</t>
  </si>
  <si>
    <t xml:space="preserve"> Zmiana przychodu (%)</t>
  </si>
  <si>
    <t>Wpływ kosztów zmiennych na rentowność</t>
  </si>
  <si>
    <t xml:space="preserve"> Zmiana kosztów zmiennych (%)</t>
  </si>
  <si>
    <t>Wpływ kosztów stałych na rentowność</t>
  </si>
  <si>
    <t xml:space="preserve"> Zmiana kosztów stałych (%)</t>
  </si>
  <si>
    <t xml:space="preserve"> Wybór przychodu</t>
  </si>
  <si>
    <t xml:space="preserve"> Zmiana wartości (%)</t>
  </si>
  <si>
    <t xml:space="preserve"> Wartość zmiennej</t>
  </si>
  <si>
    <t>Impacto del factor de descuento en la rentabilidad</t>
  </si>
  <si>
    <t xml:space="preserve"> Factor de descuento</t>
  </si>
  <si>
    <t xml:space="preserve"> Cambio, %</t>
  </si>
  <si>
    <t xml:space="preserve"> Coste de los fondos propios</t>
  </si>
  <si>
    <t>Impacto de la inversión total en la rentabilidad</t>
  </si>
  <si>
    <t xml:space="preserve"> Cifras claves</t>
  </si>
  <si>
    <t>Impacto de los ingresos en la rentabilidad</t>
  </si>
  <si>
    <t xml:space="preserve"> Cambio en ingresos, %</t>
  </si>
  <si>
    <t>Impacto de los costes variables en la rentabilidad</t>
  </si>
  <si>
    <t xml:space="preserve"> Cambio en costes variables, %</t>
  </si>
  <si>
    <t>Impacto de los costes fijos en la rentabilidad</t>
  </si>
  <si>
    <t xml:space="preserve"> Cambio en costes fijos, %</t>
  </si>
  <si>
    <t xml:space="preserve"> Cambio en el valor, %</t>
  </si>
  <si>
    <t xml:space="preserve"> Valor de muestra</t>
  </si>
  <si>
    <t>Влияние коэффициента дисконтирования на рентабельность</t>
  </si>
  <si>
    <t>Коэффициент дисконтирования</t>
  </si>
  <si>
    <t>Изменение, %</t>
  </si>
  <si>
    <t>Влияние суммы инвестиций на рентабельность</t>
  </si>
  <si>
    <t>Финансовые показатели</t>
  </si>
  <si>
    <t>Влияние доходов на рентабельность</t>
  </si>
  <si>
    <t>Изменения по Доходам, %</t>
  </si>
  <si>
    <t>Влияние переменных расходов на рентабельность</t>
  </si>
  <si>
    <t>Изменения по Перем. расходам, %</t>
  </si>
  <si>
    <t>Влияние фиксированных расходов на рентабельность</t>
  </si>
  <si>
    <t>Изменения по Фикс. расходам, %</t>
  </si>
  <si>
    <t>Влияние переменной доходов на рентабельность</t>
  </si>
  <si>
    <t>Изменения в стоимости, %</t>
  </si>
  <si>
    <t>Значение переменной</t>
  </si>
  <si>
    <t>Show key figures</t>
  </si>
  <si>
    <t>Operating profit, %</t>
  </si>
  <si>
    <t>Profit before income tax, %</t>
  </si>
  <si>
    <t>Profit for the period from continuing operations, %</t>
  </si>
  <si>
    <t>Profit for the period, %</t>
  </si>
  <si>
    <t>Näytä avainluvut</t>
  </si>
  <si>
    <t>Jatkuvat toiminnot</t>
  </si>
  <si>
    <t>Liikevaihto</t>
  </si>
  <si>
    <t>Liiketoiminnan muut tuotot</t>
  </si>
  <si>
    <t>Aineiden ja tarvikkeiden käyttö</t>
  </si>
  <si>
    <t>Työsuhde-etuuksista aiheutuvat kulut</t>
  </si>
  <si>
    <t>Poistot, arvonalentumiset ja liikearvon arvonalentuminen</t>
  </si>
  <si>
    <t>Liiketoiminnan muut kulut</t>
  </si>
  <si>
    <t>Liikevoitto, %</t>
  </si>
  <si>
    <t>Osuus osakkuusyritysten tuloksesta</t>
  </si>
  <si>
    <t>Rahoituserät netto</t>
  </si>
  <si>
    <t>Voitto ennen veroja</t>
  </si>
  <si>
    <t>Voitto ennen veroja, %</t>
  </si>
  <si>
    <t>Tuloverot</t>
  </si>
  <si>
    <t>Tilikauden voitto jatkuvista toiminnoista</t>
  </si>
  <si>
    <t>Tilikauden voitto jatkuvista toiminnoista, %</t>
  </si>
  <si>
    <t>Lopetetut toiminnot</t>
  </si>
  <si>
    <t>Tilikauden voitto lopetetuista toiminnoista</t>
  </si>
  <si>
    <t>Tilikauden voitto</t>
  </si>
  <si>
    <t>Tilikauden voitto, %</t>
  </si>
  <si>
    <t>Jakautuminen:</t>
  </si>
  <si>
    <t>Emoyhtiön omistajille</t>
  </si>
  <si>
    <t>Vähemmistölle</t>
  </si>
  <si>
    <t>VARAT</t>
  </si>
  <si>
    <t>Pitkäaikaiset varat</t>
  </si>
  <si>
    <t>Aineelliset käyttöomaisuushyödykkeet</t>
  </si>
  <si>
    <t>Osuudet osakkuusyrityksissä</t>
  </si>
  <si>
    <t>Muut pitkäaikaiset sijoitukset</t>
  </si>
  <si>
    <t>Pitkäaikaiset varat yhteensä</t>
  </si>
  <si>
    <t>Lyhytaikaiset varat</t>
  </si>
  <si>
    <t>Myyntisaamiset ja muut saamiset</t>
  </si>
  <si>
    <t>Rahavarat</t>
  </si>
  <si>
    <t>Lyhytaikaiset varat yhteensä</t>
  </si>
  <si>
    <t>Varat yhteensä</t>
  </si>
  <si>
    <t>OMA PÄÄOMA</t>
  </si>
  <si>
    <t>Emoyhtiön omistajille kuuluva oma pääoma</t>
  </si>
  <si>
    <t>Muu oma pääoma</t>
  </si>
  <si>
    <t>Vähemmistön osuus</t>
  </si>
  <si>
    <t>VELAT</t>
  </si>
  <si>
    <t>Pitkäaikaiset velat</t>
  </si>
  <si>
    <t>Korolliset velat</t>
  </si>
  <si>
    <t>Muut velat</t>
  </si>
  <si>
    <t>Pitkäaikaiset velat yhteensä</t>
  </si>
  <si>
    <t>Lyhytaikaiset korolliset velat</t>
  </si>
  <si>
    <t>Kauden verotettavaan tuloon perustuvat verovelat</t>
  </si>
  <si>
    <t>Ostovelat ja muut velat</t>
  </si>
  <si>
    <t>Lyhytaikaiset velat yhteensä</t>
  </si>
  <si>
    <t>Velat yhteensä</t>
  </si>
  <si>
    <t>Oma pääoma ja velat yhteensä</t>
  </si>
  <si>
    <t>Liiketoiminnan rahavirrat</t>
  </si>
  <si>
    <t>Liiketulos ennen poistoja, jatkuvat toiminnot</t>
  </si>
  <si>
    <t>Liiketoimet joihin ei liity maksutapahtumaa</t>
  </si>
  <si>
    <t>Osinkotuotot</t>
  </si>
  <si>
    <t>Tulorahoitus, jatkuvat toiminnot</t>
  </si>
  <si>
    <t>Käyttöpääoman muutokset</t>
  </si>
  <si>
    <t>Liiketoiminnan nettorahavirta, jatkuvat toiminnot</t>
  </si>
  <si>
    <t>Liiketoiminnan nettorahavirta, lopetetut toiminnot</t>
  </si>
  <si>
    <t>Liiketoiminnan nettorahavirta</t>
  </si>
  <si>
    <t>Investointien rahavirrat</t>
  </si>
  <si>
    <t>Käyttöomaisuushankinnat</t>
  </si>
  <si>
    <t>Osakehankinnat</t>
  </si>
  <si>
    <t>Käyttöomaisuushyödykkeiden myynti</t>
  </si>
  <si>
    <t>Osakemyynnit</t>
  </si>
  <si>
    <t>Muut investoinnit</t>
  </si>
  <si>
    <t>Nettorahavirta käytetty investointeihin jatkuviin toimintoihin</t>
  </si>
  <si>
    <t>Nettorahavirta käytetty investointeihin lopetettuihin toimintoihin</t>
  </si>
  <si>
    <t>Investointien nettorahavirta</t>
  </si>
  <si>
    <t>Rahavirta ennen rahoitustoimintoja</t>
  </si>
  <si>
    <t>Rahoituksen rahavirrat</t>
  </si>
  <si>
    <t>Lainojen muutos, netto</t>
  </si>
  <si>
    <t>Maksetut osingot</t>
  </si>
  <si>
    <t>Muut rahoituserät</t>
  </si>
  <si>
    <t>Nettorahavirta käytetty rahoittamaan jatkuvia toimintoja</t>
  </si>
  <si>
    <t>Nettorahavirta käytetty rahoittamaan lopetettuja toimintoja</t>
  </si>
  <si>
    <t>Rahoituksen nettorahavirta</t>
  </si>
  <si>
    <t>Rahavarojen muutos</t>
  </si>
  <si>
    <t>Rahavarojen muutos, jatkuvat toiminnot</t>
  </si>
  <si>
    <t>Visa nyckeltal</t>
  </si>
  <si>
    <t>Löpande verksamhet</t>
  </si>
  <si>
    <t>Försäljning</t>
  </si>
  <si>
    <t>Material och tillbehör</t>
  </si>
  <si>
    <t>Anställningsförmåner</t>
  </si>
  <si>
    <t>Avskrivningar, värdeminskningar och nedskrivningar</t>
  </si>
  <si>
    <t>Övriga kostnader</t>
  </si>
  <si>
    <t>Rörelseresultat</t>
  </si>
  <si>
    <t>Rörelseresultat, %</t>
  </si>
  <si>
    <t>Andel i intressebolags resultat</t>
  </si>
  <si>
    <t>Finansiella poster netto</t>
  </si>
  <si>
    <t>Resultat före skatter</t>
  </si>
  <si>
    <t>Resultat före skatter, %</t>
  </si>
  <si>
    <t>Periodens resultat för löpande verksamhet</t>
  </si>
  <si>
    <t>Periodens resultat för löpande verksamhet, %</t>
  </si>
  <si>
    <t>Avvecklad verksamhet</t>
  </si>
  <si>
    <t>Periodens resultat för avvecklad verksamhet</t>
  </si>
  <si>
    <t>Periodens resultat</t>
  </si>
  <si>
    <t>Periodens resultat, %</t>
  </si>
  <si>
    <t>Hänförligt till:</t>
  </si>
  <si>
    <t>Moderbolagets aktieägare</t>
  </si>
  <si>
    <t>Anläggningstillgångar</t>
  </si>
  <si>
    <t>Fastigheter, maskiner och inventarier</t>
  </si>
  <si>
    <t>Kapitalandelar i intresseföretag</t>
  </si>
  <si>
    <t>Övriga långfristiga investeringar</t>
  </si>
  <si>
    <t>Uppskjutna skattefordringar</t>
  </si>
  <si>
    <t>Långfristiga räntebärande fordringar</t>
  </si>
  <si>
    <t>Summa anläggningstillgångar</t>
  </si>
  <si>
    <t>Kortfristiga fordringar</t>
  </si>
  <si>
    <t>Kassa och bank</t>
  </si>
  <si>
    <t>Summa omsättningstillgångar</t>
  </si>
  <si>
    <t>Summa tillgångar</t>
  </si>
  <si>
    <t>EGET KAPITAL</t>
  </si>
  <si>
    <t>Eget kapital hänförligt till aktieägarna</t>
  </si>
  <si>
    <t>Övrigt eget kapital</t>
  </si>
  <si>
    <t>Summa</t>
  </si>
  <si>
    <t>Summa eget kapital</t>
  </si>
  <si>
    <t>SKULDER</t>
  </si>
  <si>
    <t>Långfristiga skulder</t>
  </si>
  <si>
    <t>Räntebärande långfristiga skulder</t>
  </si>
  <si>
    <t>Övriga långfristiga skulder</t>
  </si>
  <si>
    <t>Summa långfristiga skulder</t>
  </si>
  <si>
    <t>Räntebärande kortfristiga skulder</t>
  </si>
  <si>
    <t>Aktuell skatteskuld</t>
  </si>
  <si>
    <t>Leverantörskulder och övriga kortfristiga skulder</t>
  </si>
  <si>
    <t>Summa kortfristiga skulder</t>
  </si>
  <si>
    <t>Summa skulder</t>
  </si>
  <si>
    <t>Summa eget kapital och skulder</t>
  </si>
  <si>
    <t>Kassaflöde från löpande verksamhet</t>
  </si>
  <si>
    <t>Rörelseresultat före avskrivningar av löpande verksamhet</t>
  </si>
  <si>
    <t>Ej kassapåverkande poster och desinvesteringar</t>
  </si>
  <si>
    <t>Utdelningsintäkter</t>
  </si>
  <si>
    <t>Kassaflöde från löpande verksamhet före förändring av rörelsekapital</t>
  </si>
  <si>
    <t>Kassaflöde från avvecklad verksamhet</t>
  </si>
  <si>
    <t>Kassaflöde från verksamhet</t>
  </si>
  <si>
    <t>Kassaflöde från investeringsverksamheten</t>
  </si>
  <si>
    <t>Investering i materiella tillgångar</t>
  </si>
  <si>
    <t>Aktieförvärv</t>
  </si>
  <si>
    <t>Försäljning av materiella tillgångar</t>
  </si>
  <si>
    <t>Aktieförsäljning</t>
  </si>
  <si>
    <t>Förändring i övriga investeringar</t>
  </si>
  <si>
    <t>Kassaflöde från investeringar i löpande verksamhet</t>
  </si>
  <si>
    <t>Kassaflöde från investeringar i avvecklad verksamhet</t>
  </si>
  <si>
    <t>Kassaflöde före finansieringsverksamhet</t>
  </si>
  <si>
    <t>Kassaflöde från finansieringsverksamheten</t>
  </si>
  <si>
    <t>Nettoförändring i lån</t>
  </si>
  <si>
    <t>Utbetald utdelning till moderbolagets aktieägare</t>
  </si>
  <si>
    <t>Övriga finansiella poster</t>
  </si>
  <si>
    <t>Kassaflöde från finansiering av löpande verksamhet</t>
  </si>
  <si>
    <t>Kassaflöde från finansiering av avvecklad verksamhet</t>
  </si>
  <si>
    <t>Ökning (+)/minskning (-) in kassa och bank</t>
  </si>
  <si>
    <t>Ökning (+)/minskning (-) in kassa och bank, löpande verksamhet</t>
  </si>
  <si>
    <t>Kennzahlen anzeigen</t>
  </si>
  <si>
    <t>Fortgeführte Geschäftsbereiche</t>
  </si>
  <si>
    <t>Umsatzerlöse</t>
  </si>
  <si>
    <t>Sonstige betriebliche Erträge</t>
  </si>
  <si>
    <t>Aufwendungen für Roh-, Hilfs- und Betriebsstoffe</t>
  </si>
  <si>
    <t>Personalaufwand</t>
  </si>
  <si>
    <t>Sonstige betriebliche Aufwendungen</t>
  </si>
  <si>
    <t>Betriebsergebnis, %</t>
  </si>
  <si>
    <t>Erträge aus assoziierten Unternehmen</t>
  </si>
  <si>
    <t>Finanzierungsposten</t>
  </si>
  <si>
    <t>Gewinn vor Steuern</t>
  </si>
  <si>
    <t>Gewinn vor Steuern, %</t>
  </si>
  <si>
    <t>Ertragsteueraufwand</t>
  </si>
  <si>
    <t>Gewinn nach Steuern aus fortgeführten Geschäftsbereichen</t>
  </si>
  <si>
    <t>Gewinn nach Steuern aus fortgeführten Geschäftsbereichen, %</t>
  </si>
  <si>
    <t>Eingestellte Geschäftsbereiche</t>
  </si>
  <si>
    <t>Gewinn/Verlust aus der Einstellung von Geschäftsbereichen</t>
  </si>
  <si>
    <t>Jahresergebnis</t>
  </si>
  <si>
    <t>Jahresergebnis, %</t>
  </si>
  <si>
    <t>Davon entfallen auf:</t>
  </si>
  <si>
    <t>Die Gesellschafter der Muttergesellschaft</t>
  </si>
  <si>
    <t>Minderheitsgesellschafter</t>
  </si>
  <si>
    <t>VERMÖGENSWERTE</t>
  </si>
  <si>
    <t>Langfristige Vermögenswerte</t>
  </si>
  <si>
    <t>Sachanlagen</t>
  </si>
  <si>
    <t>Anteile an assoziierten Unternehmen</t>
  </si>
  <si>
    <t>Sonstige langfristige Investitionen</t>
  </si>
  <si>
    <t>Langfristige Zinsen erbringende Forderungen</t>
  </si>
  <si>
    <t>Summe langfristige Vermögenswerte</t>
  </si>
  <si>
    <t>Kurzfristige Vermögenswerte</t>
  </si>
  <si>
    <t>Forderungen aus Lieferungen und Leistungen</t>
  </si>
  <si>
    <t>Bankguthaben und Kassenbestand</t>
  </si>
  <si>
    <t>Summe kurzfristige Vermögenswerte</t>
  </si>
  <si>
    <t>Bilanzsumme</t>
  </si>
  <si>
    <t>EIGENKAPITAL</t>
  </si>
  <si>
    <t>Den Anteilseignern zurechenbarer Anteil am Eigenkapital</t>
  </si>
  <si>
    <t>Gezeichnetes Kapital</t>
  </si>
  <si>
    <t>Sonstige Eigenkapital</t>
  </si>
  <si>
    <t>Summe</t>
  </si>
  <si>
    <t>SCHULDEN</t>
  </si>
  <si>
    <t>Langfristige Schulden</t>
  </si>
  <si>
    <t>Bankdarlehen</t>
  </si>
  <si>
    <t>Langfristige Rückstellungen</t>
  </si>
  <si>
    <t>Sonstige Verbindlichkeiten</t>
  </si>
  <si>
    <t>Summe langfristige Schulden</t>
  </si>
  <si>
    <t>Kurzfristige Schulden</t>
  </si>
  <si>
    <t xml:space="preserve">Verzinsliche Verbindlichkeiten </t>
  </si>
  <si>
    <t>Steuerschulden</t>
  </si>
  <si>
    <t>Kontokorrentkredite und Bankdarlehen</t>
  </si>
  <si>
    <t>Summe kurzfristige Schulden</t>
  </si>
  <si>
    <t>Summe Schulden</t>
  </si>
  <si>
    <t>Cashflows aus laufender Tätigkeit</t>
  </si>
  <si>
    <t>Betriebsergebnis vor Abschreibungen, fortgeführte Geschäftsbereiche</t>
  </si>
  <si>
    <t>Nicht-Cashflow-Posten und Deinvestitionsaktivitäten</t>
  </si>
  <si>
    <t>Nettofinanzposten</t>
  </si>
  <si>
    <t>Erhaltene Dividenden</t>
  </si>
  <si>
    <t>Gezahlte Ertragsteuern</t>
  </si>
  <si>
    <t>Aus laufender Geschäftstätigkeit erwirtschaftete Zahlungsmittel</t>
  </si>
  <si>
    <t>Veränderungen im Nettoumlaufvermögen</t>
  </si>
  <si>
    <t>Nettozufluss (/-abfluss) an Zahlungsmitteln aus betrieblicher Tätigkeit</t>
  </si>
  <si>
    <t>Nettozufluss (/-abfluss) an Zahlungsmitteln aus betrieblicher Tätigkeit, eingestellte Geschäftsbereiche</t>
  </si>
  <si>
    <t>Gesamter Nettozufluss (/-abfluss) an Zahlungsmitteln aus betrieblicher Tätigkeit</t>
  </si>
  <si>
    <t>Cashflows aus Investitionstätigkeit</t>
  </si>
  <si>
    <t>Investitionen in Sachanlagen + Immaterielles Anlagevermögen</t>
  </si>
  <si>
    <t>Erwerb von Beteiligungen</t>
  </si>
  <si>
    <t>Verkauf von Sachanlagen</t>
  </si>
  <si>
    <t>Verkauf von Beteiligungen</t>
  </si>
  <si>
    <t>Veränderungen in sonstigen Investitionen</t>
  </si>
  <si>
    <t>Nettoabfluss an Zahlungsmitteln aus Investitionstätigkeiten, fortgeführte Geschäftsbereiche</t>
  </si>
  <si>
    <t>Nettoabfluss an Zahlungsmitteln aus Investitionstätigkeiten, eingestellte Geschäftsbereiche</t>
  </si>
  <si>
    <t>Nettoabfluss an Zahlungsmitteln aus Investitionstätigkeit</t>
  </si>
  <si>
    <t>Cashflow vor Finanzierungsaktivitäten</t>
  </si>
  <si>
    <t>Cashflows aus Finanzierungstätigkeit</t>
  </si>
  <si>
    <t>Nettoveränderung bei Krediten</t>
  </si>
  <si>
    <t>Gezahlte Dividenden</t>
  </si>
  <si>
    <t>Sonstige finanzielle Posten</t>
  </si>
  <si>
    <t>Nettoabfluss an Zahlungsmitteln aus Finanzierungstätigkeiten, fortgeführte Geschäftsbereiche</t>
  </si>
  <si>
    <t>Nettoabfluss an Zahlungsmitteln aus Finanzierungstätigkeiten, eingestellte Geschäftsbereiche</t>
  </si>
  <si>
    <t>Nettozufluss (/-abfluss) an Zahlungsmitteln aus Finanzierungstätigkeit</t>
  </si>
  <si>
    <t>Nettozunahme (/-abnahme) von Zahlungsmitteln und Zahlungsmitteläquivalenten</t>
  </si>
  <si>
    <t>Nettozunahme (/-abnahme) von Zahlungsmitteln und Zahlungsmitteläquivalenten, laufender Tätigkeit</t>
  </si>
  <si>
    <t>Pokaż kluczowe dane</t>
  </si>
  <si>
    <t>Działalność operacyjna kontynuowana</t>
  </si>
  <si>
    <t>Przychód ze sprzedaży</t>
  </si>
  <si>
    <t>Inne przychody</t>
  </si>
  <si>
    <t>Koszty materiałów i usług</t>
  </si>
  <si>
    <t>Koszty świadczeń pracowniczych</t>
  </si>
  <si>
    <t>Umorzenia, odpisy amortyzacyjne i z tytułu trwałej utraty wartości</t>
  </si>
  <si>
    <t>Inne koszty</t>
  </si>
  <si>
    <t>Zysk na działalności operacyjnej</t>
  </si>
  <si>
    <t>Zysk na działalności operacyjnej (%)</t>
  </si>
  <si>
    <t>Udział w zyskach jednostek stowarzyszonych i wspólnych przedsięwzięć</t>
  </si>
  <si>
    <t>Zysk przed opodatkowaniem</t>
  </si>
  <si>
    <t>Zysk przed opodatkowaniem (%)</t>
  </si>
  <si>
    <t>Zysk za dany okres z działalności operacyjnej kontynuowanej</t>
  </si>
  <si>
    <t>Zysk za dany okres z działalności operacyjnej (%)</t>
  </si>
  <si>
    <t>Działalność zaniechana</t>
  </si>
  <si>
    <t>Zysk za dany okres z działalności zaniechanej</t>
  </si>
  <si>
    <t>Zysk za dany okres</t>
  </si>
  <si>
    <t>Zysk za dany okres (%)</t>
  </si>
  <si>
    <t>Przypisany do:</t>
  </si>
  <si>
    <t>Właścicieli firmy</t>
  </si>
  <si>
    <t>Udziałów mniejszości</t>
  </si>
  <si>
    <t>Aktywa trwałe</t>
  </si>
  <si>
    <t>Wartości niematerialne</t>
  </si>
  <si>
    <t>Środki trwałe</t>
  </si>
  <si>
    <t>Inwestycje w spółkach stowarzyszonych</t>
  </si>
  <si>
    <t>Inne inwestycje długoterminowe</t>
  </si>
  <si>
    <t>Należności długoterminowe oprocentowane</t>
  </si>
  <si>
    <t>Aktywa trwałe razem</t>
  </si>
  <si>
    <t>Aktywa obrotowe</t>
  </si>
  <si>
    <t>Należności handlowe oraz inne należności</t>
  </si>
  <si>
    <t>Środki pieniężne i ekwiwalenty środków pieniężnych</t>
  </si>
  <si>
    <t>Aktywa obrotowe razem</t>
  </si>
  <si>
    <t>Aktywa razem</t>
  </si>
  <si>
    <t>KAPITAŁ WŁASNY</t>
  </si>
  <si>
    <t>Kapitał i rezerwy własne</t>
  </si>
  <si>
    <t>Kapitał udziałowy/ akcyjny</t>
  </si>
  <si>
    <t>Inne środki</t>
  </si>
  <si>
    <t>Udziały mniejszości</t>
  </si>
  <si>
    <t>Kapitał własny razem</t>
  </si>
  <si>
    <t>ZOBOWIĄZANIA</t>
  </si>
  <si>
    <t>Zobowiązania oprocentowane</t>
  </si>
  <si>
    <t>Inne zobowiązania</t>
  </si>
  <si>
    <t>Zobowiązania długoterminowe razem</t>
  </si>
  <si>
    <t>Zobowiązania z tytułu podatku dochodowego</t>
  </si>
  <si>
    <t>Zobowiązania handlowe i inne zobowiązania</t>
  </si>
  <si>
    <t>Zobowiązania krótkoterminowe razem</t>
  </si>
  <si>
    <t>Zobowiązania razem</t>
  </si>
  <si>
    <t>Pasywa razem</t>
  </si>
  <si>
    <t>Zysk przed odpisami amort. z dział. operacyjnej kontynuowanej</t>
  </si>
  <si>
    <t>Pozycje niekasowe oraz działalność dezinwestycyjna</t>
  </si>
  <si>
    <t xml:space="preserve">Otrzymane dywidendy </t>
  </si>
  <si>
    <t>Podatki</t>
  </si>
  <si>
    <t>Przepływy pieniężne z kontynuowanej działalności operacyjnej</t>
  </si>
  <si>
    <t>Zmiana stanu kapitału obrotowego</t>
  </si>
  <si>
    <t>Przepływy pieniężne z dział. operacyjnej kontynuowanej</t>
  </si>
  <si>
    <t>Przepływy pieniężne z dział. operacyjnej, dział. zaniechana</t>
  </si>
  <si>
    <t>Przepływy pieniężne z działalności operacyjnej razem</t>
  </si>
  <si>
    <t>Przepływy pieniężne z działalności inwestycyjnej</t>
  </si>
  <si>
    <t>Wydatki inwestycyjne</t>
  </si>
  <si>
    <t>Nabycie udziałów/akcji</t>
  </si>
  <si>
    <t>Wpływy ze sprzedaży środków trwałych</t>
  </si>
  <si>
    <t>Wpływy ze sprzedaży udziałów/akcji</t>
  </si>
  <si>
    <t>Zmiana stanu innych inwestycji</t>
  </si>
  <si>
    <t>Przepływy pieniężne z dział. inwest., dział. kontynuowana</t>
  </si>
  <si>
    <t>Przepływy pieniężne z działalności inwestycyjnej, dział. zaniechana</t>
  </si>
  <si>
    <t>Przepływy pieniężne z działalności inwestycyjnej razem</t>
  </si>
  <si>
    <t>Przepływy pieniężne przed działalnością finansową</t>
  </si>
  <si>
    <t>Przepływy pieniężne z działalności finansowej</t>
  </si>
  <si>
    <t>Spłaty pożyczek i kredytów</t>
  </si>
  <si>
    <t>Dywidendy wypłacone udziałowcom/akcjonariuszom</t>
  </si>
  <si>
    <t>Inne wydatki</t>
  </si>
  <si>
    <t>Przepływy pieniężne z dział. finans., dział. kontynuowana</t>
  </si>
  <si>
    <t>Przepływy pieniężne z dział. finansowej, działalność zaniechana</t>
  </si>
  <si>
    <t>Przepływy pieniężne z działalności finansowej razem</t>
  </si>
  <si>
    <t>Wzrost (+)/ spadek (-) stanu środków pieniężnych razem</t>
  </si>
  <si>
    <t>Wzrost (+)/ spadek (-) stanu środków pieniężnych, dział. kontynuow.</t>
  </si>
  <si>
    <t>Mostrar cifras clave</t>
  </si>
  <si>
    <t>Operaciones corrientes</t>
  </si>
  <si>
    <t>Ventas</t>
  </si>
  <si>
    <t>Otros ingresos</t>
  </si>
  <si>
    <t>Materiales y suministros</t>
  </si>
  <si>
    <t>Relación costo-beneficio  empleado</t>
  </si>
  <si>
    <t>Depreciación, amortización y gastos por deterioro</t>
  </si>
  <si>
    <t>Otros gastos</t>
  </si>
  <si>
    <t>Ganancia operativa</t>
  </si>
  <si>
    <t>Ganancia operativa, %</t>
  </si>
  <si>
    <t xml:space="preserve">Participación de las compañías asociadas y las joint ventures en las utilidades </t>
  </si>
  <si>
    <t>Actividades financieras neto</t>
  </si>
  <si>
    <t>Ganancia antes de impuestos</t>
  </si>
  <si>
    <t>Ganancia antes de impuestos, %</t>
  </si>
  <si>
    <t>Gastos en impuestos sobre ingreso</t>
  </si>
  <si>
    <t xml:space="preserve">Ganancia por operaciones corrientes del periodo </t>
  </si>
  <si>
    <t>Ganancia por operaciones corrientes del periodo , %</t>
  </si>
  <si>
    <t>Operaciones discountinuadas</t>
  </si>
  <si>
    <t>Ganancias por operaciones discountinuadas del periodo</t>
  </si>
  <si>
    <t>Ganancia total del periodo</t>
  </si>
  <si>
    <t>Ganancia total del periodo, %</t>
  </si>
  <si>
    <t>Atribuíble a:</t>
  </si>
  <si>
    <t>Accionistas de la compañía</t>
  </si>
  <si>
    <t>Activos no correintes</t>
  </si>
  <si>
    <t>Inmuebles, planta y equipo</t>
  </si>
  <si>
    <t>Inversión en compañías asociadas</t>
  </si>
  <si>
    <t>Otras inversiones de largo plazo</t>
  </si>
  <si>
    <t>Intereses a largo plazo por cobrar</t>
  </si>
  <si>
    <t>Tatal de activos no corrientes</t>
  </si>
  <si>
    <t>Activos corrientes</t>
  </si>
  <si>
    <t>Existencias</t>
  </si>
  <si>
    <t>Cuentas comerciales por cobrar y otras cuentas por cobrar</t>
  </si>
  <si>
    <t>Caja y equivalentes de caja</t>
  </si>
  <si>
    <t>Total de activos corrientes</t>
  </si>
  <si>
    <t>Total de activos</t>
  </si>
  <si>
    <t>PATRIMONIO</t>
  </si>
  <si>
    <t>Capital y reservas atribuibles a accionistas de la compañía</t>
  </si>
  <si>
    <t>Capital accionario</t>
  </si>
  <si>
    <t>Otro capital accionario</t>
  </si>
  <si>
    <t>Total acciones</t>
  </si>
  <si>
    <t>PASIVOS</t>
  </si>
  <si>
    <t>Pasivos no corrientes</t>
  </si>
  <si>
    <t>Pasivos que devengan intereses</t>
  </si>
  <si>
    <t>Otros pasivos</t>
  </si>
  <si>
    <t>Total de pasivos no corrientes</t>
  </si>
  <si>
    <t>Pasivos corrientes</t>
  </si>
  <si>
    <t>Impuestos corrientes por pagar</t>
  </si>
  <si>
    <t>Cuentas comerciales y otras cuentas por pagar</t>
  </si>
  <si>
    <t>Total de pasivos corrientes</t>
  </si>
  <si>
    <t>Total pasivos</t>
  </si>
  <si>
    <t>Total patrimonio y pasivos</t>
  </si>
  <si>
    <t>Flujo de efectivo por actividades operativas</t>
  </si>
  <si>
    <t>Ganancia operativa previa a depreciación derivada de operaciones corrientes</t>
  </si>
  <si>
    <t>Partidas no monetarias y actividades de desinversión</t>
  </si>
  <si>
    <t>Partidas financieras neto</t>
  </si>
  <si>
    <t>Dividendos recibidos</t>
  </si>
  <si>
    <t>Impuestos</t>
  </si>
  <si>
    <t>Fondos por operaciones, operaciones corrientes</t>
  </si>
  <si>
    <t>Cambios en capital de trabajo</t>
  </si>
  <si>
    <t>efectivo neto por actividades operativas operaciones corrientes</t>
  </si>
  <si>
    <t>Efectivo neto por actividades operativas operaciones no corrientes</t>
  </si>
  <si>
    <t>Total de efectivo neto por actividades operativas</t>
  </si>
  <si>
    <t>Flujo de efectivo por actividades de inversión</t>
  </si>
  <si>
    <t>Desembolsos de capital</t>
  </si>
  <si>
    <t>Adquisición de acciones</t>
  </si>
  <si>
    <t>Ingresos por venta de activos fijos</t>
  </si>
  <si>
    <t>Ingresos por venta de acciones</t>
  </si>
  <si>
    <t>Cambios en otras inversiones</t>
  </si>
  <si>
    <t>Efectivo neto utilizado en actividades de inversión de operaciones corrientes</t>
  </si>
  <si>
    <t>Efectivo neto utilizado en actividades de inversión de operaciones discontinuadas</t>
  </si>
  <si>
    <t>Total de efectivo neto utilizado en actividades de inversión</t>
  </si>
  <si>
    <t>Flujo de efectivo previo a actividades financieras</t>
  </si>
  <si>
    <t>Flujo de efectivo por actividades financieras</t>
  </si>
  <si>
    <t>Cambio neto en préstamos</t>
  </si>
  <si>
    <t>Dividendos pagos a los accionistas de la compañía</t>
  </si>
  <si>
    <t>Otras actividades financieras</t>
  </si>
  <si>
    <t>Efectivo neto utilizado en actividades financieras de operaciones corrientes</t>
  </si>
  <si>
    <t>Efectivo neto utilizado en actividades financieras de operaciones dicontinuadas</t>
  </si>
  <si>
    <t>Total de efectivo neto utilizado en actividades financieras</t>
  </si>
  <si>
    <t xml:space="preserve">Incremento total neto (+)/ disminución total neta (-) en efectivo y títulos valores </t>
  </si>
  <si>
    <t xml:space="preserve">Incremento total neto (+)/ disminución total neta (-) en efectivo, operaciones corrientes </t>
  </si>
  <si>
    <t>Показать основные значения</t>
  </si>
  <si>
    <t>Продолжающиеся операции</t>
  </si>
  <si>
    <t>Продажи</t>
  </si>
  <si>
    <t>Другие доходы</t>
  </si>
  <si>
    <t>Материалы и услуги</t>
  </si>
  <si>
    <t>Расходы на выплаты сотрудникам</t>
  </si>
  <si>
    <t>Амортизация, износ и отчисления по обесценению</t>
  </si>
  <si>
    <t>Прочие расходы</t>
  </si>
  <si>
    <t>Операционная прибыль, %</t>
  </si>
  <si>
    <t>Доля прибыли ассоциированных и совместных предприятий</t>
  </si>
  <si>
    <t>Чистые финансовые статьи</t>
  </si>
  <si>
    <t>Прибыль до вычета подоходного налога</t>
  </si>
  <si>
    <t>Прибыль до вычета подоходного налога, %</t>
  </si>
  <si>
    <t>Расходы по подоходному налогу</t>
  </si>
  <si>
    <t>Прибыль за период от продолжающихся операций</t>
  </si>
  <si>
    <t>Прибыль за период от продолжающихся операций, %</t>
  </si>
  <si>
    <t>Прекращенные операции</t>
  </si>
  <si>
    <t>Прибыль за период от прекращенных операций</t>
  </si>
  <si>
    <t>Прибыль за период</t>
  </si>
  <si>
    <t>Прибыль за период, %</t>
  </si>
  <si>
    <t>Относящаяся к:</t>
  </si>
  <si>
    <t>Акционерам компании</t>
  </si>
  <si>
    <t>Миноритарным акционерам</t>
  </si>
  <si>
    <t>Внеоборотные активы</t>
  </si>
  <si>
    <t>Собственность, здания и оборудование</t>
  </si>
  <si>
    <t>Инвестиции в ассоциированные предприятия</t>
  </si>
  <si>
    <t>Прочие долгосрочные инвестиции</t>
  </si>
  <si>
    <t>Отложенные налоговые активы</t>
  </si>
  <si>
    <t>Долгосрочные процентные дебиторские задолженности</t>
  </si>
  <si>
    <t>Итого внеоборотных активов</t>
  </si>
  <si>
    <t>Оборотные активы</t>
  </si>
  <si>
    <t>Торговые и прочие дебиторские задолженности</t>
  </si>
  <si>
    <t>Денежные средства и их эквиваленты</t>
  </si>
  <si>
    <t>Итого активов</t>
  </si>
  <si>
    <t>СОБСТВЕННЫЙ КАПИТАЛ</t>
  </si>
  <si>
    <t>Капитал и резервы относящиеся к акционерам компании</t>
  </si>
  <si>
    <t>Прочий собственный капитал</t>
  </si>
  <si>
    <t xml:space="preserve">Итого </t>
  </si>
  <si>
    <t>Итого собственный капитал</t>
  </si>
  <si>
    <t>ОБЯЗАТЕЛЬСТВА</t>
  </si>
  <si>
    <t>Процентные обязательства</t>
  </si>
  <si>
    <t>Прочие обязательства</t>
  </si>
  <si>
    <t>Итого долгосрочные обязательства</t>
  </si>
  <si>
    <t>Текущие налоговые обязательства</t>
  </si>
  <si>
    <t>Торговые и прочие кредиторские задолженности</t>
  </si>
  <si>
    <t>Итого текущие обязательства</t>
  </si>
  <si>
    <t>Итого обязательства</t>
  </si>
  <si>
    <t>Итого собственный капитал и обязательства</t>
  </si>
  <si>
    <t>Поток денежных средств от операционной деятельности</t>
  </si>
  <si>
    <t>Операц. прибыль до вычета амортизации, продолж. операции</t>
  </si>
  <si>
    <t>Статьи, не относ. к потоку ден. средств и Деят. по реализации активов</t>
  </si>
  <si>
    <t>Полученные дивиденды</t>
  </si>
  <si>
    <t>Налоги</t>
  </si>
  <si>
    <t>Денежные средства от операций, продолжающиеся операции</t>
  </si>
  <si>
    <t>Изменение в Оборотном Капитале</t>
  </si>
  <si>
    <t>Чистые ден. средства от операций, продолжающиеся операции</t>
  </si>
  <si>
    <t>Чистые денежные средства от операций, прекращенные операции</t>
  </si>
  <si>
    <t>Итого чистые ден. средства от операционной деятельности</t>
  </si>
  <si>
    <t>Поток денежных средств от инвестиционной деятельности</t>
  </si>
  <si>
    <t>Капитальные расходы</t>
  </si>
  <si>
    <t>Приобретение акций</t>
  </si>
  <si>
    <t>Поступления от реализации основных средств</t>
  </si>
  <si>
    <t>Поступления от продажи акций</t>
  </si>
  <si>
    <t>Изменение по прочим инвестициям</t>
  </si>
  <si>
    <t>Чистые ден. средства исп. в инвест. деятельности, продолж. оп.</t>
  </si>
  <si>
    <t>Чистые ден. средства исп. в инвест. деятельности, прекращ. оп.</t>
  </si>
  <si>
    <t>Итого чистые денежные средства исп. в инвест. деятельности</t>
  </si>
  <si>
    <t>Поток денежных средст до финансовой деятельности</t>
  </si>
  <si>
    <t>Поток денежных средств от финансовой деятельности</t>
  </si>
  <si>
    <t>Чистое изменение по Кредитм</t>
  </si>
  <si>
    <t>Дивиденды выплаченные акционерам компании</t>
  </si>
  <si>
    <t>Прочие финансовые статьи</t>
  </si>
  <si>
    <t>Чистые ден. средства исп. в фин. деятельности, продолж. оп.</t>
  </si>
  <si>
    <t>Чистые ден. средства исп. в фин. деятельности, прекращ. оп.</t>
  </si>
  <si>
    <t>Итого чистые ден. средства исп. в финансовой деятельности</t>
  </si>
  <si>
    <t>Итого прирост (+)/сниж. (-) ден. средств и рын. ценных бумаг</t>
  </si>
  <si>
    <t>Итого прирост (+)/сниж. (-) ден. средств, продолж. операции</t>
  </si>
  <si>
    <t xml:space="preserve">  Projektname</t>
  </si>
  <si>
    <t>Projektname</t>
  </si>
  <si>
    <t>IRRLimit</t>
  </si>
  <si>
    <t>IRRLimitEquity</t>
  </si>
  <si>
    <t xml:space="preserve">  Ertragsteuersatz (%)</t>
  </si>
  <si>
    <t>Ertragsteuern</t>
  </si>
  <si>
    <t>Wartość kapitału własnego oparta o wolne przepływy (EV)</t>
  </si>
  <si>
    <t>Auf Basis des FCFF</t>
  </si>
  <si>
    <t>Auf Basis des FCFE</t>
  </si>
  <si>
    <t>Sensitivität Änderung Kalkulationszinsfuss</t>
  </si>
  <si>
    <t>Sonstige ausserordentliche Erträge und Aufwendungen</t>
  </si>
  <si>
    <t>Extrapolation Perioden</t>
  </si>
  <si>
    <t>Kalkulationszinsfuss</t>
  </si>
  <si>
    <t>Implizierter Exit-Multiplikator</t>
  </si>
  <si>
    <t>Wert des Eigenkapitals auf Basis Free Cash Flow (EV)</t>
  </si>
  <si>
    <t>Anschlussgebühren, Zunahme (+) / Abnahme (-)</t>
  </si>
  <si>
    <t>Anslutningsavgifter, ökning (+) / minskning (-)</t>
  </si>
  <si>
    <t>Intäkter specificerad:</t>
  </si>
  <si>
    <t>Linjär</t>
  </si>
  <si>
    <t>(linjär)</t>
  </si>
  <si>
    <t>Added in 36007</t>
  </si>
  <si>
    <t>ElimGroupsInUse</t>
  </si>
  <si>
    <t>ElimGroups</t>
  </si>
  <si>
    <t>ElimSheetInUse</t>
  </si>
  <si>
    <t>Use con-</t>
  </si>
  <si>
    <t>secutively</t>
  </si>
  <si>
    <t>ElimTxt</t>
  </si>
  <si>
    <t>Elimination</t>
  </si>
  <si>
    <t>Eliminointi</t>
  </si>
  <si>
    <t>Eliminering</t>
  </si>
  <si>
    <t>Eliminierungen</t>
  </si>
  <si>
    <t>Eliminacje</t>
  </si>
  <si>
    <t>Eliminaciones</t>
  </si>
  <si>
    <t>Исключение взаиморасчётов</t>
  </si>
  <si>
    <t>ConsTxt</t>
  </si>
  <si>
    <t>Consolidated</t>
  </si>
  <si>
    <t>Konsolidoitu</t>
  </si>
  <si>
    <t>Konsoliderat</t>
  </si>
  <si>
    <t>Konsolidiert</t>
  </si>
  <si>
    <t>Skonsolidowane</t>
  </si>
  <si>
    <t>Consolidado</t>
  </si>
  <si>
    <t>Консолидированный</t>
  </si>
  <si>
    <t>ElimSheet</t>
  </si>
  <si>
    <t>Row</t>
  </si>
  <si>
    <t>Cond</t>
  </si>
  <si>
    <t>Text column</t>
  </si>
  <si>
    <t>x0001</t>
  </si>
  <si>
    <t>x0002</t>
  </si>
  <si>
    <t>Sensitivität der Gesamtinvestition auf die Profitabilität</t>
  </si>
  <si>
    <t>Sensitivität des Ertrags auf die Profitabilität</t>
  </si>
  <si>
    <t>Sensitivität der variablen Kosten auf die Profitabilität</t>
  </si>
  <si>
    <t>Sensitivität der Fixkosten auf die Profitabilität</t>
  </si>
  <si>
    <t>Info about fixes in G2!</t>
  </si>
  <si>
    <t>ElimsApply</t>
  </si>
  <si>
    <t>0=don't apply</t>
  </si>
  <si>
    <t>1=apply all</t>
  </si>
  <si>
    <t>2=apply groups</t>
  </si>
  <si>
    <t>C9041</t>
  </si>
  <si>
    <t>C9042</t>
  </si>
  <si>
    <t>C9043</t>
  </si>
  <si>
    <t>C9044</t>
  </si>
  <si>
    <t>C9045</t>
  </si>
  <si>
    <t>C2114</t>
  </si>
  <si>
    <t>C2115</t>
  </si>
  <si>
    <t>C2117</t>
  </si>
  <si>
    <t>C2118</t>
  </si>
  <si>
    <t>C2181</t>
  </si>
  <si>
    <t>C2182</t>
  </si>
  <si>
    <t>C2183</t>
  </si>
  <si>
    <t>C2184</t>
  </si>
  <si>
    <t xml:space="preserve">CASH FLOW STATEMENT </t>
  </si>
  <si>
    <t>RAHAVIRTALASKELMA</t>
  </si>
  <si>
    <t>GEWINN- UND -VERLUSTRECHNUNG</t>
  </si>
  <si>
    <t>KAPITALFLUSSRECHNUNG</t>
  </si>
  <si>
    <t>RACHUNEK PRZEPŁ. PIENIĘŻNYCH</t>
  </si>
  <si>
    <t>BALANCE GENERAL</t>
  </si>
  <si>
    <t>ESTADO DE FLUJO DE EFECTIVO</t>
  </si>
  <si>
    <t>C4006</t>
  </si>
  <si>
    <t>C4007</t>
  </si>
  <si>
    <t>C4008</t>
  </si>
  <si>
    <t>C4009</t>
  </si>
  <si>
    <t>C4017</t>
  </si>
  <si>
    <t>C4018</t>
  </si>
  <si>
    <t>C4019</t>
  </si>
  <si>
    <t>C4027</t>
  </si>
  <si>
    <t>C4028</t>
  </si>
  <si>
    <t>C4029</t>
  </si>
  <si>
    <t>C4031</t>
  </si>
  <si>
    <t>C4032</t>
  </si>
  <si>
    <t>C4033</t>
  </si>
  <si>
    <t>CodList01</t>
  </si>
  <si>
    <t>RowList01</t>
  </si>
  <si>
    <t>VarList01</t>
  </si>
  <si>
    <t>C8241</t>
  </si>
  <si>
    <t>C8242</t>
  </si>
  <si>
    <t>C8243</t>
  </si>
  <si>
    <t>C8244</t>
  </si>
  <si>
    <t>C8245</t>
  </si>
  <si>
    <t>C8246</t>
  </si>
  <si>
    <t>C8247</t>
  </si>
  <si>
    <t>C8248</t>
  </si>
  <si>
    <t>C8249</t>
  </si>
  <si>
    <t>C8250</t>
  </si>
  <si>
    <t>C8251</t>
  </si>
  <si>
    <t>C8252</t>
  </si>
  <si>
    <t>C8253</t>
  </si>
  <si>
    <t>C8254</t>
  </si>
  <si>
    <t>C8255</t>
  </si>
  <si>
    <t>C8256</t>
  </si>
  <si>
    <t>C8257</t>
  </si>
  <si>
    <t>C8258</t>
  </si>
  <si>
    <t>C8259</t>
  </si>
  <si>
    <t>C8260</t>
  </si>
  <si>
    <t>C2081</t>
  </si>
  <si>
    <t>C3081</t>
  </si>
  <si>
    <t>C3091</t>
  </si>
  <si>
    <t>C2082</t>
  </si>
  <si>
    <t>C3082</t>
  </si>
  <si>
    <t>C3092</t>
  </si>
  <si>
    <t>C2083</t>
  </si>
  <si>
    <t>C3083</t>
  </si>
  <si>
    <t>FinIncludeEquity</t>
  </si>
  <si>
    <t>FinIncludeDebt</t>
  </si>
  <si>
    <t>IncVar3</t>
  </si>
  <si>
    <t>IncVar4</t>
  </si>
  <si>
    <t>IncVar5</t>
  </si>
  <si>
    <t>IncVar6</t>
  </si>
  <si>
    <t>IncVarAnalysis2</t>
  </si>
  <si>
    <t>IncVarAnalysis3</t>
  </si>
  <si>
    <t>IncVarAnalysis4</t>
  </si>
  <si>
    <t>IncVarAnalysis5</t>
  </si>
  <si>
    <t>IncVarAnalysis6</t>
  </si>
  <si>
    <t>Analysis07Ratio01</t>
  </si>
  <si>
    <t>Analysis07Ratio02</t>
  </si>
  <si>
    <t>Analysis07Ratio03</t>
  </si>
  <si>
    <t>Analysis07Ratio04</t>
  </si>
  <si>
    <t>Analysis07Ratio05</t>
  </si>
  <si>
    <t>Analysis07Ratio06</t>
  </si>
  <si>
    <t>Analysis08Ratio01</t>
  </si>
  <si>
    <t>Analysis08Ratio02</t>
  </si>
  <si>
    <t>Analysis08Ratio03</t>
  </si>
  <si>
    <t>Analysis08Ratio04</t>
  </si>
  <si>
    <t>Analysis08Ratio05</t>
  </si>
  <si>
    <t>Analysis08Ratio06</t>
  </si>
  <si>
    <t>Analysis09Ratio01</t>
  </si>
  <si>
    <t>Analysis09Ratio02</t>
  </si>
  <si>
    <t>Analysis09Ratio03</t>
  </si>
  <si>
    <t>Analysis09Ratio04</t>
  </si>
  <si>
    <t>Analysis09Ratio05</t>
  </si>
  <si>
    <t>Analysis09Ratio06</t>
  </si>
  <si>
    <t>Analysis10Ratio01</t>
  </si>
  <si>
    <t>Analysis10Ratio02</t>
  </si>
  <si>
    <t>Analysis10Ratio03</t>
  </si>
  <si>
    <t>Analysis10Ratio04</t>
  </si>
  <si>
    <t>Analysis10Ratio05</t>
  </si>
  <si>
    <t>Analysis10Ratio06</t>
  </si>
  <si>
    <t>Analysis11Ratio01</t>
  </si>
  <si>
    <t>Analysis11Ratio02</t>
  </si>
  <si>
    <t>Analysis11Ratio03</t>
  </si>
  <si>
    <t>Analysis11Ratio04</t>
  </si>
  <si>
    <t>Analysis11Ratio05</t>
  </si>
  <si>
    <t>Analysis11Ratio06</t>
  </si>
  <si>
    <t>InventoriesSpec</t>
  </si>
  <si>
    <t>InventFirstName</t>
  </si>
  <si>
    <t>C2084</t>
  </si>
  <si>
    <t>C3084</t>
  </si>
  <si>
    <t>C3094</t>
  </si>
  <si>
    <t>Accounts receivable 2</t>
  </si>
  <si>
    <t>Accounts receivable 3</t>
  </si>
  <si>
    <t>Inventories 2</t>
  </si>
  <si>
    <t>Inventories 3</t>
  </si>
  <si>
    <t>Inventories 4</t>
  </si>
  <si>
    <t>Inventories 5</t>
  </si>
  <si>
    <t>Accounts receivable 4</t>
  </si>
  <si>
    <t>Accounts receivable 5</t>
  </si>
  <si>
    <t>C3011</t>
  </si>
  <si>
    <t>C3012</t>
  </si>
  <si>
    <t>C3013</t>
  </si>
  <si>
    <t>C3014</t>
  </si>
  <si>
    <t>C3021</t>
  </si>
  <si>
    <t>C3022</t>
  </si>
  <si>
    <t>C3023</t>
  </si>
  <si>
    <t>C3024</t>
  </si>
  <si>
    <t>C3831</t>
  </si>
  <si>
    <t>C3832</t>
  </si>
  <si>
    <t>C3833</t>
  </si>
  <si>
    <t>C3834</t>
  </si>
  <si>
    <t>C3931</t>
  </si>
  <si>
    <t>C3934</t>
  </si>
  <si>
    <t>C3932</t>
  </si>
  <si>
    <t>C3933</t>
  </si>
  <si>
    <t>C3121</t>
  </si>
  <si>
    <t>C3131</t>
  </si>
  <si>
    <t>C3122</t>
  </si>
  <si>
    <t>C3132</t>
  </si>
  <si>
    <t>C3123</t>
  </si>
  <si>
    <t>C3133</t>
  </si>
  <si>
    <t>C3124</t>
  </si>
  <si>
    <t>C3134</t>
  </si>
  <si>
    <t>C3841</t>
  </si>
  <si>
    <t>C3842</t>
  </si>
  <si>
    <t>C3843</t>
  </si>
  <si>
    <t>C3844</t>
  </si>
  <si>
    <t>C3941</t>
  </si>
  <si>
    <t>C3942</t>
  </si>
  <si>
    <t>C3943</t>
  </si>
  <si>
    <t>C3944</t>
  </si>
  <si>
    <t>Invento01</t>
  </si>
  <si>
    <t>Invento02</t>
  </si>
  <si>
    <t>Invento03</t>
  </si>
  <si>
    <t>Invento04</t>
  </si>
  <si>
    <t>Invento05</t>
  </si>
  <si>
    <t>Invento00</t>
  </si>
  <si>
    <t>Receive00</t>
  </si>
  <si>
    <t>Receive01</t>
  </si>
  <si>
    <t>Receive02</t>
  </si>
  <si>
    <t>Receive03</t>
  </si>
  <si>
    <t>Receive04</t>
  </si>
  <si>
    <t>Receive05</t>
  </si>
  <si>
    <t>Payable00</t>
  </si>
  <si>
    <t>Payable01</t>
  </si>
  <si>
    <t>Payable02</t>
  </si>
  <si>
    <t>Payable03</t>
  </si>
  <si>
    <t>Payable04</t>
  </si>
  <si>
    <t>Payable05</t>
  </si>
  <si>
    <t>ReceivablesSpec</t>
  </si>
  <si>
    <t>ReceiveFirstName</t>
  </si>
  <si>
    <t>PayablesSpec</t>
  </si>
  <si>
    <t>PayableFirstName</t>
  </si>
  <si>
    <t>Accounts payable 2</t>
  </si>
  <si>
    <t>Accounts payable 3</t>
  </si>
  <si>
    <t>Accounts payable 4</t>
  </si>
  <si>
    <t>Accounts payable 5</t>
  </si>
  <si>
    <t>Present value of reinvestments</t>
  </si>
  <si>
    <t>Reinvestointien nykyarvo</t>
  </si>
  <si>
    <t>Nuvärde av reinvesteringar</t>
  </si>
  <si>
    <t>Barwert der Reinvestitionen</t>
  </si>
  <si>
    <t>Wartość bieżąca reinwestycji</t>
  </si>
  <si>
    <t>Valor actual de reinversiones</t>
  </si>
  <si>
    <t>Текущая стоимость реинвестиций</t>
  </si>
  <si>
    <t>EBIT, %</t>
  </si>
  <si>
    <t>EBITDA, %</t>
  </si>
  <si>
    <t>AFactorRanges</t>
  </si>
  <si>
    <t>ResultNPV</t>
  </si>
  <si>
    <t>ResultIRR</t>
  </si>
  <si>
    <t>ResultIRRBeforeTax</t>
  </si>
  <si>
    <t>ResultMIRR</t>
  </si>
  <si>
    <t>ResultPI</t>
  </si>
  <si>
    <t>ResultDCVA</t>
  </si>
  <si>
    <t>ResultPayback</t>
  </si>
  <si>
    <t>ResultSimplePayback</t>
  </si>
  <si>
    <t>ResultNPVEquity</t>
  </si>
  <si>
    <t>ResultIRREquity</t>
  </si>
  <si>
    <t>ResultIRRBeforeTaxEquity</t>
  </si>
  <si>
    <t>ResultMIRREquity</t>
  </si>
  <si>
    <t>ResultPaybackEquity</t>
  </si>
  <si>
    <t>ResultSimplePaybackEquity</t>
  </si>
  <si>
    <t>AFactorRanges2</t>
  </si>
  <si>
    <t>FinYearRIndex07</t>
  </si>
  <si>
    <t>FinYearRIndex08</t>
  </si>
  <si>
    <t>FinYearRIndex09</t>
  </si>
  <si>
    <t>FinYearRIndex10</t>
  </si>
  <si>
    <t>FinYearRIndex11</t>
  </si>
  <si>
    <t>FinYearR07</t>
  </si>
  <si>
    <t>FinYearR08</t>
  </si>
  <si>
    <t>FinYearR09</t>
  </si>
  <si>
    <t>FinYearR10</t>
  </si>
  <si>
    <t>FinYearR11</t>
  </si>
  <si>
    <t>FinYearCol07</t>
  </si>
  <si>
    <t>FinYearCol08</t>
  </si>
  <si>
    <t>FinYearCol09</t>
  </si>
  <si>
    <t>FinYearCol10</t>
  </si>
  <si>
    <t>FinYearCol11</t>
  </si>
  <si>
    <t>Adjusted inventories</t>
  </si>
  <si>
    <t>C8070</t>
  </si>
  <si>
    <t>C8071</t>
  </si>
  <si>
    <t>C8072</t>
  </si>
  <si>
    <t>C8073</t>
  </si>
  <si>
    <t>C8074</t>
  </si>
  <si>
    <t>WCTriggerRows</t>
  </si>
  <si>
    <t>C3093</t>
  </si>
  <si>
    <t>btnReceive04</t>
  </si>
  <si>
    <t>btnReceive01</t>
  </si>
  <si>
    <t>btnReceive02</t>
  </si>
  <si>
    <t>btnReceive03</t>
  </si>
  <si>
    <t>btnReceive05</t>
  </si>
  <si>
    <t>btnInvent01</t>
  </si>
  <si>
    <t>btnInvent02</t>
  </si>
  <si>
    <t>btnInvent03</t>
  </si>
  <si>
    <t>btnInvent04</t>
  </si>
  <si>
    <t>btnInvent05</t>
  </si>
  <si>
    <t>btnPayable01</t>
  </si>
  <si>
    <t>btnPayable02</t>
  </si>
  <si>
    <t>btnPayable03</t>
  </si>
  <si>
    <t>btnPayable04</t>
  </si>
  <si>
    <t>btnPayable05</t>
  </si>
  <si>
    <t>WCTriggerButtons</t>
  </si>
  <si>
    <t>Average term of payment, days</t>
  </si>
  <si>
    <t>Adjusted balance</t>
  </si>
  <si>
    <t>Turnover period, days</t>
  </si>
  <si>
    <t>ReceiveNoOf</t>
  </si>
  <si>
    <t>InventNoOf</t>
  </si>
  <si>
    <t>PayableNoOf</t>
  </si>
  <si>
    <t>Vaihto-omaisuus 2</t>
  </si>
  <si>
    <t>Vaihto-omaisuus 3</t>
  </si>
  <si>
    <t>Vaihto-omaisuus 4</t>
  </si>
  <si>
    <t>Vaihto-omaisuus 5</t>
  </si>
  <si>
    <t>Kiertoaika, päiviä</t>
  </si>
  <si>
    <t>Korjattu vaihto-omaisuus</t>
  </si>
  <si>
    <t>Lisäys (-) / vähennys (+)</t>
  </si>
  <si>
    <t>Maksuaika keskimäärin, päiviä</t>
  </si>
  <si>
    <t>Lisäys (+)/vähennys (-)</t>
  </si>
  <si>
    <t>Ostovelat 2</t>
  </si>
  <si>
    <t>Ostovelat 3</t>
  </si>
  <si>
    <t>Ostovelat 4</t>
  </si>
  <si>
    <t>Ostovelat 5</t>
  </si>
  <si>
    <t>Betalningstid i genomsnitt, dagar</t>
  </si>
  <si>
    <t>Ökning (+)/minskning (-)</t>
  </si>
  <si>
    <t>Leverantörsskulder 2</t>
  </si>
  <si>
    <t>Leverantörsskulder 3</t>
  </si>
  <si>
    <t>Leverantörsskulder 4</t>
  </si>
  <si>
    <t>Leverantörsskulder 5</t>
  </si>
  <si>
    <t>Omsättningstid, dagar</t>
  </si>
  <si>
    <t>Ökning (-) / minskning (+)</t>
  </si>
  <si>
    <t>Lager 2</t>
  </si>
  <si>
    <t>Lager 3</t>
  </si>
  <si>
    <t>Lager 4</t>
  </si>
  <si>
    <t>Lager 5</t>
  </si>
  <si>
    <t>Increase (-) / decrease (+)</t>
  </si>
  <si>
    <t>Verbindlichkeiten aus Lief. und Leist. (LuL) 2</t>
  </si>
  <si>
    <t>Verbindlichkeiten aus Lief. und Leist. (LuL) 3</t>
  </si>
  <si>
    <t>Verbindlichkeiten aus Lief. und Leist. (LuL) 4</t>
  </si>
  <si>
    <t>Verbindlichkeiten aus Lief. und Leist. (LuL) 5</t>
  </si>
  <si>
    <t>Zobowiązania z tyt. dostaw i usług 2</t>
  </si>
  <si>
    <t>Zobowiązania z tyt. dostaw i usług 3</t>
  </si>
  <si>
    <t>Zobowiązania z tyt. dostaw i usług 4</t>
  </si>
  <si>
    <t>Zobowiązania z tyt. dostaw i usług 5</t>
  </si>
  <si>
    <t>Cuentas a pagar 2</t>
  </si>
  <si>
    <t>Cuentas a pagar 3</t>
  </si>
  <si>
    <t>Cuentas a pagar 4</t>
  </si>
  <si>
    <t>Cuentas a pagar 5</t>
  </si>
  <si>
    <t>Кредиторская задолженность 2</t>
  </si>
  <si>
    <t>Кредиторская задолженность 3</t>
  </si>
  <si>
    <t>Кредиторская задолженность 4</t>
  </si>
  <si>
    <t>Кредиторская задолженность 5</t>
  </si>
  <si>
    <t>Дебиторская задолженность 2</t>
  </si>
  <si>
    <t>Дебиторская задолженность 3</t>
  </si>
  <si>
    <t>ReceiveHidden1</t>
  </si>
  <si>
    <t>InventHidden1</t>
  </si>
  <si>
    <t>PayableHidden1</t>
  </si>
  <si>
    <t>NotInUseTxt</t>
  </si>
  <si>
    <t>&lt; Not in use &gt;</t>
  </si>
  <si>
    <t>&lt; Ei käytössä &gt;</t>
  </si>
  <si>
    <t>&lt; Ej i bruk &gt;</t>
  </si>
  <si>
    <t>&lt; Sin uso &gt;</t>
  </si>
  <si>
    <t>&lt; Nieużywane &gt;</t>
  </si>
  <si>
    <t>&lt; Nicht genutzt &gt;</t>
  </si>
  <si>
    <t>&lt; Не используется &gt;</t>
  </si>
  <si>
    <t>VarIncludeRows</t>
  </si>
  <si>
    <t>Variable´s impact on profitability</t>
  </si>
  <si>
    <t>Muuttujan vaikutus kannattavuuteen</t>
  </si>
  <si>
    <t>Variabels inverkan på lönsamheten</t>
  </si>
  <si>
    <t>Sensitivität der Variablen auf die Profitabilität</t>
  </si>
  <si>
    <t>Wpływ zmiennej na rentowność</t>
  </si>
  <si>
    <t>Impacto de la variable en la rentabilidad</t>
  </si>
  <si>
    <t>VarRowsTxt</t>
  </si>
  <si>
    <t>Increase (+) / decrease (-)</t>
  </si>
  <si>
    <t>Rahoitusomaisuuden lisäys (-)/vähennys (+)</t>
  </si>
  <si>
    <t>Change in other receivables, increase (-)/decrease (+)</t>
  </si>
  <si>
    <t>Muutos, muut saamiset, lisäys (-)/vähennys (+)</t>
  </si>
  <si>
    <t>Vaihto-omaisuuden lisäys (-)/vähennys (+)</t>
  </si>
  <si>
    <t>Forderungen aus Lief. und Leist. 2</t>
  </si>
  <si>
    <t>Forderungen aus Lief. und Leist. 3</t>
  </si>
  <si>
    <t>Forderungen aus Lief. und Leist. 4</t>
  </si>
  <si>
    <t>Forderungen aus Lief. und Leist. 5</t>
  </si>
  <si>
    <t>Vorräte 2</t>
  </si>
  <si>
    <t>Vorräte 3</t>
  </si>
  <si>
    <t>Vorräte 4</t>
  </si>
  <si>
    <t>Vorräte 5</t>
  </si>
  <si>
    <t>Umschlagszeit,  Tage</t>
  </si>
  <si>
    <t>Korrigierte Bilanz</t>
  </si>
  <si>
    <t>Verbindlichkeiten, Zunahme (+)/Abnahme (-)</t>
  </si>
  <si>
    <t>Zunahme (-) / Abnahme (+)</t>
  </si>
  <si>
    <t>Vorräte, Zunahme (-) / Abnahme (+)</t>
  </si>
  <si>
    <t>Finanzielles Umlaufvermögen, Zu- (-) /Abnahme (+)</t>
  </si>
  <si>
    <t>Należności z tyt. dostaw i usług 2</t>
  </si>
  <si>
    <t>Należności z tyt. dostaw i usług 3</t>
  </si>
  <si>
    <t>Należności z tyt. dostaw i usług 4</t>
  </si>
  <si>
    <t>Należności z tyt. dostaw i usług 5</t>
  </si>
  <si>
    <t>Zapasy 2</t>
  </si>
  <si>
    <t>Zapasy 3</t>
  </si>
  <si>
    <t>Zapasy 4</t>
  </si>
  <si>
    <t>Zapasy 5</t>
  </si>
  <si>
    <t>Cuentas a cobrar 2</t>
  </si>
  <si>
    <t>Cuentas a cobrar 3</t>
  </si>
  <si>
    <t>Cuentas a cobrar 4</t>
  </si>
  <si>
    <t>Cuentas a cobrar 5</t>
  </si>
  <si>
    <t>Inventarios 2</t>
  </si>
  <si>
    <t>Inventarios 3</t>
  </si>
  <si>
    <t>Inventarios 4</t>
  </si>
  <si>
    <t>Inventarios 5</t>
  </si>
  <si>
    <t>Zapasy, skorygowane</t>
  </si>
  <si>
    <t>Inventarios ajustados</t>
  </si>
  <si>
    <t>Запасы 2</t>
  </si>
  <si>
    <t>Запасы 3</t>
  </si>
  <si>
    <t>Запасы 4</t>
  </si>
  <si>
    <t>Запасы 5</t>
  </si>
  <si>
    <t>Скорректированные запасы</t>
  </si>
  <si>
    <t>Show row numbers</t>
  </si>
  <si>
    <t>Näytä rivinumerot</t>
  </si>
  <si>
    <t>Visa radnummer</t>
  </si>
  <si>
    <t>Pokaż numery wierszy</t>
  </si>
  <si>
    <t>Mostrar número de filas</t>
  </si>
  <si>
    <t>Показать номера строк</t>
  </si>
  <si>
    <t>Ryhmä</t>
  </si>
  <si>
    <t>Grupp</t>
  </si>
  <si>
    <t>Gruppe</t>
  </si>
  <si>
    <t>Veränderung des Working Capitals, insgesamt</t>
  </si>
  <si>
    <t>Veränderung des Working Capitals</t>
  </si>
  <si>
    <t>Kortfristiga fordringar, ökning (-)/minskning (+)</t>
  </si>
  <si>
    <t>Kundfordringar</t>
  </si>
  <si>
    <t>Kundfordringar, korrigerade</t>
  </si>
  <si>
    <t>Kundfordringar 2</t>
  </si>
  <si>
    <t>Kundfordringar 3</t>
  </si>
  <si>
    <t>Kundfordringar 4</t>
  </si>
  <si>
    <t>Kundfordringar 5</t>
  </si>
  <si>
    <t>Zeige Zeilennummern an</t>
  </si>
  <si>
    <t>Number of days</t>
  </si>
  <si>
    <t>WC</t>
  </si>
  <si>
    <t>WCDays</t>
  </si>
  <si>
    <t>WCBal</t>
  </si>
  <si>
    <t>WCABal</t>
  </si>
  <si>
    <t>Change</t>
  </si>
  <si>
    <t>WCChange</t>
  </si>
  <si>
    <t>Locked</t>
  </si>
  <si>
    <t>(don't move cell)</t>
  </si>
  <si>
    <t>Lager, korrigerat</t>
  </si>
  <si>
    <t>0=per year, 1=per period</t>
  </si>
  <si>
    <t>Räntefritt kortfristigt främmande kapital</t>
  </si>
  <si>
    <t xml:space="preserve">  Phase</t>
  </si>
  <si>
    <t>Allokerat övervärde före skatt</t>
  </si>
  <si>
    <t>Övriga intäkter</t>
  </si>
  <si>
    <t>Realisationsvinst (-förlust)</t>
  </si>
  <si>
    <t>Kundfordringars betalningstid, dagar</t>
  </si>
  <si>
    <t>Gross margin, %</t>
  </si>
  <si>
    <t>Net income for the period, %</t>
  </si>
  <si>
    <t>(cumulative financial year)</t>
  </si>
  <si>
    <t>(kumulatiivinen tilikausi)</t>
  </si>
  <si>
    <t>Myyntikate, %</t>
  </si>
  <si>
    <t>Kauden voitto (tappio), %</t>
  </si>
  <si>
    <t>(kumulativ räkenskapsperiod)</t>
  </si>
  <si>
    <t>Försäljningsbidrag, %</t>
  </si>
  <si>
    <t>Periodens vinst (förlust), %</t>
  </si>
  <si>
    <t>(kumulativ Rechnungsperiode)</t>
  </si>
  <si>
    <t>Deckungsbeitrag 1, %</t>
  </si>
  <si>
    <t>Gewinn (Verlust), %</t>
  </si>
  <si>
    <t>Marża brutto, %</t>
  </si>
  <si>
    <t>Zysk netto okresu, %</t>
  </si>
  <si>
    <t>(ejercicio financiero acumulativo)</t>
  </si>
  <si>
    <t>Margen bruto, %</t>
  </si>
  <si>
    <t>BEI, %</t>
  </si>
  <si>
    <t>Ingreso neto para el período, %</t>
  </si>
  <si>
    <t>Валовая маржа, %</t>
  </si>
  <si>
    <t>Чистый доход за период, %</t>
  </si>
  <si>
    <t>C1799</t>
  </si>
  <si>
    <t>Veränderung Rechnungsabgrenzungsposten</t>
  </si>
  <si>
    <t>Rechnungsabgrenzungsposten</t>
  </si>
  <si>
    <t>Ergebnis 2 vor Steuern</t>
  </si>
  <si>
    <t>Added in 37009:</t>
  </si>
  <si>
    <t>ChangeTxt</t>
  </si>
  <si>
    <t>Change, yearly %</t>
  </si>
  <si>
    <t>Muutos, vuosi %</t>
  </si>
  <si>
    <t>Förändring, årlig %</t>
  </si>
  <si>
    <t>Veränderung, jährlich in %</t>
  </si>
  <si>
    <t>Zmiana, rocznie %</t>
  </si>
  <si>
    <t>Variación, % annual</t>
  </si>
  <si>
    <t>Изменение, годовой %</t>
  </si>
  <si>
    <t>IndexTxt</t>
  </si>
  <si>
    <t>Index (base year 100)</t>
  </si>
  <si>
    <t>Indeksi (perusvuosi 100)</t>
  </si>
  <si>
    <t>Index (basår 100)</t>
  </si>
  <si>
    <t>Index (Basisjahr = 100)</t>
  </si>
  <si>
    <t>Indeks (rok bazowy 100)</t>
  </si>
  <si>
    <t>Indice (año base 100)</t>
  </si>
  <si>
    <t>Индекс (базовый год 100)</t>
  </si>
  <si>
    <t>GroupTxt</t>
  </si>
  <si>
    <t>AllTxt</t>
  </si>
  <si>
    <t>All</t>
  </si>
  <si>
    <t>Kaikki</t>
  </si>
  <si>
    <t>Alla</t>
  </si>
  <si>
    <t>Alle</t>
  </si>
  <si>
    <t>Wszystko</t>
  </si>
  <si>
    <t>Todos</t>
  </si>
  <si>
    <t>все</t>
  </si>
  <si>
    <t>CurrencyTranslationCons</t>
  </si>
  <si>
    <t>CurrencyfileCons</t>
  </si>
  <si>
    <t>Mid-year discounting</t>
  </si>
  <si>
    <t>Diskonttaus kesken vuoden</t>
  </si>
  <si>
    <t>Diskontering från årets mitt</t>
  </si>
  <si>
    <t>Descuento medio / año</t>
  </si>
  <si>
    <t>Среднегодовое дисконтирование</t>
  </si>
  <si>
    <t>MidyearTxt</t>
  </si>
  <si>
    <t>MYDisc</t>
  </si>
  <si>
    <t>C4312</t>
  </si>
  <si>
    <t>C4311</t>
  </si>
  <si>
    <t>C4313</t>
  </si>
  <si>
    <t>Mid-year months to CalcPoint</t>
  </si>
  <si>
    <t>Mid-year months to CalcPointPB</t>
  </si>
  <si>
    <t>Mid-year months, cumulative</t>
  </si>
  <si>
    <t>Share of associated companies' profits</t>
  </si>
  <si>
    <t>C2186</t>
  </si>
  <si>
    <t>Osuus osakkuuusyritysten voitosta</t>
  </si>
  <si>
    <t>Andel av intressebolagens resultat</t>
  </si>
  <si>
    <t>Anteil der assoziierten Unternehmen Gewinne</t>
  </si>
  <si>
    <t>Accounts receivable, group</t>
  </si>
  <si>
    <t>C3951</t>
  </si>
  <si>
    <t>C3952</t>
  </si>
  <si>
    <t>Myyntisaamiset, konserni</t>
  </si>
  <si>
    <t>Kundfordringar, koncern</t>
  </si>
  <si>
    <t>Förändring i övriga kundfordringar, koncern</t>
  </si>
  <si>
    <t>Muutos, myyntisaamiset, konserni, lis. (-)/väh. (+)</t>
  </si>
  <si>
    <t>Forderungen aus Lief. und Leist., Konzern</t>
  </si>
  <si>
    <t>Veränderung, Forderungen aus Lief. und Leist., Konzern</t>
  </si>
  <si>
    <t>Other receivables, group</t>
  </si>
  <si>
    <t>Muut saamiset, konserni</t>
  </si>
  <si>
    <t>Muutos, muut saamiset, konserni, lis. (-)/väh. (+)</t>
  </si>
  <si>
    <t>Övriga fordringar, koncern</t>
  </si>
  <si>
    <t>Förändring i övriga fordringar, koncern</t>
  </si>
  <si>
    <t>Andere Forderungen, Konzern</t>
  </si>
  <si>
    <t>Veränderung, andere Forderungen, Konzern, Zu- (-) / Abnahme (+)</t>
  </si>
  <si>
    <t>C3961</t>
  </si>
  <si>
    <t>C3962</t>
  </si>
  <si>
    <t>Change in other receivables, group, incr. (-)/decr. (+)</t>
  </si>
  <si>
    <t>Change in accounts receivable, group, incr. (-)/decr. (+)</t>
  </si>
  <si>
    <t>Accounts payable, group</t>
  </si>
  <si>
    <t>Change in accounts payable, group, incr. (+)/decr. (-)</t>
  </si>
  <si>
    <t>Ostovelat, konserni</t>
  </si>
  <si>
    <t>Muutos, ostovelat, konserni, lisäys (+)/vähennys (-)</t>
  </si>
  <si>
    <t>Leverantörsskulder, koncern</t>
  </si>
  <si>
    <t>Förändring i leverantörsskulder, koncern, ökn. (+)/minskn. (-)</t>
  </si>
  <si>
    <t>Verbindlichkeiten aus Lief. und Leist. (LuL), Konzern</t>
  </si>
  <si>
    <t>Veränderung, Verbindlichk. aus Lief. und Leist. (LuL), Konzern</t>
  </si>
  <si>
    <t>C3971</t>
  </si>
  <si>
    <t>C3972</t>
  </si>
  <si>
    <t>C3981</t>
  </si>
  <si>
    <t>C3982</t>
  </si>
  <si>
    <t>Change in other current liabilities, incr. (+)/decr. (-)</t>
  </si>
  <si>
    <t>Other interest-free current liabilities, group</t>
  </si>
  <si>
    <t>Muu koroton lyhytaikainen velka, konserni</t>
  </si>
  <si>
    <t>Muutos, muu koroton lyh. velka konserni, lis. (+)/väh. (-)</t>
  </si>
  <si>
    <t>Övriga räntefria kortfristiga skulder, koncern</t>
  </si>
  <si>
    <t>Förändring i övriga räntefria kortfristiga skulder, koncern</t>
  </si>
  <si>
    <t>Veränderung, Sonstige unverzinsl. kurzfristige Verbindlichkeiten</t>
  </si>
  <si>
    <t>Sonstige unverzinsl. kurzfristige Verbindlichkeiten</t>
  </si>
  <si>
    <t>Changes in long-term debt, group</t>
  </si>
  <si>
    <t>C4129</t>
  </si>
  <si>
    <t>Muutokset vieraassa pääomassa, konserni</t>
  </si>
  <si>
    <t>Förändringar i främmande kapital, koncern</t>
  </si>
  <si>
    <t>Änderungen im Fremdkapital, Konzern</t>
  </si>
  <si>
    <t>C5951</t>
  </si>
  <si>
    <t>C5971</t>
  </si>
  <si>
    <t>Interest-bearing long-term debt, group</t>
  </si>
  <si>
    <t>C7111</t>
  </si>
  <si>
    <t>Korollinen pitkäaikainen vieras pääoma, konserni</t>
  </si>
  <si>
    <t>Räntebärande långfristigt främmande kapital, koncern</t>
  </si>
  <si>
    <t>Verzinsliches langfristiges Fremdkapital, Konzern</t>
  </si>
  <si>
    <t>C7211</t>
  </si>
  <si>
    <t>Verbindlichkeiten aus Lieferungen, Konzern</t>
  </si>
  <si>
    <t>C7216</t>
  </si>
  <si>
    <t>Other interest-free short-term debt, group</t>
  </si>
  <si>
    <t>Övrigt räntefritt kortfristigt främmande kapital, koncern</t>
  </si>
  <si>
    <t>Sonstige kurzfristige Verbindlichkeiten, Konzern</t>
  </si>
  <si>
    <t>C5951C</t>
  </si>
  <si>
    <t>C5971C</t>
  </si>
  <si>
    <t>C7111C</t>
  </si>
  <si>
    <t>C7211C</t>
  </si>
  <si>
    <t>C7216C</t>
  </si>
  <si>
    <t>Change in interest-free current liabilities, group</t>
  </si>
  <si>
    <t>Participación del lucro de las empresas asociadas</t>
  </si>
  <si>
    <t>Cuentas por cobrar, grupo</t>
  </si>
  <si>
    <t>Otras cuentas por cobrar, grupo</t>
  </si>
  <si>
    <t>Cuentas por pagar, grupo</t>
  </si>
  <si>
    <t>Otros pasivos circulantes libres de intereses, grupo</t>
  </si>
  <si>
    <t>Variación en deuda de largo plazo, grupo</t>
  </si>
  <si>
    <t>Deuda de largo plazo con costo financiero</t>
  </si>
  <si>
    <t>Deuda de corto plazo sin costo financier, grupo</t>
  </si>
  <si>
    <t>Доля прибыли дочерних компаний</t>
  </si>
  <si>
    <t>Дебиторская задолженность, группа</t>
  </si>
  <si>
    <t>Прочая дебиторская задолженность, группа</t>
  </si>
  <si>
    <t>Кредиторская задолженность, группа</t>
  </si>
  <si>
    <t>Прочие беспроцентные текущие обязательства, группа</t>
  </si>
  <si>
    <t>Изменения по долгосрочной задолжности, группа</t>
  </si>
  <si>
    <t>Долгосрочная процентная задолженность, группа</t>
  </si>
  <si>
    <t>Изменение по беспроцентным тек. обяз., группа</t>
  </si>
  <si>
    <t>Измен. по деб. задолж., группа, увелич. (-)/уменьш. (+)</t>
  </si>
  <si>
    <t>Измен. по кред. задолж., группа, увелич. (+)/уменьш. (-)</t>
  </si>
  <si>
    <t>Проч. краткосрочная беспроцентная задолж., группа</t>
  </si>
  <si>
    <t>Измен. по проч. деб. задолж., группа, увел. (-)/умен. (+)</t>
  </si>
  <si>
    <t>Udział w zyskach spółek stowarzyszonych</t>
  </si>
  <si>
    <t>Należności, grupa</t>
  </si>
  <si>
    <t>Zmiana stanu należności, grupa, wzr. (+) / spad. (-)</t>
  </si>
  <si>
    <t>Pozostałe należności, grupa</t>
  </si>
  <si>
    <t>Zmiany pozostałych należności, grupa, wzr. (+) / spad. (-)</t>
  </si>
  <si>
    <t>Zmiana stanu zobowiązań, grupa, wzr. (+) / spad. (-)</t>
  </si>
  <si>
    <t>Inne nieoprocentowane zobowiązania krótkoterminowe, grupa</t>
  </si>
  <si>
    <t>Zmiana w nieoprocentowanych zobowiązaniach krótkoterminowych, grupa</t>
  </si>
  <si>
    <t>Zmiany w długoterminowych zadłużeniach, grupa</t>
  </si>
  <si>
    <t>Inne nieoprocentowane zadłużenie krótkoterminowe, grupa</t>
  </si>
  <si>
    <t xml:space="preserve">Variación en ctas por cobrar, grupo, aum.(-)/red.(+) </t>
  </si>
  <si>
    <t xml:space="preserve">Variación en otras ctas por cobrar, grupo,  aum.(-)/red.(+) </t>
  </si>
  <si>
    <t>Variación en ctas por pagar, grupo, aum.(+)/red.(-)</t>
  </si>
  <si>
    <t>Var. en otros pasivos circulantes sin costo fin., grupo</t>
  </si>
  <si>
    <t>Година</t>
  </si>
  <si>
    <t xml:space="preserve">  Описание на проекта</t>
  </si>
  <si>
    <t>месец</t>
  </si>
  <si>
    <t>години</t>
  </si>
  <si>
    <t>месеци</t>
  </si>
  <si>
    <t xml:space="preserve">  + месеци</t>
  </si>
  <si>
    <t xml:space="preserve">  Дължина на интервала, месеци</t>
  </si>
  <si>
    <t xml:space="preserve">  Брой на интервалите</t>
  </si>
  <si>
    <t>(в края на  периода)</t>
  </si>
  <si>
    <t xml:space="preserve">  Валута</t>
  </si>
  <si>
    <t>Месечна</t>
  </si>
  <si>
    <t xml:space="preserve">  Стойност на собств. капитал (за година)</t>
  </si>
  <si>
    <t xml:space="preserve">  Данък печалба %</t>
  </si>
  <si>
    <t xml:space="preserve">  Контактно лице</t>
  </si>
  <si>
    <t>Такси за включване</t>
  </si>
  <si>
    <t>Месеци в интервала</t>
  </si>
  <si>
    <t>Тарифи за включване, ръст (+) / снижение (-)</t>
  </si>
  <si>
    <t>ИНВЕСТИЦИИ (-) / ДОХОДИ ОТ РЕАЛИЗАЦИЯТА (+)</t>
  </si>
  <si>
    <t>Въведена амортизация</t>
  </si>
  <si>
    <t>(линейна)</t>
  </si>
  <si>
    <t>Балансова стойност</t>
  </si>
  <si>
    <t>Въведена балансова стойност</t>
  </si>
  <si>
    <t>Доходи от реализация</t>
  </si>
  <si>
    <t>Групови инвестиции</t>
  </si>
  <si>
    <t>Групови доходи от реализация</t>
  </si>
  <si>
    <t>Групова амортизация</t>
  </si>
  <si>
    <t>Групова балансова стойност</t>
  </si>
  <si>
    <t>Дял, %</t>
  </si>
  <si>
    <t>Акционерен капитал</t>
  </si>
  <si>
    <t>Емисионна премия</t>
  </si>
  <si>
    <t>Други ограничения на собствения капитал</t>
  </si>
  <si>
    <t>Нерзпределена печалба</t>
  </si>
  <si>
    <t>Печалба (Загуба) за периода</t>
  </si>
  <si>
    <t>Различие в амортизацията</t>
  </si>
  <si>
    <t>Преоценка преди облагането с данък</t>
  </si>
  <si>
    <t>Задължения по неплатен данък</t>
  </si>
  <si>
    <t>Разпределена преоценка преди данъци</t>
  </si>
  <si>
    <t>Рапределено задължение по отложени данъци</t>
  </si>
  <si>
    <t>Корекция на собствения капитал</t>
  </si>
  <si>
    <t>Финансиране на придобиването</t>
  </si>
  <si>
    <t>Собствен капитал</t>
  </si>
  <si>
    <t>Дългосрочна лихвена задлъжнялост</t>
  </si>
  <si>
    <t>Погасяване на задълженията</t>
  </si>
  <si>
    <t>Разходи по  финансирането</t>
  </si>
  <si>
    <t>(кумулативни стойности за финансовата година)</t>
  </si>
  <si>
    <t>Променливи разходи</t>
  </si>
  <si>
    <t>Суровини и материали</t>
  </si>
  <si>
    <t>Външни разходи</t>
  </si>
  <si>
    <t>Други променливи разходи</t>
  </si>
  <si>
    <t>Брутна печалба</t>
  </si>
  <si>
    <t>Брутна печалба, %</t>
  </si>
  <si>
    <t>Фиксирани разходи</t>
  </si>
  <si>
    <t>Разходи за персонал</t>
  </si>
  <si>
    <t>Арендни плащания</t>
  </si>
  <si>
    <t>Други фиксирани разходи</t>
  </si>
  <si>
    <t>Друга амортизация</t>
  </si>
  <si>
    <t>Финансови доходи и разходи</t>
  </si>
  <si>
    <t>Изменения по кредитните плащания</t>
  </si>
  <si>
    <t>Данък върху печалбата</t>
  </si>
  <si>
    <t>Отложен за плащане данък</t>
  </si>
  <si>
    <t>Нетен доход за периода, %</t>
  </si>
  <si>
    <t>Рентабилност на нетните активи (RONA), %</t>
  </si>
  <si>
    <t>Група</t>
  </si>
  <si>
    <t>Резултат в обекта на финансиране преди данъци</t>
  </si>
  <si>
    <t>Общ данъчен ефект</t>
  </si>
  <si>
    <t>ОБОРОТЕН КАПИТАЛ</t>
  </si>
  <si>
    <t>Краткосрочни активи</t>
  </si>
  <si>
    <t>Дебиторска задлъжнялост</t>
  </si>
  <si>
    <t>Изменения в дебиторската задлъжнялост</t>
  </si>
  <si>
    <t>Дебиторска задлъжнялост 2</t>
  </si>
  <si>
    <t>Дебиторска задлъжнялост 3</t>
  </si>
  <si>
    <t>Друга дебиторска задлъжнялост</t>
  </si>
  <si>
    <t>Изменения в другата  дебиторска задлъжнялост</t>
  </si>
  <si>
    <t>Минимален остатък на наличните пари</t>
  </si>
  <si>
    <t>Краткосрочни активи, ръс (-) / снижение (+)</t>
  </si>
  <si>
    <t>Запаси</t>
  </si>
  <si>
    <t>Увеличение (-) или намаление (+) на запаса</t>
  </si>
  <si>
    <t>Запаси 2</t>
  </si>
  <si>
    <t>Увеличение (-) или намаление (+) на запасите</t>
  </si>
  <si>
    <t>Запаси 3</t>
  </si>
  <si>
    <t>Запаси 4</t>
  </si>
  <si>
    <t>Увеличение (-) или намаление (+) запасите</t>
  </si>
  <si>
    <t>Запаси 5</t>
  </si>
  <si>
    <t>Увеличение (-)/намаление (+) на запасите</t>
  </si>
  <si>
    <t>Изменения по кред. задлъжнялост., увелич.(+) /намал.(-)</t>
  </si>
  <si>
    <t>Кредиторска задлъжнялост 2</t>
  </si>
  <si>
    <t>Кредиторска задлъжнялост 3</t>
  </si>
  <si>
    <t>Кредиторска задлъжнялост  4</t>
  </si>
  <si>
    <t>Кредиторска задлъжнялост 5</t>
  </si>
  <si>
    <t>Други текущи задължения</t>
  </si>
  <si>
    <t>Изменения в другите тек. задълж., увелич.(+) / намал.(-)</t>
  </si>
  <si>
    <t>Текущи задължения, увеличение (+)/намаление (-)</t>
  </si>
  <si>
    <t>Месеци в  интервала</t>
  </si>
  <si>
    <t>Инвестиции в активи и доходи от тяхната реализация</t>
  </si>
  <si>
    <t>Групови статии</t>
  </si>
  <si>
    <t>Придобивания  и реализация</t>
  </si>
  <si>
    <t>Стойност от използването</t>
  </si>
  <si>
    <t>Дългосрочна задлъжнялост., увелич.(+) / намал.(-)</t>
  </si>
  <si>
    <t>Изменения по дългосрочната лихвена задлъжнялост</t>
  </si>
  <si>
    <t>Cвоб. паричен поток на собств. капитал (FCFE)</t>
  </si>
  <si>
    <t>Дисконт. своб.паричен поток на собств. капитал (DFCFE)</t>
  </si>
  <si>
    <t>Изменения в акционерния капитал</t>
  </si>
  <si>
    <t>Изменения в неразпределената печалба</t>
  </si>
  <si>
    <t>АКТИВИ</t>
  </si>
  <si>
    <t>Начален баланс</t>
  </si>
  <si>
    <t>Нематериални активи</t>
  </si>
  <si>
    <t>Нематериални права</t>
  </si>
  <si>
    <t>Нематериални права (посочени)</t>
  </si>
  <si>
    <t>Други нематериални активи</t>
  </si>
  <si>
    <t>Материални активи</t>
  </si>
  <si>
    <t>Машини и оборудване</t>
  </si>
  <si>
    <t>Машини и оборудване (посочено)</t>
  </si>
  <si>
    <t>Земя и вода</t>
  </si>
  <si>
    <t>Земя и вода (посочени)</t>
  </si>
  <si>
    <t>Раходи  за бъдещи периоди и незав.строит.</t>
  </si>
  <si>
    <t>Раходи  за бъдещи периоди и незав.строит.(посочени)</t>
  </si>
  <si>
    <t>Други материални активи</t>
  </si>
  <si>
    <t>Други материални активи (посочени)</t>
  </si>
  <si>
    <t>Инвестиции в дъщерни компании</t>
  </si>
  <si>
    <t>Инвестиции в дъщерни компании (посочени)</t>
  </si>
  <si>
    <t>Активи в отложени данъци</t>
  </si>
  <si>
    <t>Активи в  отложени данъци (посочени)</t>
  </si>
  <si>
    <t>Други инвестиции</t>
  </si>
  <si>
    <t>Други инвестиции (посочени)</t>
  </si>
  <si>
    <t>Оборотни Активи</t>
  </si>
  <si>
    <t>АКТИВИ на  ГРУПАТА</t>
  </si>
  <si>
    <t>Печалба/Загуба за периода</t>
  </si>
  <si>
    <t>Натрупани бюджетни кредити</t>
  </si>
  <si>
    <t>Резервни отчисления</t>
  </si>
  <si>
    <t>Дългосрочни задължения</t>
  </si>
  <si>
    <t>Дългосрочна безлихвена задлъжнялост</t>
  </si>
  <si>
    <t>Задлъжнялост по отложени данъци</t>
  </si>
  <si>
    <t>Краткосрочни задължения</t>
  </si>
  <si>
    <t>Краткосрочни лихвени задължения</t>
  </si>
  <si>
    <t>Краткосрочни кредити и заеми</t>
  </si>
  <si>
    <t>Краткосрочни безлихвени задължения</t>
  </si>
  <si>
    <t>Кредиторска задлъжнялост</t>
  </si>
  <si>
    <t>Друга краткосрочна безлихвена задлъжнялост</t>
  </si>
  <si>
    <t>Натрупани инвестиционни разходи</t>
  </si>
  <si>
    <t>Изчислена задлъжнялост по данъците</t>
  </si>
  <si>
    <t>Корекция на размера на собствения капитал</t>
  </si>
  <si>
    <t>Долгосрочна лихвена задлъжнялост</t>
  </si>
  <si>
    <t>Краткосрочни  лихвени задължения</t>
  </si>
  <si>
    <t>Балансова стойност на активите</t>
  </si>
  <si>
    <t>ФИНАНСОВИ ПОКАЗАТЕЛИ</t>
  </si>
  <si>
    <t>Анализ на рентабилността</t>
  </si>
  <si>
    <t>Описание на проекта</t>
  </si>
  <si>
    <t>За компанията</t>
  </si>
  <si>
    <t>Номинална стойност на всички инвестиции</t>
  </si>
  <si>
    <t>Дисконтирани инвестиции</t>
  </si>
  <si>
    <t>Необходимо ниво на доходност</t>
  </si>
  <si>
    <t>Текуща стойност на търговския паричен поток</t>
  </si>
  <si>
    <t xml:space="preserve">поток </t>
  </si>
  <si>
    <t>Забележка</t>
  </si>
  <si>
    <t>Текуща стойност на остатъчната стойност</t>
  </si>
  <si>
    <t>Период на екстраполация</t>
  </si>
  <si>
    <t>Подразбиращи се крайни многократни</t>
  </si>
  <si>
    <t>Остатъчна стойност</t>
  </si>
  <si>
    <t>Обща текуща стойност (PV)</t>
  </si>
  <si>
    <t xml:space="preserve">      Нетен паричен поток за годината</t>
  </si>
  <si>
    <t>Стойност на собствения капитал</t>
  </si>
  <si>
    <t>Влияние на сумата на инвестициите върху рентабилността</t>
  </si>
  <si>
    <t>Финансови показатели</t>
  </si>
  <si>
    <t>Изменение на дохода,%</t>
  </si>
  <si>
    <t>Влияние на променливите разходи върху рентабилността</t>
  </si>
  <si>
    <t>Изменение на променливите разходи,%</t>
  </si>
  <si>
    <t>Влияние на фиксираните разходи върху рентабилността</t>
  </si>
  <si>
    <t>Изменение на фиксираните разходи, %</t>
  </si>
  <si>
    <t>Променлива</t>
  </si>
  <si>
    <t>Изменение на стойността,%</t>
  </si>
  <si>
    <t>Стойности на променливата</t>
  </si>
  <si>
    <t>Покажи основните стойности</t>
  </si>
  <si>
    <t>Продължаващи операции</t>
  </si>
  <si>
    <t>Продажба</t>
  </si>
  <si>
    <t>Материали и услуги</t>
  </si>
  <si>
    <t>Разходи за трудови възнаграждения</t>
  </si>
  <si>
    <t>Други разходи</t>
  </si>
  <si>
    <t>Дял на печалбата на асоциацираните и съвместни предприятия</t>
  </si>
  <si>
    <t>Нетни финансови позиции</t>
  </si>
  <si>
    <t>Печалба преди подоходния данък</t>
  </si>
  <si>
    <t>Печалба преди подоходния данък,%</t>
  </si>
  <si>
    <t>Печалба за период  от продължаващи операции</t>
  </si>
  <si>
    <t>Печалба за период от продължаващи операции,%</t>
  </si>
  <si>
    <t>Прекратени операции</t>
  </si>
  <si>
    <t>Печалба за периода от прекратените операции</t>
  </si>
  <si>
    <t>Печалба за периода</t>
  </si>
  <si>
    <t>печалба за периода,%</t>
  </si>
  <si>
    <t>Акционерите на компанията</t>
  </si>
  <si>
    <t>Извъноборотни активи</t>
  </si>
  <si>
    <t>Инвестиции в асоциирани предприятия</t>
  </si>
  <si>
    <t>Други дългосрочни инвестиции</t>
  </si>
  <si>
    <t>Отложени данъчни активи</t>
  </si>
  <si>
    <t>Общо извъноборотни активи</t>
  </si>
  <si>
    <t>Оборотни активи</t>
  </si>
  <si>
    <t>Търговска и друга дебиторска задлъжнялост</t>
  </si>
  <si>
    <t>Парични средства и техния еквивалент</t>
  </si>
  <si>
    <t>Общо оборотни активи</t>
  </si>
  <si>
    <t>Общо активи</t>
  </si>
  <si>
    <t>Капитал и резерви на акционерите на компанията</t>
  </si>
  <si>
    <t>Друг собствен капитал</t>
  </si>
  <si>
    <t>Общо</t>
  </si>
  <si>
    <t>Общо собствен капитал</t>
  </si>
  <si>
    <t>Лихвени задължения</t>
  </si>
  <si>
    <t>Други задължения</t>
  </si>
  <si>
    <t>Общо дългосрочни задължения</t>
  </si>
  <si>
    <t>Текущи данъчни задължения</t>
  </si>
  <si>
    <t>Търговски и други дебиторски задължения</t>
  </si>
  <si>
    <t>Общо краткосрочни задължения</t>
  </si>
  <si>
    <t>Общо собствен капитал и задължения</t>
  </si>
  <si>
    <t>Получени дивиденти</t>
  </si>
  <si>
    <t>Данъци</t>
  </si>
  <si>
    <t>Поток парични средства от инвестиционна дейност</t>
  </si>
  <si>
    <t>Придобити акции</t>
  </si>
  <si>
    <t>Постъпления от реализация на основни средства</t>
  </si>
  <si>
    <t>Постъпления от продажба на акции</t>
  </si>
  <si>
    <t>Изменения в други инвестиции</t>
  </si>
  <si>
    <t>Паричен поток преди финансовата дейност</t>
  </si>
  <si>
    <t>Паричен поток от финансовата дейност</t>
  </si>
  <si>
    <t>Нетно изменение по кредитите</t>
  </si>
  <si>
    <t>Изплатени дивиденти на акционерите на компанията</t>
  </si>
  <si>
    <t>Други финансови позиции</t>
  </si>
  <si>
    <t>Общо нетни парични средства от финансова дейност</t>
  </si>
  <si>
    <t>Bul</t>
  </si>
  <si>
    <t>Преостъпен макрос</t>
  </si>
  <si>
    <t>Да се приложи макрос в XXX</t>
  </si>
  <si>
    <t>Макрофайл</t>
  </si>
  <si>
    <t>Безсрочен</t>
  </si>
  <si>
    <t>Макросът не е посочен</t>
  </si>
  <si>
    <t>Разпределена преоценка</t>
  </si>
  <si>
    <t>&lt;Не се използва&gt;</t>
  </si>
  <si>
    <t>Покажи номера на реда</t>
  </si>
  <si>
    <t>Метод на намаляващия остатък</t>
  </si>
  <si>
    <t>Въведи</t>
  </si>
  <si>
    <t>Остатък</t>
  </si>
  <si>
    <t>Вменена</t>
  </si>
  <si>
    <t>Име на Макрос файла</t>
  </si>
  <si>
    <t>Период на макроса</t>
  </si>
  <si>
    <t>Описсание (незадължително)</t>
  </si>
  <si>
    <t>корегиран</t>
  </si>
  <si>
    <t>Данък печалба</t>
  </si>
  <si>
    <t>Елиминиране</t>
  </si>
  <si>
    <t>Изменение, годишно %</t>
  </si>
  <si>
    <t>Средногодишно дисконтиране</t>
  </si>
  <si>
    <t>средна стойност</t>
  </si>
  <si>
    <t>начално салдо</t>
  </si>
  <si>
    <t>крайно салдо</t>
  </si>
  <si>
    <t>Нетни активи</t>
  </si>
  <si>
    <t>Начисление върху нетните активи</t>
  </si>
  <si>
    <t>Група на нетните активи</t>
  </si>
  <si>
    <t>Начисления върху групата на нетните активи</t>
  </si>
  <si>
    <t>Консолидиран</t>
  </si>
  <si>
    <t>Индекс (Базова година 100)</t>
  </si>
  <si>
    <t>Дял на печалбата на дъщерните компании</t>
  </si>
  <si>
    <t>Друга дебиторска задлъжнялост, група</t>
  </si>
  <si>
    <t>Кредиторска задлъжнялост, група</t>
  </si>
  <si>
    <t>Изменения по кредит.задл., група, ръст (-), намаление(+)</t>
  </si>
  <si>
    <t>Изменения в свободните от лихви текущи задължения</t>
  </si>
  <si>
    <t>Дебиторска задлъжнялост, група</t>
  </si>
  <si>
    <t>Дългосрочна лихвена задлъжнялост, група</t>
  </si>
  <si>
    <t>Измен. в др. дебит.задлъжн., ръст(-),намал.(+)</t>
  </si>
  <si>
    <t>Мин. остатък на наличн. пари, ръст (-) / сниж.(+)</t>
  </si>
  <si>
    <t>Инвестицинно предложение</t>
  </si>
  <si>
    <t>Предполагаеми инвестиции в активи</t>
  </si>
  <si>
    <t>Инвестиционни субсидии</t>
  </si>
  <si>
    <t>Инвестиционно Предложение</t>
  </si>
  <si>
    <t>NPV като ежемесечен анюитет</t>
  </si>
  <si>
    <t>Индекс на рентабилността (PI)</t>
  </si>
  <si>
    <t>Срок на откупуване, години</t>
  </si>
  <si>
    <t xml:space="preserve">      Чист паричен поток за годината</t>
  </si>
  <si>
    <t xml:space="preserve">      Стандартен (без увеличение)</t>
  </si>
  <si>
    <t xml:space="preserve">      Ръст на годишния лихвен процент</t>
  </si>
  <si>
    <t>NPVe като месечен анюитет</t>
  </si>
  <si>
    <t>Срок на откупуване на собствения капитал, години</t>
  </si>
  <si>
    <t>Нетна лихвена задлъжнялост на придобитата компания</t>
  </si>
  <si>
    <t>Предполагаеми инвестиции в акции</t>
  </si>
  <si>
    <t>Анюитет на инвестицията</t>
  </si>
  <si>
    <t>Балансова стойност на активите (А)</t>
  </si>
  <si>
    <t>Дисконтиран FCFE, без остатъчна стойност</t>
  </si>
  <si>
    <t>Срок за откупуване в  години. основан на DCVA</t>
  </si>
  <si>
    <t xml:space="preserve"> Печеливш</t>
  </si>
  <si>
    <t>Zobowiązania, grupa</t>
  </si>
  <si>
    <t>Oprocentowane zadłużenie długoterminowe, grupa</t>
  </si>
  <si>
    <t>Dyskontowanie w połowie roku</t>
  </si>
  <si>
    <t>P05HUNC</t>
  </si>
  <si>
    <t>Abzinsung von Mitte des Geschäftsjahres</t>
  </si>
  <si>
    <t>Diskonteringsränta</t>
  </si>
  <si>
    <t>Основни стойности</t>
  </si>
  <si>
    <t xml:space="preserve">  Фаза на изчислението</t>
  </si>
  <si>
    <t xml:space="preserve">  Срок на изчислението, години</t>
  </si>
  <si>
    <t xml:space="preserve">  Начало на изчислението</t>
  </si>
  <si>
    <t xml:space="preserve">  Изчислителна точка</t>
  </si>
  <si>
    <t xml:space="preserve">  Край на изчислението</t>
  </si>
  <si>
    <t xml:space="preserve">  Стойности (1/1000/1000000)</t>
  </si>
  <si>
    <t xml:space="preserve">  Норма на възвръщаемост (годишна)</t>
  </si>
  <si>
    <t>Контактна информация</t>
  </si>
  <si>
    <t xml:space="preserve">  Контактна информация</t>
  </si>
  <si>
    <t xml:space="preserve">  Коментари</t>
  </si>
  <si>
    <t xml:space="preserve">  Изчислителен файл</t>
  </si>
  <si>
    <t>Реализирана печалба (+) / разходи (-) от реализация</t>
  </si>
  <si>
    <t>Вътрешен</t>
  </si>
  <si>
    <t>Доходи от реализации</t>
  </si>
  <si>
    <t>Групова реализирана печ. (+) / разходи (-) от реализация</t>
  </si>
  <si>
    <t>Изчисление на репутацията</t>
  </si>
  <si>
    <t xml:space="preserve">Обща разпределена преоценка </t>
  </si>
  <si>
    <t>Репутация</t>
  </si>
  <si>
    <t>Кумулативен баланс на "Репутацията"</t>
  </si>
  <si>
    <t>Групова репутация</t>
  </si>
  <si>
    <t>ОТЧЕТ ЗА ПРИХОДИТЕ И РАЗХОДИТЕ</t>
  </si>
  <si>
    <t>Приходи</t>
  </si>
  <si>
    <t>Резервни отчисления, ръст (-) / снижение (+)</t>
  </si>
  <si>
    <t>EBITDA (Оперативна печалба)</t>
  </si>
  <si>
    <t>Амортизация  на "Репутацията"</t>
  </si>
  <si>
    <t>EBIT; Печалба преди лихви и данъци</t>
  </si>
  <si>
    <t>Финансови приходи и разходи</t>
  </si>
  <si>
    <t>Финансови приходи и разходи, Финансов файл</t>
  </si>
  <si>
    <t>EBT; Печалба преди данъци</t>
  </si>
  <si>
    <t>Приходи и разходи при извънредни условия</t>
  </si>
  <si>
    <t>Реализирана печалба (-загуба)</t>
  </si>
  <si>
    <t>Други извънредни приходи (-загуби)</t>
  </si>
  <si>
    <t>Приходи преди кредитни плащания и данъци</t>
  </si>
  <si>
    <t>Амортизация в излишък над (-) / под (+) от въведените</t>
  </si>
  <si>
    <t>Нетен приход за периода</t>
  </si>
  <si>
    <t>(кумулативна финансова година)</t>
  </si>
  <si>
    <t>Обект на  инвестицията</t>
  </si>
  <si>
    <t>Икономическа добавена стойност  (EVA)</t>
  </si>
  <si>
    <t>Дисконтирана добавена стойност (DCVA)</t>
  </si>
  <si>
    <t>Кумулативна дисконтирана добавена стойност</t>
  </si>
  <si>
    <t>Оперативна печалба</t>
  </si>
  <si>
    <t>Нетна оперативна печалба след данъци</t>
  </si>
  <si>
    <t>Финансови и извънредни позиции</t>
  </si>
  <si>
    <t>Ефект на груповия резултат (кумулативен за фин. година)</t>
  </si>
  <si>
    <t>Рентабилност на нетните активи на групата  (RONA), %</t>
  </si>
  <si>
    <t>Икономическа добавена стойност на групата (EVA)</t>
  </si>
  <si>
    <t>Дисконтирана добавена стойност на групата (DCVA)</t>
  </si>
  <si>
    <t>Кумулативна дисконтирана добавена стойност на групата</t>
  </si>
  <si>
    <t>Оперативна печалба на групата</t>
  </si>
  <si>
    <t>Нетна оперативна печалба на групата след данъци</t>
  </si>
  <si>
    <t>Срeден срок на плащания по дебит. задлъжнялост, дни</t>
  </si>
  <si>
    <t>Коригирана дебиторска задлъжнялост</t>
  </si>
  <si>
    <t>Изменения по дебиторската задлъжнялост</t>
  </si>
  <si>
    <t>Изм. в дебит. задлъжн., група,ръст (-),намал. (+)</t>
  </si>
  <si>
    <t>Период на оборота, дни</t>
  </si>
  <si>
    <t>Коригирани запаси</t>
  </si>
  <si>
    <t>Кредит.задл., средн. срок на изплащане, дни</t>
  </si>
  <si>
    <t>Коригирана кредиторска задлъжнялост</t>
  </si>
  <si>
    <t>Други, свободни от лихви, текущи задължения</t>
  </si>
  <si>
    <t>Изменения в оборотния капитал</t>
  </si>
  <si>
    <t>Нетен оборотен капитал</t>
  </si>
  <si>
    <t>ОТЧЕТ ЗА ПАРИЧНИЯ ПОТОК</t>
  </si>
  <si>
    <t>Паричен поток от оперативна дейност</t>
  </si>
  <si>
    <t>Приход</t>
  </si>
  <si>
    <t>Извънредни приходи и разходи</t>
  </si>
  <si>
    <t>Паричен  поток от оперативна дейност</t>
  </si>
  <si>
    <t>Такса за включване</t>
  </si>
  <si>
    <t>Норма на възвръщаемост, %</t>
  </si>
  <si>
    <t>Финансов паричен поток</t>
  </si>
  <si>
    <t>Корекц. на подоходн. данък за финанс. позиции</t>
  </si>
  <si>
    <t>Измен. по дългоср. задлъжнял., Фин. файл</t>
  </si>
  <si>
    <t>Изменения по задлъжнялостта. по корп. придобиване</t>
  </si>
  <si>
    <t>Изменения в дългосрочните задължения, група</t>
  </si>
  <si>
    <t>Измен. по дългоср. безлихв. задлъжнялост</t>
  </si>
  <si>
    <t>Изменения по краткосрочните кредити и заеми</t>
  </si>
  <si>
    <t>Общ дисконт. своб. паричен. поток на собств. капитал</t>
  </si>
  <si>
    <t>Стойност на собствения капитала (за година)</t>
  </si>
  <si>
    <t>Собствен капитал, ръст (+) / снижение (-)</t>
  </si>
  <si>
    <t>Изменения в емисионните премии</t>
  </si>
  <si>
    <t>Изменения в другите огранич.на  собств. капитал</t>
  </si>
  <si>
    <t>Изменения в собств. капитал на компанията майка</t>
  </si>
  <si>
    <t>Общ паричен поток</t>
  </si>
  <si>
    <t>Кумулативен общ паричен поток</t>
  </si>
  <si>
    <t>Основни средства и други извъноборотни активи</t>
  </si>
  <si>
    <t>Капитализирани разходи за разработката</t>
  </si>
  <si>
    <t>Капитализирани разходи за разраб. (посочени)</t>
  </si>
  <si>
    <t>Капитализирани разходи за разраб.</t>
  </si>
  <si>
    <t>Репутация (посочено)</t>
  </si>
  <si>
    <t>Други нематериални активи (посочени)</t>
  </si>
  <si>
    <t>Сгради и съоръжения</t>
  </si>
  <si>
    <t>Сгради и съоръжения (посочени)</t>
  </si>
  <si>
    <t>Дългосрочни заеми за възстановяване</t>
  </si>
  <si>
    <t>Дългосрочни заеми за възстановяване(посочени)</t>
  </si>
  <si>
    <t>Всички основни средства и други извъноборотни активи</t>
  </si>
  <si>
    <t>Запаси и незавършено производство</t>
  </si>
  <si>
    <t>Банка и каса</t>
  </si>
  <si>
    <t>Всички оборотни активи</t>
  </si>
  <si>
    <t>Репутация (придобиване)</t>
  </si>
  <si>
    <t>Банка и каса, компанията майка</t>
  </si>
  <si>
    <t>Собствен капитал на акционерите</t>
  </si>
  <si>
    <t>Друг ограничен капитал</t>
  </si>
  <si>
    <t>Неразпределена печалба</t>
  </si>
  <si>
    <t>Общо собствен капитал на акционерите</t>
  </si>
  <si>
    <t>Текущ дял на дългосрочните кредити</t>
  </si>
  <si>
    <t>Др., свободна от лихви, кратк. задлъжнялост, група</t>
  </si>
  <si>
    <t>Задължения по отложени данъци</t>
  </si>
  <si>
    <t>Тест за обезценка</t>
  </si>
  <si>
    <t>Към таблицата за сравнение:</t>
  </si>
  <si>
    <t>Инвестиционно предложение:</t>
  </si>
  <si>
    <t>Потвърждение на теста за обезценка:</t>
  </si>
  <si>
    <t>Срок на изчислението</t>
  </si>
  <si>
    <t>Точка на изчислението</t>
  </si>
  <si>
    <t>Текуща стойност на търговския паричен потол</t>
  </si>
  <si>
    <t>Норма на възвръщаемост</t>
  </si>
  <si>
    <t>Текуща стойност на реинвестицията</t>
  </si>
  <si>
    <t>Стойност на собств. капитал на основа на  своб. пар. поток (EV)</t>
  </si>
  <si>
    <t>Нетна настояща стойност (NPV)</t>
  </si>
  <si>
    <t xml:space="preserve"> Непечеливш</t>
  </si>
  <si>
    <t>Годишен анюитет</t>
  </si>
  <si>
    <t>Вътрешна норма на възвръщаемост (IRR)</t>
  </si>
  <si>
    <t>Вътрешна норма на възвръщаемост преди данъци</t>
  </si>
  <si>
    <t>Модифицирана вътрешна норма на възвръщаемост (MIRR)</t>
  </si>
  <si>
    <t>Основ. на дисконтирания FCF</t>
  </si>
  <si>
    <t>Точка на изчислението, срок на откупуване</t>
  </si>
  <si>
    <t>Рентабилност на нетните активи (RONA)</t>
  </si>
  <si>
    <t>Вътрешна норма на възвръщ. основана на DCVA (IRRd)</t>
  </si>
  <si>
    <t>Изчислителна точка, срок на откупуване</t>
  </si>
  <si>
    <t>За собствения капитал</t>
  </si>
  <si>
    <t>Текуща остатъчна стойност на собствения капитал</t>
  </si>
  <si>
    <t>Корекция на остатъка по задлъжнялостта</t>
  </si>
  <si>
    <t>Нетна настояща стойност на собствения капитал (NPVe)</t>
  </si>
  <si>
    <t>Вътрешна норма на възвръщаемост на собствения капитал</t>
  </si>
  <si>
    <t>Вътрешна норма на възвърщаемост на СК преди данъци</t>
  </si>
  <si>
    <t>Модифицирана вътрешна норма на възвръщ. на СК (MIRRe)</t>
  </si>
  <si>
    <t>Основан на дисконтирания FCFE</t>
  </si>
  <si>
    <t>Основан на FCFE</t>
  </si>
  <si>
    <t>Изчислителният файл е направен от</t>
  </si>
  <si>
    <t>Изчислителен файл</t>
  </si>
  <si>
    <t xml:space="preserve">      Покажете изводите за индикаторите на рентабилността</t>
  </si>
  <si>
    <t>Влияние вурху коефициента на рентабилност</t>
  </si>
  <si>
    <t>Коефициент на дисконтиране</t>
  </si>
  <si>
    <t>Влияние на приходите върху рентабилността</t>
  </si>
  <si>
    <t>Влияние на променливия приход върху рентабилността</t>
  </si>
  <si>
    <t>Отчет за приходите и разходите</t>
  </si>
  <si>
    <t>Други приходи</t>
  </si>
  <si>
    <t>Задължения, амортизация и разходи по обезценката</t>
  </si>
  <si>
    <t>Оперативна печалба, %</t>
  </si>
  <si>
    <t>Разходи по подоходния данък</t>
  </si>
  <si>
    <t>Отнасяща се за:</t>
  </si>
  <si>
    <t>Собственост, сгради и оборудвания</t>
  </si>
  <si>
    <t>Дългосрочна лихвена дебиторска задлъжнялост</t>
  </si>
  <si>
    <t>Общо задължения</t>
  </si>
  <si>
    <t>Отчет за паричния поток</t>
  </si>
  <si>
    <t>Оперативна печалба преди продължаващите амортизационни оп.</t>
  </si>
  <si>
    <t>Позиции, неотнасящи се към паричния поток</t>
  </si>
  <si>
    <t>Парични средства от продължаващи операции</t>
  </si>
  <si>
    <t>Нетни парични средства от продължаващи операции</t>
  </si>
  <si>
    <t>Нетни парични средства от прекратени операции</t>
  </si>
  <si>
    <t>Общо нетни парични средства от оперативна дейност</t>
  </si>
  <si>
    <t>Капиталови разходи</t>
  </si>
  <si>
    <t>Нетни средства от изпълнение на продължаващи операции</t>
  </si>
  <si>
    <t>Нетни средства от изпълнение на прекратени операции</t>
  </si>
  <si>
    <t>Общо нетни парични средства от изпълнение на инв. дейност</t>
  </si>
  <si>
    <t>Общо прираст (+), намаление (-) на парични средства и ценните книжа</t>
  </si>
  <si>
    <t>Макрофайлът не е посочен</t>
  </si>
  <si>
    <t xml:space="preserve">      Стандартен ( без увеличение)</t>
  </si>
  <si>
    <t xml:space="preserve">      Ръст на годишната лихва</t>
  </si>
  <si>
    <t>Счетоводен баланс</t>
  </si>
  <si>
    <t>ПАСИВИ</t>
  </si>
  <si>
    <t>Съставни части на приходите:</t>
  </si>
  <si>
    <t>Краткосрочни пасиви</t>
  </si>
  <si>
    <t>СЧЕТОВОДЕН БАЛАНС</t>
  </si>
  <si>
    <t>Пасиви</t>
  </si>
  <si>
    <t>СОБСТВЕН КАПИТАЛ И ПАСИВИ</t>
  </si>
  <si>
    <t>Проверка: Собствен капитал и пасиви - активи</t>
  </si>
  <si>
    <t>Проверка: Собствен капитал и пасиви – активи (на групата)</t>
  </si>
  <si>
    <t>За действие на тази функция е необходим Invest for Excel. Моля, стартирайте Invest for Excel.</t>
  </si>
  <si>
    <t>Модифиц. вътр. норма на възвр., основ. на DCVA (MIRRd)</t>
  </si>
  <si>
    <t>Контролна стойност (+ръст на капитала / -загуба от обесценката)</t>
  </si>
  <si>
    <t>Сума разпределена на:</t>
  </si>
  <si>
    <t>invFileType</t>
  </si>
  <si>
    <t>Language</t>
  </si>
  <si>
    <t>FileVersion</t>
  </si>
  <si>
    <t>InvFileType2</t>
  </si>
  <si>
    <t>TranslateCurrency</t>
  </si>
  <si>
    <t>CurrencyFile</t>
  </si>
  <si>
    <t>Income Statement</t>
  </si>
  <si>
    <t>DuPont Analysis</t>
  </si>
  <si>
    <t>Oper Income</t>
  </si>
  <si>
    <t>Gross Profit</t>
  </si>
  <si>
    <t>¢</t>
  </si>
  <si>
    <t>EBIT</t>
  </si>
  <si>
    <t>Net Profit</t>
  </si>
  <si>
    <t>Return</t>
  </si>
  <si>
    <t>Current</t>
  </si>
  <si>
    <t>Fixed Costs</t>
  </si>
  <si>
    <t>On Assets</t>
  </si>
  <si>
    <t>Previous</t>
  </si>
  <si>
    <t>Interest</t>
  </si>
  <si>
    <t>÷</t>
  </si>
  <si>
    <t>Oper Exp</t>
  </si>
  <si>
    <t>Beg Assets</t>
  </si>
  <si>
    <t>Income Taxes</t>
  </si>
  <si>
    <t>Profit</t>
  </si>
  <si>
    <t>Other</t>
  </si>
  <si>
    <t>Margin</t>
  </si>
  <si>
    <t>Assets</t>
  </si>
  <si>
    <t>Cash</t>
  </si>
  <si>
    <t>On Equity</t>
  </si>
  <si>
    <t>x</t>
  </si>
  <si>
    <t>Acc Rec</t>
  </si>
  <si>
    <t>Fixed Assets</t>
  </si>
  <si>
    <t>Turnover</t>
  </si>
  <si>
    <t>Inventory</t>
  </si>
  <si>
    <t>Tot Assets</t>
  </si>
  <si>
    <t>Cur Assets</t>
  </si>
  <si>
    <t>Working</t>
  </si>
  <si>
    <t>Capital</t>
  </si>
  <si>
    <t>Acc Pay</t>
  </si>
  <si>
    <t>Cur Liab</t>
  </si>
  <si>
    <t>Notes Payable</t>
  </si>
  <si>
    <t>Tot Liab</t>
  </si>
  <si>
    <t>NonCur Liab</t>
  </si>
  <si>
    <t>Leverage</t>
  </si>
  <si>
    <t>Cap Change</t>
  </si>
  <si>
    <t>Beg NW</t>
  </si>
  <si>
    <t>Oper Inc</t>
  </si>
  <si>
    <t>Ending</t>
  </si>
  <si>
    <t>Growth</t>
  </si>
  <si>
    <t>Net Worth</t>
  </si>
  <si>
    <t>Prev Oper Inc</t>
  </si>
  <si>
    <t>Var Costs</t>
  </si>
  <si>
    <t>Offset from zero col:</t>
  </si>
  <si>
    <t>Def. 1</t>
  </si>
  <si>
    <t>DuPontInUse</t>
  </si>
  <si>
    <t>(Кумолативни стойности за финансовата година)</t>
  </si>
  <si>
    <t>Дял на миноритарните акционери</t>
  </si>
  <si>
    <t xml:space="preserve">Ефект на груп. резултат преди отч.дела на минор.акционери  </t>
  </si>
  <si>
    <t>Собствен капитал и задължения на акционерите</t>
  </si>
  <si>
    <t>СОБСТВЕНИ СРЕДСТВА И ЗАДЪЛЖЕНИЯ НА ГРУПАТА</t>
  </si>
  <si>
    <t>Стойност от експлоатацията</t>
  </si>
  <si>
    <t>Текуща стойност на оперативния паричен поток</t>
  </si>
  <si>
    <t>Стойност от експлоатацията (В)</t>
  </si>
  <si>
    <t>Миноритарните акционери</t>
  </si>
  <si>
    <t>3.8.500</t>
  </si>
  <si>
    <t>Euro</t>
  </si>
  <si>
    <t>C1801</t>
  </si>
  <si>
    <t>Financial costs capitalized on debt</t>
  </si>
  <si>
    <t>C1802</t>
  </si>
  <si>
    <t>Financial costs capitalized on debt, acquisition</t>
  </si>
  <si>
    <t>Prepayments of fees (net change)</t>
  </si>
  <si>
    <t>C1842</t>
  </si>
  <si>
    <t>Prepayments of fees (net change), acquisition</t>
  </si>
  <si>
    <t>C1850</t>
  </si>
  <si>
    <t>Financial costs cash flow (not incl. Principal changes)</t>
  </si>
  <si>
    <t>C1852</t>
  </si>
  <si>
    <t>Financial costs cash flow (not incl. Principal changes), acq.</t>
  </si>
  <si>
    <t>010401000</t>
  </si>
  <si>
    <t>010402000</t>
  </si>
  <si>
    <t>010403000</t>
  </si>
  <si>
    <t>010404000</t>
  </si>
  <si>
    <t>010405000</t>
  </si>
  <si>
    <t>010406000</t>
  </si>
  <si>
    <t>010407000</t>
  </si>
  <si>
    <t>010408000</t>
  </si>
  <si>
    <t>010409000</t>
  </si>
  <si>
    <t>020501000</t>
  </si>
  <si>
    <t>020502000</t>
  </si>
  <si>
    <t>020503000</t>
  </si>
  <si>
    <t>020504000</t>
  </si>
  <si>
    <t>020505000</t>
  </si>
  <si>
    <t>020506000</t>
  </si>
  <si>
    <t>020507000</t>
  </si>
  <si>
    <t>020508000</t>
  </si>
  <si>
    <t>020509000</t>
  </si>
  <si>
    <t>030601000</t>
  </si>
  <si>
    <t>030602000</t>
  </si>
  <si>
    <t>030603000</t>
  </si>
  <si>
    <t>030604000</t>
  </si>
  <si>
    <t>030605000</t>
  </si>
  <si>
    <t>030606000</t>
  </si>
  <si>
    <t>030607000</t>
  </si>
  <si>
    <t>030608000</t>
  </si>
  <si>
    <t>030609000</t>
  </si>
  <si>
    <t>040101000</t>
  </si>
  <si>
    <t>040102000</t>
  </si>
  <si>
    <t>040103000</t>
  </si>
  <si>
    <t>040104000</t>
  </si>
  <si>
    <t>040105000</t>
  </si>
  <si>
    <t>040106000</t>
  </si>
  <si>
    <t>040107000</t>
  </si>
  <si>
    <t>040108000</t>
  </si>
  <si>
    <t>040109000</t>
  </si>
  <si>
    <t>060801000</t>
  </si>
  <si>
    <t>060802000</t>
  </si>
  <si>
    <t>060803000</t>
  </si>
  <si>
    <t>060804000</t>
  </si>
  <si>
    <t>060805000</t>
  </si>
  <si>
    <t>060806000</t>
  </si>
  <si>
    <t>060807000</t>
  </si>
  <si>
    <t>060808000</t>
  </si>
  <si>
    <t>060809000</t>
  </si>
  <si>
    <t>070901000</t>
  </si>
  <si>
    <t>070902000</t>
  </si>
  <si>
    <t>070903000</t>
  </si>
  <si>
    <t>070904000</t>
  </si>
  <si>
    <t>070905000</t>
  </si>
  <si>
    <t>070906000</t>
  </si>
  <si>
    <t>070907000</t>
  </si>
  <si>
    <t>070908000</t>
  </si>
  <si>
    <t>070909000</t>
  </si>
  <si>
    <t>081301000</t>
  </si>
  <si>
    <t>081302000</t>
  </si>
  <si>
    <t>081303000</t>
  </si>
  <si>
    <t>081304000</t>
  </si>
  <si>
    <t>081305000</t>
  </si>
  <si>
    <t>081306000</t>
  </si>
  <si>
    <t>081307000</t>
  </si>
  <si>
    <t>081308000</t>
  </si>
  <si>
    <t>081309000</t>
  </si>
  <si>
    <t>090201000</t>
  </si>
  <si>
    <t>090202000</t>
  </si>
  <si>
    <t>090203000</t>
  </si>
  <si>
    <t>090204000</t>
  </si>
  <si>
    <t>090205000</t>
  </si>
  <si>
    <t>090206000</t>
  </si>
  <si>
    <t>090207000</t>
  </si>
  <si>
    <t>090208000</t>
  </si>
  <si>
    <t>090209000</t>
  </si>
  <si>
    <t>101001000</t>
  </si>
  <si>
    <t>101002000</t>
  </si>
  <si>
    <t>101003000</t>
  </si>
  <si>
    <t>101004000</t>
  </si>
  <si>
    <t>101005000</t>
  </si>
  <si>
    <t>101006000</t>
  </si>
  <si>
    <t>101007000</t>
  </si>
  <si>
    <t>101008000</t>
  </si>
  <si>
    <t>101009000</t>
  </si>
  <si>
    <t>111101000</t>
  </si>
  <si>
    <t>111102000</t>
  </si>
  <si>
    <t>111103000</t>
  </si>
  <si>
    <t>111104000</t>
  </si>
  <si>
    <t>111105000</t>
  </si>
  <si>
    <t>111106000</t>
  </si>
  <si>
    <t>111107000</t>
  </si>
  <si>
    <t>111108000</t>
  </si>
  <si>
    <t>111109000</t>
  </si>
  <si>
    <t>121201000</t>
  </si>
  <si>
    <t>121202000</t>
  </si>
  <si>
    <t>121203000</t>
  </si>
  <si>
    <t>121204000</t>
  </si>
  <si>
    <t>121205000</t>
  </si>
  <si>
    <t>121206000</t>
  </si>
  <si>
    <t>121207000</t>
  </si>
  <si>
    <t>121208000</t>
  </si>
  <si>
    <t>121209000</t>
  </si>
  <si>
    <t>130301000</t>
  </si>
  <si>
    <t>130302000</t>
  </si>
  <si>
    <t>130303000</t>
  </si>
  <si>
    <t>130304000</t>
  </si>
  <si>
    <t>130305000</t>
  </si>
  <si>
    <t>130306000</t>
  </si>
  <si>
    <t>130307000</t>
  </si>
  <si>
    <t>130308000</t>
  </si>
  <si>
    <t>130309000</t>
  </si>
  <si>
    <t>140201000</t>
  </si>
  <si>
    <t>140202000</t>
  </si>
  <si>
    <t>140203000</t>
  </si>
  <si>
    <t>140204000</t>
  </si>
  <si>
    <t>140205000</t>
  </si>
  <si>
    <t>140206000</t>
  </si>
  <si>
    <t>140207000</t>
  </si>
  <si>
    <t>140208000</t>
  </si>
  <si>
    <t>140209000</t>
  </si>
  <si>
    <t>150201000</t>
  </si>
  <si>
    <t>150202000</t>
  </si>
  <si>
    <t>150203000</t>
  </si>
  <si>
    <t>150204000</t>
  </si>
  <si>
    <t>150205000</t>
  </si>
  <si>
    <t>150206000</t>
  </si>
  <si>
    <t>150207000</t>
  </si>
  <si>
    <t>150208000</t>
  </si>
  <si>
    <t>150209000</t>
  </si>
  <si>
    <t>160201000</t>
  </si>
  <si>
    <t>160202000</t>
  </si>
  <si>
    <t>160203000</t>
  </si>
  <si>
    <t>160204000</t>
  </si>
  <si>
    <t>160205000</t>
  </si>
  <si>
    <t>160206000</t>
  </si>
  <si>
    <t>160207000</t>
  </si>
  <si>
    <t>160208000</t>
  </si>
  <si>
    <t>160209000</t>
  </si>
  <si>
    <t>170201000</t>
  </si>
  <si>
    <t>170202000</t>
  </si>
  <si>
    <t>170203000</t>
  </si>
  <si>
    <t>170204000</t>
  </si>
  <si>
    <t>170205000</t>
  </si>
  <si>
    <t>170206000</t>
  </si>
  <si>
    <t>170207000</t>
  </si>
  <si>
    <t>170208000</t>
  </si>
  <si>
    <t>170209000</t>
  </si>
  <si>
    <t>180201000</t>
  </si>
  <si>
    <t>180202000</t>
  </si>
  <si>
    <t>180203000</t>
  </si>
  <si>
    <t>180204000</t>
  </si>
  <si>
    <t>180205000</t>
  </si>
  <si>
    <t>180206000</t>
  </si>
  <si>
    <t>180207000</t>
  </si>
  <si>
    <t>180208000</t>
  </si>
  <si>
    <t>180209000</t>
  </si>
  <si>
    <t>190201000</t>
  </si>
  <si>
    <t>190202000</t>
  </si>
  <si>
    <t>190203000</t>
  </si>
  <si>
    <t>190204000</t>
  </si>
  <si>
    <t>190205000</t>
  </si>
  <si>
    <t>190206000</t>
  </si>
  <si>
    <t>190207000</t>
  </si>
  <si>
    <t>190208000</t>
  </si>
  <si>
    <t>190209000</t>
  </si>
  <si>
    <t>200201000</t>
  </si>
  <si>
    <t>200202000</t>
  </si>
  <si>
    <t>200203000</t>
  </si>
  <si>
    <t>200204000</t>
  </si>
  <si>
    <t>200205000</t>
  </si>
  <si>
    <t>200206000</t>
  </si>
  <si>
    <t>200207000</t>
  </si>
  <si>
    <t>200208000</t>
  </si>
  <si>
    <t>200209000</t>
  </si>
  <si>
    <t>210201000</t>
  </si>
  <si>
    <t>210202000</t>
  </si>
  <si>
    <t>210203000</t>
  </si>
  <si>
    <t>210204000</t>
  </si>
  <si>
    <t>210205000</t>
  </si>
  <si>
    <t>210206000</t>
  </si>
  <si>
    <t>210207000</t>
  </si>
  <si>
    <t>210208000</t>
  </si>
  <si>
    <t>210209000</t>
  </si>
  <si>
    <t>220201000</t>
  </si>
  <si>
    <t>220202000</t>
  </si>
  <si>
    <t>220203000</t>
  </si>
  <si>
    <t>220204000</t>
  </si>
  <si>
    <t>220205000</t>
  </si>
  <si>
    <t>220206000</t>
  </si>
  <si>
    <t>220207000</t>
  </si>
  <si>
    <t>220208000</t>
  </si>
  <si>
    <t>220209000</t>
  </si>
  <si>
    <t>230201000</t>
  </si>
  <si>
    <t>230202000</t>
  </si>
  <si>
    <t>230203000</t>
  </si>
  <si>
    <t>230204000</t>
  </si>
  <si>
    <t>230205000</t>
  </si>
  <si>
    <t>230206000</t>
  </si>
  <si>
    <t>230207000</t>
  </si>
  <si>
    <t>230208000</t>
  </si>
  <si>
    <t>230209000</t>
  </si>
  <si>
    <t>240201000</t>
  </si>
  <si>
    <t>240202000</t>
  </si>
  <si>
    <t>240203000</t>
  </si>
  <si>
    <t>240204000</t>
  </si>
  <si>
    <t>240205000</t>
  </si>
  <si>
    <t>240206000</t>
  </si>
  <si>
    <t>240207000</t>
  </si>
  <si>
    <t>240208000</t>
  </si>
  <si>
    <t>240209000</t>
  </si>
  <si>
    <t>250201000</t>
  </si>
  <si>
    <t>250202000</t>
  </si>
  <si>
    <t>250203000</t>
  </si>
  <si>
    <t>250204000</t>
  </si>
  <si>
    <t>250205000</t>
  </si>
  <si>
    <t>250206000</t>
  </si>
  <si>
    <t>250207000</t>
  </si>
  <si>
    <t>250208000</t>
  </si>
  <si>
    <t>250209000</t>
  </si>
  <si>
    <t>260201000</t>
  </si>
  <si>
    <t>260202000</t>
  </si>
  <si>
    <t>260203000</t>
  </si>
  <si>
    <t>260204000</t>
  </si>
  <si>
    <t>260205000</t>
  </si>
  <si>
    <t>260206000</t>
  </si>
  <si>
    <t>260207000</t>
  </si>
  <si>
    <t>260208000</t>
  </si>
  <si>
    <t>260209000</t>
  </si>
  <si>
    <t>270201000</t>
  </si>
  <si>
    <t>270202000</t>
  </si>
  <si>
    <t>270203000</t>
  </si>
  <si>
    <t>270204000</t>
  </si>
  <si>
    <t>270205000</t>
  </si>
  <si>
    <t>270206000</t>
  </si>
  <si>
    <t>270207000</t>
  </si>
  <si>
    <t>270208000</t>
  </si>
  <si>
    <t>270209000</t>
  </si>
  <si>
    <t>280201000</t>
  </si>
  <si>
    <t>280202000</t>
  </si>
  <si>
    <t>280203000</t>
  </si>
  <si>
    <t>280204000</t>
  </si>
  <si>
    <t>280205000</t>
  </si>
  <si>
    <t>280206000</t>
  </si>
  <si>
    <t>280207000</t>
  </si>
  <si>
    <t>280208000</t>
  </si>
  <si>
    <t>280209000</t>
  </si>
  <si>
    <t>290201000</t>
  </si>
  <si>
    <t>290202000</t>
  </si>
  <si>
    <t>290203000</t>
  </si>
  <si>
    <t>290204000</t>
  </si>
  <si>
    <t>290205000</t>
  </si>
  <si>
    <t>290206000</t>
  </si>
  <si>
    <t>290207000</t>
  </si>
  <si>
    <t>290208000</t>
  </si>
  <si>
    <t>290209000</t>
  </si>
  <si>
    <t>300201000</t>
  </si>
  <si>
    <t>300202000</t>
  </si>
  <si>
    <t>300203000</t>
  </si>
  <si>
    <t>300204000</t>
  </si>
  <si>
    <t>300205000</t>
  </si>
  <si>
    <t>300206000</t>
  </si>
  <si>
    <t>300207000</t>
  </si>
  <si>
    <t>300208000</t>
  </si>
  <si>
    <t>300209000</t>
  </si>
  <si>
    <t>C9000S03</t>
  </si>
  <si>
    <t>C9000S02</t>
  </si>
  <si>
    <t>C9000S01</t>
  </si>
  <si>
    <t>C2060S02</t>
  </si>
  <si>
    <t>C:\Users\irinak\Desktop\Investment Project 1.xlsm</t>
  </si>
  <si>
    <t>C:\Users\irinak\Desktop\Investment Project 2.xlsm</t>
  </si>
  <si>
    <t>C:\Users\irinak\Desktop\Investment Project 3.xlsm</t>
  </si>
  <si>
    <t>0809122019</t>
  </si>
  <si>
    <t>9/2019</t>
  </si>
  <si>
    <t>0909122019</t>
  </si>
  <si>
    <t>12/2019</t>
  </si>
  <si>
    <t>1212122019</t>
  </si>
  <si>
    <t>12/2020</t>
  </si>
  <si>
    <t>1212122020</t>
  </si>
  <si>
    <t>12/2021</t>
  </si>
  <si>
    <t>1212122021</t>
  </si>
  <si>
    <t>12/2022</t>
  </si>
  <si>
    <t>1212122022</t>
  </si>
  <si>
    <t>12/2023</t>
  </si>
  <si>
    <t>1212122023</t>
  </si>
  <si>
    <t>12/2024</t>
  </si>
  <si>
    <t>1212122024</t>
  </si>
  <si>
    <t>C2230E</t>
  </si>
  <si>
    <t>C2333E</t>
  </si>
  <si>
    <t>C5612E</t>
  </si>
  <si>
    <t>C5613E</t>
  </si>
  <si>
    <t>C5622E</t>
  </si>
  <si>
    <t>C5623E</t>
  </si>
  <si>
    <t>C5140E</t>
  </si>
  <si>
    <t>C5150E</t>
  </si>
  <si>
    <t>C5120E</t>
  </si>
  <si>
    <t>C5130E</t>
  </si>
  <si>
    <t>C5652E</t>
  </si>
  <si>
    <t>C5653E</t>
  </si>
  <si>
    <t>C5662E</t>
  </si>
  <si>
    <t>C5663E</t>
  </si>
  <si>
    <t>C5672E</t>
  </si>
  <si>
    <t>C5673E</t>
  </si>
  <si>
    <t>C5683E</t>
  </si>
  <si>
    <t>C5684E</t>
  </si>
  <si>
    <t>C5320E</t>
  </si>
  <si>
    <t>C5330E</t>
  </si>
  <si>
    <t>C5692E</t>
  </si>
  <si>
    <t>C5693E</t>
  </si>
  <si>
    <t>C5712E</t>
  </si>
  <si>
    <t>C5713E</t>
  </si>
  <si>
    <t>C5722E</t>
  </si>
  <si>
    <t>C5723E</t>
  </si>
  <si>
    <t>C5520E</t>
  </si>
  <si>
    <t>C5530E</t>
  </si>
  <si>
    <t>C5800E</t>
  </si>
  <si>
    <t>C5950E</t>
  </si>
  <si>
    <t>C5951E</t>
  </si>
  <si>
    <t>C5970E</t>
  </si>
  <si>
    <t>C5971E</t>
  </si>
  <si>
    <t>C6110E</t>
  </si>
  <si>
    <t>C6510E</t>
  </si>
  <si>
    <t>C6515E</t>
  </si>
  <si>
    <t>C6517E</t>
  </si>
  <si>
    <t>C6520E</t>
  </si>
  <si>
    <t>C6900E</t>
  </si>
  <si>
    <t>C6920E</t>
  </si>
  <si>
    <t>C6950E</t>
  </si>
  <si>
    <t>C7110E</t>
  </si>
  <si>
    <t>C7111E</t>
  </si>
  <si>
    <t>C7160E</t>
  </si>
  <si>
    <t>C7170E</t>
  </si>
  <si>
    <t>C7199E</t>
  </si>
  <si>
    <t>C7204E</t>
  </si>
  <si>
    <t>C7206E</t>
  </si>
  <si>
    <t>C7210E</t>
  </si>
  <si>
    <t>C7211E</t>
  </si>
  <si>
    <t>C7215E</t>
  </si>
  <si>
    <t>C7216E</t>
  </si>
  <si>
    <t>C7217E</t>
  </si>
  <si>
    <t>C7220E</t>
  </si>
  <si>
    <t>Investment Project 1</t>
  </si>
  <si>
    <t>H000</t>
  </si>
  <si>
    <t>Machine 1</t>
  </si>
  <si>
    <t>Production hall</t>
  </si>
  <si>
    <t>Maintenance</t>
  </si>
  <si>
    <t>S000</t>
  </si>
  <si>
    <t>Investment Project 2</t>
  </si>
  <si>
    <t>H001</t>
  </si>
  <si>
    <t>Machine 2</t>
  </si>
  <si>
    <t>S001</t>
  </si>
  <si>
    <t>Investment Project 3</t>
  </si>
  <si>
    <t>H002</t>
  </si>
  <si>
    <t>Machine 3</t>
  </si>
  <si>
    <t>S002</t>
  </si>
  <si>
    <t>PrintISR</t>
  </si>
  <si>
    <t>Description</t>
  </si>
  <si>
    <t>Term</t>
  </si>
  <si>
    <t>User</t>
  </si>
  <si>
    <t>Date</t>
  </si>
  <si>
    <t>Investment</t>
  </si>
  <si>
    <t>Discount factor</t>
  </si>
  <si>
    <t>NPV</t>
  </si>
  <si>
    <t>Unit</t>
  </si>
  <si>
    <t>Currency</t>
  </si>
  <si>
    <t>9/2019 -12/2024</t>
  </si>
  <si>
    <t>Datapartner Customer Support</t>
  </si>
  <si>
    <t>1/29/2019 2:14:19 PM</t>
  </si>
  <si>
    <t>1/29/2019 2:14:15 PM</t>
  </si>
  <si>
    <t>1/29/2019 2:14:04 PM</t>
  </si>
  <si>
    <t>DataPartner Support</t>
  </si>
  <si>
    <t>Please contact us in case of any questions:</t>
  </si>
  <si>
    <t>Tel +358 19-54 10 100</t>
  </si>
  <si>
    <t>E-mail: datapartner@datapartner.fi</t>
  </si>
  <si>
    <t>Consolidated file (3 investment projects)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</si>
</sst>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
    <numFmt numFmtId="165" formatCode="0;\-0;&quot;&quot;"/>
    <numFmt numFmtId="166" formatCode="0.0\ %"/>
    <numFmt numFmtId="167" formatCode="0000&quot; -&gt;&quot;"/>
    <numFmt numFmtId="168" formatCode="0000"/>
    <numFmt numFmtId="169" formatCode="0.00&quot;%&quot;"/>
    <numFmt numFmtId="170" formatCode="0.0&quot; %&quot;"/>
    <numFmt numFmtId="171" formatCode="#,##0_ ;[Red]\-#,##0\ "/>
    <numFmt numFmtId="172" formatCode="#,##0;\-#,##0;&quot;&quot;"/>
    <numFmt numFmtId="173" formatCode="0.0%"/>
    <numFmt numFmtId="174" formatCode="#,##0.0"/>
    <numFmt numFmtId="175" formatCode="0.00&quot; %&quot;"/>
    <numFmt numFmtId="176" formatCode="0.0"/>
    <numFmt numFmtId="177" formatCode="\+0.0&quot; %&quot;;\-0.0&quot; %&quot;;0.0&quot; %&quot;"/>
    <numFmt numFmtId="178" formatCode="\+0.00&quot;%&quot;;\-0.00&quot;%&quot;;0.00&quot;%&quot;"/>
    <numFmt numFmtId="179" formatCode="0.000000"/>
    <numFmt numFmtId="180" formatCode="#,##0,,.\1"/>
  </numFmts>
  <fonts count="92" x14ac:knownFonts="1">
    <font>
      <sz val="11"/>
      <color theme="1"/>
      <name val="Calibri"/>
      <family val="2"/>
      <scheme val="minor"/>
    </font>
    <font>
      <sz val="10"/>
      <color indexed="22"/>
      <name val="Arial"/>
      <family val="2"/>
    </font>
    <font>
      <sz val="10"/>
      <color indexed="9"/>
      <name val="Arial"/>
      <family val="2"/>
    </font>
    <font>
      <sz val="10"/>
      <name val="Arial"/>
      <family val="2"/>
    </font>
    <font>
      <b/>
      <sz val="10"/>
      <name val="Arial"/>
      <family val="2"/>
    </font>
    <font>
      <sz val="9"/>
      <color indexed="9"/>
      <name val="Arial"/>
      <family val="2"/>
    </font>
    <font>
      <sz val="10"/>
      <color indexed="8"/>
      <name val="Arial"/>
      <family val="2"/>
    </font>
    <font>
      <sz val="8"/>
      <color indexed="22"/>
      <name val="Arial"/>
      <family val="2"/>
    </font>
    <font>
      <sz val="9"/>
      <name val="Arial"/>
      <family val="2"/>
    </font>
    <font>
      <b/>
      <sz val="8"/>
      <color indexed="22"/>
      <name val="Arial"/>
      <family val="2"/>
    </font>
    <font>
      <sz val="9"/>
      <color indexed="22"/>
      <name val="Arial"/>
      <family val="2"/>
    </font>
    <font>
      <sz val="8"/>
      <name val="Arial"/>
      <family val="2"/>
    </font>
    <font>
      <b/>
      <sz val="8"/>
      <name val="Arial"/>
      <family val="2"/>
    </font>
    <font>
      <sz val="11"/>
      <color theme="0"/>
      <name val="Calibri"/>
      <family val="2"/>
      <scheme val="minor"/>
    </font>
    <font>
      <sz val="11"/>
      <name val="Calibri"/>
      <family val="2"/>
      <scheme val="minor"/>
    </font>
    <font>
      <sz val="8"/>
      <color theme="0"/>
      <name val="Arial"/>
      <family val="2"/>
    </font>
    <font>
      <sz val="11"/>
      <color theme="1"/>
      <name val="Arial"/>
      <family val="2"/>
    </font>
    <font>
      <sz val="8"/>
      <color theme="1"/>
      <name val="Arial"/>
      <family val="2"/>
    </font>
    <font>
      <sz val="10"/>
      <color theme="0"/>
      <name val="Arial"/>
      <family val="2"/>
    </font>
    <font>
      <b/>
      <sz val="10"/>
      <color theme="0"/>
      <name val="Arial"/>
      <family val="2"/>
    </font>
    <font>
      <sz val="8"/>
      <color rgb="FFF9F9F9"/>
      <name val="Arial"/>
      <family val="2"/>
    </font>
    <font>
      <b/>
      <sz val="13"/>
      <color theme="3"/>
      <name val="Calibri"/>
      <family val="2"/>
      <scheme val="minor"/>
    </font>
    <font>
      <b/>
      <sz val="11"/>
      <color theme="3"/>
      <name val="Calibri"/>
      <family val="2"/>
      <scheme val="minor"/>
    </font>
    <font>
      <b/>
      <sz val="10"/>
      <color indexed="9"/>
      <name val="Calibri"/>
      <family val="2"/>
      <scheme val="minor"/>
    </font>
    <font>
      <sz val="10"/>
      <color indexed="9"/>
      <name val="Calibri"/>
      <family val="2"/>
      <scheme val="minor"/>
    </font>
    <font>
      <sz val="10"/>
      <name val="Calibri"/>
      <family val="2"/>
      <scheme val="minor"/>
    </font>
    <font>
      <b/>
      <sz val="10"/>
      <name val="Calibri"/>
      <family val="2"/>
      <scheme val="minor"/>
    </font>
    <font>
      <sz val="9"/>
      <color indexed="9"/>
      <name val="Calibri"/>
      <family val="2"/>
      <scheme val="minor"/>
    </font>
    <font>
      <sz val="10"/>
      <color theme="1"/>
      <name val="Calibri"/>
      <family val="2"/>
      <scheme val="minor"/>
    </font>
    <font>
      <sz val="10"/>
      <color indexed="8"/>
      <name val="Calibri"/>
      <family val="2"/>
      <scheme val="minor"/>
    </font>
    <font>
      <sz val="10"/>
      <color indexed="10"/>
      <name val="Calibri"/>
      <family val="2"/>
      <scheme val="minor"/>
    </font>
    <font>
      <sz val="9"/>
      <name val="Calibri"/>
      <family val="2"/>
      <scheme val="minor"/>
    </font>
    <font>
      <b/>
      <sz val="9"/>
      <color indexed="10"/>
      <name val="Calibri"/>
      <family val="2"/>
      <scheme val="minor"/>
    </font>
    <font>
      <b/>
      <sz val="9"/>
      <name val="Calibri"/>
      <family val="2"/>
      <scheme val="minor"/>
    </font>
    <font>
      <b/>
      <sz val="11"/>
      <color indexed="9"/>
      <name val="Calibri"/>
      <family val="2"/>
      <scheme val="minor"/>
    </font>
    <font>
      <sz val="11"/>
      <color indexed="9"/>
      <name val="Calibri"/>
      <family val="2"/>
      <scheme val="minor"/>
    </font>
    <font>
      <b/>
      <sz val="11"/>
      <name val="Calibri"/>
      <family val="2"/>
      <scheme val="minor"/>
    </font>
    <font>
      <sz val="11"/>
      <color indexed="8"/>
      <name val="Calibri"/>
      <family val="2"/>
      <scheme val="minor"/>
    </font>
    <font>
      <sz val="11"/>
      <color indexed="10"/>
      <name val="Calibri"/>
      <family val="2"/>
      <scheme val="minor"/>
    </font>
    <font>
      <sz val="12"/>
      <name val="Calibri"/>
      <family val="2"/>
      <scheme val="minor"/>
    </font>
    <font>
      <sz val="12"/>
      <color theme="1"/>
      <name val="Calibri"/>
      <family val="2"/>
      <scheme val="minor"/>
    </font>
    <font>
      <sz val="9"/>
      <color theme="1"/>
      <name val="Calibri"/>
      <family val="2"/>
      <scheme val="minor"/>
    </font>
    <font>
      <b/>
      <sz val="9"/>
      <color indexed="9"/>
      <name val="Calibri"/>
      <family val="2"/>
      <scheme val="minor"/>
    </font>
    <font>
      <sz val="9"/>
      <color rgb="FFF9F9F9"/>
      <name val="Calibri"/>
      <family val="2"/>
      <scheme val="minor"/>
    </font>
    <font>
      <sz val="9"/>
      <color indexed="10"/>
      <name val="Calibri"/>
      <family val="2"/>
      <scheme val="minor"/>
    </font>
    <font>
      <sz val="9"/>
      <color indexed="22"/>
      <name val="Calibri"/>
      <family val="2"/>
      <scheme val="minor"/>
    </font>
    <font>
      <b/>
      <sz val="9"/>
      <color indexed="58"/>
      <name val="Calibri"/>
      <family val="2"/>
      <scheme val="minor"/>
    </font>
    <font>
      <sz val="9"/>
      <color indexed="58"/>
      <name val="Calibri"/>
      <family val="2"/>
      <scheme val="minor"/>
    </font>
    <font>
      <u/>
      <sz val="9"/>
      <color indexed="58"/>
      <name val="Calibri"/>
      <family val="2"/>
      <scheme val="minor"/>
    </font>
    <font>
      <u/>
      <sz val="9"/>
      <name val="Calibri"/>
      <family val="2"/>
      <scheme val="minor"/>
    </font>
    <font>
      <sz val="9"/>
      <color indexed="63"/>
      <name val="Calibri"/>
      <family val="2"/>
      <scheme val="minor"/>
    </font>
    <font>
      <sz val="11"/>
      <color indexed="63"/>
      <name val="Calibri"/>
      <family val="2"/>
      <scheme val="minor"/>
    </font>
    <font>
      <b/>
      <sz val="9"/>
      <color indexed="63"/>
      <name val="Calibri"/>
      <family val="2"/>
      <scheme val="minor"/>
    </font>
    <font>
      <sz val="9"/>
      <color theme="0"/>
      <name val="Calibri"/>
      <family val="2"/>
      <scheme val="minor"/>
    </font>
    <font>
      <b/>
      <sz val="9"/>
      <color theme="0"/>
      <name val="Calibri"/>
      <family val="2"/>
      <scheme val="minor"/>
    </font>
    <font>
      <sz val="10"/>
      <color indexed="22"/>
      <name val="Calibri"/>
      <family val="2"/>
      <scheme val="minor"/>
    </font>
    <font>
      <b/>
      <sz val="9"/>
      <color indexed="22"/>
      <name val="Calibri"/>
      <family val="2"/>
      <scheme val="minor"/>
    </font>
    <font>
      <sz val="11"/>
      <color indexed="22"/>
      <name val="Calibri"/>
      <family val="2"/>
      <scheme val="minor"/>
    </font>
    <font>
      <u/>
      <sz val="10"/>
      <name val="Calibri"/>
      <family val="2"/>
      <scheme val="minor"/>
    </font>
    <font>
      <sz val="10"/>
      <color indexed="52"/>
      <name val="Calibri"/>
      <family val="2"/>
      <scheme val="minor"/>
    </font>
    <font>
      <b/>
      <sz val="10"/>
      <color theme="0"/>
      <name val="Calibri"/>
      <family val="2"/>
      <scheme val="minor"/>
    </font>
    <font>
      <sz val="12"/>
      <color theme="0"/>
      <name val="Calibri"/>
      <family val="2"/>
      <scheme val="minor"/>
    </font>
    <font>
      <sz val="10"/>
      <color theme="0"/>
      <name val="Calibri"/>
      <family val="2"/>
      <scheme val="minor"/>
    </font>
    <font>
      <sz val="9"/>
      <color theme="3"/>
      <name val="Calibri"/>
      <family val="2"/>
      <scheme val="minor"/>
    </font>
    <font>
      <sz val="9"/>
      <color indexed="56"/>
      <name val="Calibri"/>
      <family val="2"/>
      <scheme val="minor"/>
    </font>
    <font>
      <b/>
      <sz val="11"/>
      <color indexed="16"/>
      <name val="Calibri"/>
      <family val="2"/>
      <scheme val="minor"/>
    </font>
    <font>
      <i/>
      <sz val="10"/>
      <name val="Calibri"/>
      <family val="2"/>
      <scheme val="minor"/>
    </font>
    <font>
      <b/>
      <u/>
      <sz val="11"/>
      <name val="Calibri"/>
      <family val="2"/>
      <scheme val="minor"/>
    </font>
    <font>
      <sz val="10"/>
      <color theme="1"/>
      <name val="Arial"/>
      <family val="2"/>
    </font>
    <font>
      <sz val="11"/>
      <color rgb="FFF4F7F7"/>
      <name val="Calibri"/>
      <family val="2"/>
      <scheme val="minor"/>
    </font>
    <font>
      <sz val="10"/>
      <color rgb="FFF4F7F7"/>
      <name val="Arial"/>
      <family val="2"/>
    </font>
    <font>
      <sz val="11"/>
      <color rgb="FFF4F7FA"/>
      <name val="Calibri"/>
      <family val="2"/>
      <scheme val="minor"/>
    </font>
    <font>
      <sz val="10"/>
      <color rgb="FFF4F7FA"/>
      <name val="Arial"/>
      <family val="2"/>
    </font>
    <font>
      <b/>
      <sz val="11"/>
      <color theme="1"/>
      <name val="Calibri"/>
      <family val="2"/>
      <scheme val="minor"/>
    </font>
    <font>
      <sz val="10"/>
      <color theme="3"/>
      <name val="Calibri"/>
      <family val="2"/>
      <scheme val="minor"/>
    </font>
    <font>
      <sz val="9"/>
      <color rgb="FFFBFBFB"/>
      <name val="Calibri"/>
      <family val="2"/>
      <scheme val="minor"/>
    </font>
    <font>
      <b/>
      <sz val="9"/>
      <color rgb="FFFBFBFB"/>
      <name val="Calibri"/>
      <family val="2"/>
      <scheme val="minor"/>
    </font>
    <font>
      <sz val="11"/>
      <color rgb="FFFBFBFB"/>
      <name val="Calibri"/>
      <family val="2"/>
      <scheme val="minor"/>
    </font>
    <font>
      <b/>
      <sz val="11"/>
      <color theme="0"/>
      <name val="Calibri"/>
      <family val="2"/>
      <scheme val="minor"/>
    </font>
    <font>
      <sz val="11"/>
      <color theme="1"/>
      <name val="Calibri"/>
      <family val="2"/>
      <scheme val="minor"/>
    </font>
    <font>
      <b/>
      <sz val="14"/>
      <color theme="1"/>
      <name val="Calibri"/>
      <family val="2"/>
      <scheme val="minor"/>
    </font>
    <font>
      <b/>
      <sz val="14"/>
      <color theme="4" tint="-0.249977111117893"/>
      <name val="Calibri"/>
      <family val="2"/>
      <scheme val="minor"/>
    </font>
    <font>
      <b/>
      <sz val="12"/>
      <color theme="4" tint="-0.249977111117893"/>
      <name val="Calibri"/>
      <family val="2"/>
      <scheme val="minor"/>
    </font>
    <font>
      <b/>
      <sz val="12"/>
      <name val="Calibri"/>
      <family val="2"/>
      <scheme val="minor"/>
    </font>
    <font>
      <b/>
      <i/>
      <sz val="10"/>
      <name val="Calibri"/>
      <family val="2"/>
      <scheme val="minor"/>
    </font>
    <font>
      <sz val="10"/>
      <name val="Wingdings 3"/>
      <family val="1"/>
      <charset val="2"/>
    </font>
    <font>
      <sz val="8"/>
      <color theme="1"/>
      <name val="Calibri"/>
      <family val="2"/>
      <scheme val="minor"/>
    </font>
    <font>
      <sz val="8"/>
      <color indexed="9"/>
      <name val="Calibri"/>
      <family val="2"/>
      <scheme val="minor"/>
    </font>
    <font>
      <b/>
      <sz val="8"/>
      <color theme="1"/>
      <name val="Calibri"/>
      <family val="2"/>
      <scheme val="minor"/>
    </font>
    <font>
      <u/>
      <sz val="11"/>
      <color theme="10"/>
      <name val="Calibri"/>
      <family val="2"/>
      <scheme val="minor"/>
    </font>
    <font>
      <u/>
      <sz val="8"/>
      <color theme="10"/>
      <name val="Calibri"/>
      <family val="2"/>
      <scheme val="minor"/>
    </font>
    <font>
      <sz val="8"/>
      <color rgb="FF000000"/>
      <name val="Tahoma"/>
      <family val="2"/>
    </font>
  </fonts>
  <fills count="38">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7"/>
        <bgColor indexed="64"/>
      </patternFill>
    </fill>
    <fill>
      <patternFill patternType="solid">
        <fgColor indexed="48"/>
        <bgColor indexed="64"/>
      </patternFill>
    </fill>
    <fill>
      <patternFill patternType="solid">
        <fgColor indexed="15"/>
        <bgColor indexed="64"/>
      </patternFill>
    </fill>
    <fill>
      <patternFill patternType="solid">
        <fgColor indexed="43"/>
        <bgColor indexed="64"/>
      </patternFill>
    </fill>
    <fill>
      <patternFill patternType="solid">
        <fgColor indexed="52"/>
        <bgColor indexed="64"/>
      </patternFill>
    </fill>
    <fill>
      <patternFill patternType="solid">
        <fgColor indexed="11"/>
        <bgColor indexed="64"/>
      </patternFill>
    </fill>
    <fill>
      <patternFill patternType="solid">
        <fgColor theme="4"/>
        <bgColor indexed="64"/>
      </patternFill>
    </fill>
    <fill>
      <patternFill patternType="solid">
        <fgColor rgb="FFFFC000"/>
        <bgColor indexed="64"/>
      </patternFill>
    </fill>
    <fill>
      <patternFill patternType="solid">
        <fgColor rgb="FF0070C0"/>
        <bgColor indexed="64"/>
      </patternFill>
    </fill>
    <fill>
      <patternFill patternType="solid">
        <fgColor theme="3"/>
        <bgColor indexed="64"/>
      </patternFill>
    </fill>
    <fill>
      <patternFill patternType="solid">
        <fgColor rgb="FF92D050"/>
        <bgColor indexed="64"/>
      </patternFill>
    </fill>
    <fill>
      <patternFill patternType="solid">
        <fgColor rgb="FF0070C0"/>
        <bgColor indexed="9"/>
      </patternFill>
    </fill>
    <fill>
      <patternFill patternType="solid">
        <fgColor rgb="FFFF0000"/>
        <bgColor indexed="64"/>
      </patternFill>
    </fill>
    <fill>
      <patternFill patternType="solid">
        <fgColor theme="0"/>
        <bgColor indexed="64"/>
      </patternFill>
    </fill>
    <fill>
      <patternFill patternType="solid">
        <fgColor theme="4" tint="0.79998168889431442"/>
        <bgColor indexed="64"/>
      </patternFill>
    </fill>
    <fill>
      <patternFill patternType="solid">
        <fgColor rgb="FFFFFF00"/>
        <bgColor indexed="64"/>
      </patternFill>
    </fill>
    <fill>
      <patternFill patternType="solid">
        <fgColor rgb="FF00B0F0"/>
        <bgColor indexed="64"/>
      </patternFill>
    </fill>
    <fill>
      <patternFill patternType="solid">
        <fgColor rgb="FF00B050"/>
        <bgColor indexed="64"/>
      </patternFill>
    </fill>
    <fill>
      <patternFill patternType="solid">
        <fgColor theme="0" tint="-4.9989318521683403E-2"/>
        <bgColor indexed="9"/>
      </patternFill>
    </fill>
    <fill>
      <patternFill patternType="solid">
        <fgColor rgb="FFF9F9F9"/>
        <bgColor indexed="64"/>
      </patternFill>
    </fill>
    <fill>
      <patternFill patternType="solid">
        <fgColor rgb="FF7030A0"/>
        <bgColor indexed="64"/>
      </patternFill>
    </fill>
    <fill>
      <patternFill patternType="solid">
        <fgColor rgb="FF4F81BD"/>
        <bgColor indexed="64"/>
      </patternFill>
    </fill>
    <fill>
      <patternFill patternType="solid">
        <fgColor rgb="FFC0504D"/>
        <bgColor indexed="64"/>
      </patternFill>
    </fill>
    <fill>
      <patternFill patternType="solid">
        <fgColor rgb="FF9BBB59"/>
        <bgColor indexed="64"/>
      </patternFill>
    </fill>
    <fill>
      <patternFill patternType="solid">
        <fgColor rgb="FF8064A2"/>
        <bgColor indexed="64"/>
      </patternFill>
    </fill>
    <fill>
      <patternFill patternType="solid">
        <fgColor rgb="FF4BACC6"/>
        <bgColor indexed="64"/>
      </patternFill>
    </fill>
    <fill>
      <patternFill patternType="solid">
        <fgColor theme="9" tint="-0.249977111117893"/>
        <bgColor indexed="64"/>
      </patternFill>
    </fill>
    <fill>
      <patternFill patternType="solid">
        <fgColor theme="9"/>
        <bgColor indexed="64"/>
      </patternFill>
    </fill>
    <fill>
      <patternFill patternType="solid">
        <fgColor theme="3" tint="0.79998168889431442"/>
        <bgColor indexed="64"/>
      </patternFill>
    </fill>
    <fill>
      <patternFill patternType="solid">
        <fgColor theme="3" tint="0.39997558519241921"/>
        <bgColor indexed="64"/>
      </patternFill>
    </fill>
    <fill>
      <patternFill patternType="solid">
        <fgColor theme="3" tint="0.59999389629810485"/>
        <bgColor indexed="64"/>
      </patternFill>
    </fill>
    <fill>
      <patternFill patternType="solid">
        <fgColor rgb="FFFDFDFD"/>
        <bgColor indexed="64"/>
      </patternFill>
    </fill>
    <fill>
      <patternFill patternType="solid">
        <fgColor indexed="9"/>
        <bgColor indexed="9"/>
      </patternFill>
    </fill>
    <fill>
      <patternFill patternType="solid">
        <fgColor indexed="52"/>
        <bgColor indexed="9"/>
      </patternFill>
    </fill>
  </fills>
  <borders count="122">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3"/>
      </left>
      <right/>
      <top/>
      <bottom/>
      <diagonal/>
    </border>
    <border>
      <left style="thin">
        <color indexed="23"/>
      </left>
      <right style="thin">
        <color indexed="23"/>
      </right>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55"/>
      </left>
      <right/>
      <top style="thin">
        <color indexed="64"/>
      </top>
      <bottom/>
      <diagonal/>
    </border>
    <border>
      <left style="thin">
        <color indexed="55"/>
      </left>
      <right/>
      <top/>
      <bottom/>
      <diagonal/>
    </border>
    <border>
      <left style="thin">
        <color indexed="55"/>
      </left>
      <right/>
      <top style="thin">
        <color indexed="55"/>
      </top>
      <bottom/>
      <diagonal/>
    </border>
    <border>
      <left/>
      <right style="thin">
        <color indexed="64"/>
      </right>
      <top style="thin">
        <color indexed="55"/>
      </top>
      <bottom/>
      <diagonal/>
    </border>
    <border>
      <left/>
      <right/>
      <top style="thin">
        <color indexed="55"/>
      </top>
      <bottom/>
      <diagonal/>
    </border>
    <border>
      <left style="thin">
        <color indexed="55"/>
      </left>
      <right/>
      <top/>
      <bottom style="thin">
        <color indexed="55"/>
      </bottom>
      <diagonal/>
    </border>
    <border>
      <left/>
      <right style="thin">
        <color indexed="64"/>
      </right>
      <top/>
      <bottom style="thin">
        <color indexed="55"/>
      </bottom>
      <diagonal/>
    </border>
    <border>
      <left/>
      <right/>
      <top/>
      <bottom style="thin">
        <color indexed="55"/>
      </bottom>
      <diagonal/>
    </border>
    <border>
      <left/>
      <right/>
      <top/>
      <bottom style="thin">
        <color indexed="22"/>
      </bottom>
      <diagonal/>
    </border>
    <border>
      <left/>
      <right style="thin">
        <color indexed="64"/>
      </right>
      <top/>
      <bottom style="thin">
        <color indexed="22"/>
      </bottom>
      <diagonal/>
    </border>
    <border>
      <left style="thin">
        <color indexed="64"/>
      </left>
      <right/>
      <top/>
      <bottom style="thin">
        <color indexed="55"/>
      </bottom>
      <diagonal/>
    </border>
    <border>
      <left/>
      <right/>
      <top/>
      <bottom style="thin">
        <color indexed="23"/>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thin">
        <color indexed="55"/>
      </bottom>
      <diagonal/>
    </border>
    <border>
      <left/>
      <right/>
      <top style="thin">
        <color indexed="64"/>
      </top>
      <bottom style="thin">
        <color indexed="55"/>
      </bottom>
      <diagonal/>
    </border>
    <border>
      <left/>
      <right style="thin">
        <color indexed="64"/>
      </right>
      <top style="thin">
        <color indexed="64"/>
      </top>
      <bottom style="thin">
        <color indexed="55"/>
      </bottom>
      <diagonal/>
    </border>
    <border>
      <left/>
      <right/>
      <top style="thin">
        <color indexed="55"/>
      </top>
      <bottom style="thin">
        <color indexed="55"/>
      </bottom>
      <diagonal/>
    </border>
    <border>
      <left style="thin">
        <color indexed="64"/>
      </left>
      <right/>
      <top style="thin">
        <color indexed="55"/>
      </top>
      <bottom style="thin">
        <color indexed="55"/>
      </bottom>
      <diagonal/>
    </border>
    <border>
      <left/>
      <right style="thin">
        <color indexed="64"/>
      </right>
      <top style="thin">
        <color indexed="55"/>
      </top>
      <bottom style="thin">
        <color indexed="55"/>
      </bottom>
      <diagonal/>
    </border>
    <border>
      <left style="thin">
        <color indexed="54"/>
      </left>
      <right style="thin">
        <color indexed="54"/>
      </right>
      <top style="thin">
        <color indexed="54"/>
      </top>
      <bottom style="thin">
        <color indexed="54"/>
      </bottom>
      <diagonal/>
    </border>
    <border>
      <left style="thin">
        <color indexed="55"/>
      </left>
      <right style="thin">
        <color indexed="64"/>
      </right>
      <top style="thin">
        <color indexed="64"/>
      </top>
      <bottom style="thin">
        <color indexed="55"/>
      </bottom>
      <diagonal/>
    </border>
    <border>
      <left style="thin">
        <color indexed="55"/>
      </left>
      <right style="thin">
        <color indexed="64"/>
      </right>
      <top style="thin">
        <color indexed="55"/>
      </top>
      <bottom style="thin">
        <color indexed="55"/>
      </bottom>
      <diagonal/>
    </border>
    <border>
      <left style="thin">
        <color indexed="55"/>
      </left>
      <right style="thin">
        <color indexed="64"/>
      </right>
      <top/>
      <bottom style="thin">
        <color indexed="64"/>
      </bottom>
      <diagonal/>
    </border>
    <border>
      <left style="thin">
        <color indexed="63"/>
      </left>
      <right/>
      <top style="thin">
        <color indexed="63"/>
      </top>
      <bottom style="thin">
        <color indexed="63"/>
      </bottom>
      <diagonal/>
    </border>
    <border>
      <left/>
      <right/>
      <top style="thin">
        <color indexed="63"/>
      </top>
      <bottom style="thin">
        <color indexed="63"/>
      </bottom>
      <diagonal/>
    </border>
    <border>
      <left/>
      <right style="thin">
        <color indexed="63"/>
      </right>
      <top style="thin">
        <color indexed="63"/>
      </top>
      <bottom style="thin">
        <color indexed="63"/>
      </bottom>
      <diagonal/>
    </border>
    <border>
      <left style="thin">
        <color indexed="63"/>
      </left>
      <right/>
      <top style="thin">
        <color indexed="63"/>
      </top>
      <bottom/>
      <diagonal/>
    </border>
    <border>
      <left/>
      <right style="thin">
        <color indexed="63"/>
      </right>
      <top style="thin">
        <color indexed="63"/>
      </top>
      <bottom/>
      <diagonal/>
    </border>
    <border>
      <left style="thin">
        <color indexed="63"/>
      </left>
      <right/>
      <top/>
      <bottom/>
      <diagonal/>
    </border>
    <border>
      <left style="thin">
        <color indexed="54"/>
      </left>
      <right/>
      <top style="thin">
        <color indexed="54"/>
      </top>
      <bottom/>
      <diagonal/>
    </border>
    <border>
      <left/>
      <right style="thin">
        <color indexed="54"/>
      </right>
      <top style="thin">
        <color indexed="54"/>
      </top>
      <bottom/>
      <diagonal/>
    </border>
    <border>
      <left/>
      <right/>
      <top style="thin">
        <color indexed="54"/>
      </top>
      <bottom/>
      <diagonal/>
    </border>
    <border>
      <left/>
      <right style="thin">
        <color indexed="63"/>
      </right>
      <top/>
      <bottom/>
      <diagonal/>
    </border>
    <border>
      <left style="thin">
        <color indexed="54"/>
      </left>
      <right/>
      <top/>
      <bottom style="thin">
        <color indexed="54"/>
      </bottom>
      <diagonal/>
    </border>
    <border>
      <left/>
      <right style="thin">
        <color indexed="54"/>
      </right>
      <top/>
      <bottom style="thin">
        <color indexed="54"/>
      </bottom>
      <diagonal/>
    </border>
    <border>
      <left/>
      <right/>
      <top/>
      <bottom style="thin">
        <color indexed="54"/>
      </bottom>
      <diagonal/>
    </border>
    <border>
      <left style="thin">
        <color indexed="54"/>
      </left>
      <right/>
      <top/>
      <bottom/>
      <diagonal/>
    </border>
    <border>
      <left/>
      <right style="thin">
        <color indexed="54"/>
      </right>
      <top/>
      <bottom/>
      <diagonal/>
    </border>
    <border>
      <left style="thin">
        <color indexed="54"/>
      </left>
      <right/>
      <top style="thin">
        <color indexed="54"/>
      </top>
      <bottom style="thin">
        <color indexed="54"/>
      </bottom>
      <diagonal/>
    </border>
    <border>
      <left/>
      <right/>
      <top style="thin">
        <color indexed="54"/>
      </top>
      <bottom style="thin">
        <color indexed="54"/>
      </bottom>
      <diagonal/>
    </border>
    <border>
      <left/>
      <right style="thin">
        <color indexed="54"/>
      </right>
      <top style="thin">
        <color indexed="54"/>
      </top>
      <bottom style="thin">
        <color indexed="54"/>
      </bottom>
      <diagonal/>
    </border>
    <border>
      <left style="thin">
        <color indexed="63"/>
      </left>
      <right/>
      <top/>
      <bottom style="thin">
        <color indexed="63"/>
      </bottom>
      <diagonal/>
    </border>
    <border>
      <left/>
      <right/>
      <top/>
      <bottom style="thin">
        <color indexed="63"/>
      </bottom>
      <diagonal/>
    </border>
    <border>
      <left/>
      <right style="thin">
        <color indexed="63"/>
      </right>
      <top/>
      <bottom style="thin">
        <color indexed="63"/>
      </bottom>
      <diagonal/>
    </border>
    <border>
      <left style="thin">
        <color indexed="63"/>
      </left>
      <right/>
      <top style="thin">
        <color indexed="64"/>
      </top>
      <bottom/>
      <diagonal/>
    </border>
    <border>
      <left/>
      <right style="thin">
        <color indexed="63"/>
      </right>
      <top style="thin">
        <color indexed="64"/>
      </top>
      <bottom/>
      <diagonal/>
    </border>
    <border>
      <left/>
      <right/>
      <top style="thin">
        <color indexed="64"/>
      </top>
      <bottom style="double">
        <color indexed="64"/>
      </bottom>
      <diagonal/>
    </border>
    <border>
      <left style="thin">
        <color indexed="55"/>
      </left>
      <right style="thin">
        <color indexed="55"/>
      </right>
      <top/>
      <bottom/>
      <diagonal/>
    </border>
    <border>
      <left style="thin">
        <color indexed="55"/>
      </left>
      <right style="thin">
        <color indexed="55"/>
      </right>
      <top/>
      <bottom style="thin">
        <color indexed="55"/>
      </bottom>
      <diagonal/>
    </border>
    <border>
      <left style="thin">
        <color indexed="55"/>
      </left>
      <right style="thin">
        <color indexed="55"/>
      </right>
      <top style="thin">
        <color indexed="55"/>
      </top>
      <bottom style="thin">
        <color indexed="55"/>
      </bottom>
      <diagonal/>
    </border>
    <border>
      <left style="thin">
        <color indexed="16"/>
      </left>
      <right style="thin">
        <color indexed="16"/>
      </right>
      <top style="thin">
        <color indexed="16"/>
      </top>
      <bottom/>
      <diagonal/>
    </border>
    <border>
      <left style="thin">
        <color indexed="16"/>
      </left>
      <right style="thin">
        <color indexed="16"/>
      </right>
      <top/>
      <bottom/>
      <diagonal/>
    </border>
    <border>
      <left style="thin">
        <color indexed="16"/>
      </left>
      <right style="thin">
        <color indexed="16"/>
      </right>
      <top/>
      <bottom style="thin">
        <color indexed="16"/>
      </bottom>
      <diagonal/>
    </border>
    <border>
      <left style="medium">
        <color indexed="64"/>
      </left>
      <right style="medium">
        <color indexed="64"/>
      </right>
      <top style="medium">
        <color indexed="64"/>
      </top>
      <bottom/>
      <diagonal/>
    </border>
    <border>
      <left style="thin">
        <color indexed="12"/>
      </left>
      <right style="thin">
        <color indexed="12"/>
      </right>
      <top style="thin">
        <color indexed="12"/>
      </top>
      <bottom style="thin">
        <color indexed="12"/>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thin">
        <color indexed="12"/>
      </left>
      <right/>
      <top style="thin">
        <color indexed="12"/>
      </top>
      <bottom style="thin">
        <color indexed="12"/>
      </bottom>
      <diagonal/>
    </border>
    <border>
      <left/>
      <right style="thin">
        <color indexed="12"/>
      </right>
      <top style="thin">
        <color indexed="12"/>
      </top>
      <bottom style="thin">
        <color indexed="12"/>
      </bottom>
      <diagonal/>
    </border>
    <border>
      <left/>
      <right/>
      <top style="thin">
        <color indexed="12"/>
      </top>
      <bottom/>
      <diagonal/>
    </border>
    <border>
      <left/>
      <right style="thin">
        <color indexed="12"/>
      </right>
      <top style="thin">
        <color indexed="12"/>
      </top>
      <bottom/>
      <diagonal/>
    </border>
    <border>
      <left style="medium">
        <color indexed="64"/>
      </left>
      <right style="medium">
        <color indexed="64"/>
      </right>
      <top/>
      <bottom style="medium">
        <color indexed="64"/>
      </bottom>
      <diagonal/>
    </border>
    <border>
      <left style="thin">
        <color indexed="12"/>
      </left>
      <right/>
      <top/>
      <bottom style="thin">
        <color indexed="12"/>
      </bottom>
      <diagonal/>
    </border>
    <border>
      <left/>
      <right style="thin">
        <color indexed="12"/>
      </right>
      <top/>
      <bottom style="thin">
        <color indexed="12"/>
      </bottom>
      <diagonal/>
    </border>
    <border>
      <left style="thin">
        <color indexed="64"/>
      </left>
      <right/>
      <top style="thin">
        <color indexed="12"/>
      </top>
      <bottom style="thin">
        <color indexed="12"/>
      </bottom>
      <diagonal/>
    </border>
    <border>
      <left style="medium">
        <color indexed="64"/>
      </left>
      <right/>
      <top/>
      <bottom style="medium">
        <color indexed="64"/>
      </bottom>
      <diagonal/>
    </border>
    <border>
      <left/>
      <right/>
      <top style="thin">
        <color auto="1"/>
      </top>
      <bottom/>
      <diagonal/>
    </border>
    <border>
      <left style="thin">
        <color indexed="64"/>
      </left>
      <right style="thin">
        <color indexed="64"/>
      </right>
      <top style="thin">
        <color auto="1"/>
      </top>
      <bottom/>
      <diagonal/>
    </border>
    <border>
      <left style="medium">
        <color indexed="64"/>
      </left>
      <right style="thin">
        <color indexed="64"/>
      </right>
      <top/>
      <bottom/>
      <diagonal/>
    </border>
    <border>
      <left style="thin">
        <color theme="0" tint="-0.499984740745262"/>
      </left>
      <right style="thin">
        <color theme="0" tint="-0.499984740745262"/>
      </right>
      <top style="thin">
        <color indexed="64"/>
      </top>
      <bottom style="thin">
        <color indexed="64"/>
      </bottom>
      <diagonal/>
    </border>
    <border>
      <left style="thin">
        <color theme="0" tint="-0.499984740745262"/>
      </left>
      <right style="thin">
        <color theme="0" tint="-0.499984740745262"/>
      </right>
      <top style="thin">
        <color indexed="64"/>
      </top>
      <bottom/>
      <diagonal/>
    </border>
    <border>
      <left style="thin">
        <color theme="0" tint="-0.499984740745262"/>
      </left>
      <right style="thin">
        <color theme="0" tint="-0.499984740745262"/>
      </right>
      <top/>
      <bottom style="thin">
        <color indexed="64"/>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style="thin">
        <color indexed="55"/>
      </top>
      <bottom/>
      <diagonal/>
    </border>
    <border>
      <left style="thin">
        <color theme="0" tint="-0.499984740745262"/>
      </left>
      <right style="thin">
        <color theme="0" tint="-0.499984740745262"/>
      </right>
      <top/>
      <bottom style="thin">
        <color indexed="55"/>
      </bottom>
      <diagonal/>
    </border>
    <border>
      <left style="thin">
        <color theme="0" tint="-0.499984740745262"/>
      </left>
      <right style="thin">
        <color theme="0" tint="-0.499984740745262"/>
      </right>
      <top/>
      <bottom style="thin">
        <color indexed="22"/>
      </bottom>
      <diagonal/>
    </border>
    <border>
      <left style="thin">
        <color theme="0" tint="-0.499984740745262"/>
      </left>
      <right style="thin">
        <color theme="0" tint="-0.499984740745262"/>
      </right>
      <top/>
      <bottom style="thin">
        <color indexed="23"/>
      </bottom>
      <diagonal/>
    </border>
    <border>
      <left style="thin">
        <color theme="0" tint="-0.499984740745262"/>
      </left>
      <right style="thin">
        <color theme="0" tint="-0.499984740745262"/>
      </right>
      <top style="medium">
        <color indexed="64"/>
      </top>
      <bottom style="medium">
        <color indexed="64"/>
      </bottom>
      <diagonal/>
    </border>
    <border>
      <left style="thin">
        <color theme="0" tint="-0.499984740745262"/>
      </left>
      <right style="thin">
        <color theme="0" tint="-0.499984740745262"/>
      </right>
      <top style="thin">
        <color indexed="64"/>
      </top>
      <bottom style="thin">
        <color indexed="55"/>
      </bottom>
      <diagonal/>
    </border>
    <border>
      <left style="thin">
        <color theme="0" tint="-0.499984740745262"/>
      </left>
      <right style="thin">
        <color theme="0" tint="-0.499984740745262"/>
      </right>
      <top style="thin">
        <color indexed="55"/>
      </top>
      <bottom style="thin">
        <color indexed="55"/>
      </bottom>
      <diagonal/>
    </border>
    <border>
      <left/>
      <right style="thin">
        <color theme="0" tint="-0.499984740745262"/>
      </right>
      <top style="thin">
        <color indexed="64"/>
      </top>
      <bottom style="thin">
        <color indexed="64"/>
      </bottom>
      <diagonal/>
    </border>
    <border>
      <left/>
      <right style="thin">
        <color theme="0" tint="-0.499984740745262"/>
      </right>
      <top style="thin">
        <color indexed="64"/>
      </top>
      <bottom style="thin">
        <color indexed="55"/>
      </bottom>
      <diagonal/>
    </border>
    <border>
      <left/>
      <right style="thin">
        <color theme="0" tint="-0.499984740745262"/>
      </right>
      <top style="thin">
        <color indexed="55"/>
      </top>
      <bottom style="thin">
        <color indexed="55"/>
      </bottom>
      <diagonal/>
    </border>
    <border>
      <left/>
      <right style="thin">
        <color theme="0" tint="-0.499984740745262"/>
      </right>
      <top/>
      <bottom style="thin">
        <color indexed="55"/>
      </bottom>
      <diagonal/>
    </border>
    <border>
      <left/>
      <right style="thin">
        <color theme="0" tint="-0.499984740745262"/>
      </right>
      <top/>
      <bottom style="thin">
        <color indexed="64"/>
      </bottom>
      <diagonal/>
    </border>
    <border>
      <left/>
      <right style="thin">
        <color theme="0" tint="-0.499984740745262"/>
      </right>
      <top style="thin">
        <color indexed="64"/>
      </top>
      <bottom/>
      <diagonal/>
    </border>
    <border>
      <left/>
      <right style="thin">
        <color theme="0" tint="-0.499984740745262"/>
      </right>
      <top/>
      <bottom/>
      <diagonal/>
    </border>
    <border>
      <left/>
      <right style="thin">
        <color theme="0" tint="-0.499984740745262"/>
      </right>
      <top style="medium">
        <color indexed="64"/>
      </top>
      <bottom style="medium">
        <color indexed="64"/>
      </bottom>
      <diagonal/>
    </border>
    <border>
      <left/>
      <right style="thin">
        <color theme="0" tint="-0.499984740745262"/>
      </right>
      <top/>
      <bottom style="thin">
        <color indexed="23"/>
      </bottom>
      <diagonal/>
    </border>
    <border>
      <left/>
      <right style="thin">
        <color theme="0" tint="-0.499984740745262"/>
      </right>
      <top/>
      <bottom style="thin">
        <color indexed="22"/>
      </bottom>
      <diagonal/>
    </border>
    <border>
      <left/>
      <right style="thin">
        <color theme="0" tint="-0.499984740745262"/>
      </right>
      <top style="thin">
        <color indexed="55"/>
      </top>
      <bottom/>
      <diagonal/>
    </border>
    <border>
      <left style="thin">
        <color indexed="64"/>
      </left>
      <right style="thin">
        <color theme="0" tint="-0.499984740745262"/>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theme="0" tint="-0.499984740745262"/>
      </left>
      <right style="thin">
        <color auto="1"/>
      </right>
      <top/>
      <bottom/>
      <diagonal/>
    </border>
    <border>
      <left style="thin">
        <color theme="0" tint="-0.499984740745262"/>
      </left>
      <right style="thin">
        <color auto="1"/>
      </right>
      <top/>
      <bottom style="thin">
        <color indexed="64"/>
      </bottom>
      <diagonal/>
    </border>
    <border>
      <left style="thin">
        <color theme="0" tint="-0.499984740745262"/>
      </left>
      <right style="thin">
        <color auto="1"/>
      </right>
      <top style="thin">
        <color indexed="64"/>
      </top>
      <bottom style="thin">
        <color indexed="64"/>
      </bottom>
      <diagonal/>
    </border>
    <border>
      <left style="thin">
        <color theme="0" tint="-0.499984740745262"/>
      </left>
      <right style="thin">
        <color auto="1"/>
      </right>
      <top style="thin">
        <color indexed="64"/>
      </top>
      <bottom/>
      <diagonal/>
    </border>
    <border>
      <left style="thin">
        <color theme="0" tint="-0.499984740745262"/>
      </left>
      <right style="thin">
        <color auto="1"/>
      </right>
      <top style="medium">
        <color indexed="64"/>
      </top>
      <bottom style="medium">
        <color indexed="64"/>
      </bottom>
      <diagonal/>
    </border>
    <border>
      <left style="thin">
        <color theme="0" tint="-0.499984740745262"/>
      </left>
      <right style="thin">
        <color indexed="64"/>
      </right>
      <top style="thin">
        <color theme="0" tint="-0.499984740745262"/>
      </top>
      <bottom/>
      <diagonal/>
    </border>
    <border>
      <left/>
      <right/>
      <top/>
      <bottom style="medium">
        <color indexed="64"/>
      </bottom>
      <diagonal/>
    </border>
    <border>
      <left style="thin">
        <color indexed="23"/>
      </left>
      <right style="thin">
        <color indexed="23"/>
      </right>
      <top style="thin">
        <color indexed="23"/>
      </top>
      <bottom/>
      <diagonal/>
    </border>
    <border>
      <left/>
      <right/>
      <top/>
      <bottom style="thin">
        <color indexed="47"/>
      </bottom>
      <diagonal/>
    </border>
  </borders>
  <cellStyleXfs count="4">
    <xf numFmtId="0" fontId="0" fillId="0" borderId="0"/>
    <xf numFmtId="0" fontId="3" fillId="0" borderId="0"/>
    <xf numFmtId="9" fontId="79" fillId="0" borderId="0" applyFont="0" applyFill="0" applyBorder="0" applyAlignment="0" applyProtection="0"/>
    <xf numFmtId="0" fontId="89" fillId="0" borderId="0" applyNumberFormat="0" applyFill="0" applyBorder="0" applyAlignment="0" applyProtection="0"/>
  </cellStyleXfs>
  <cellXfs count="1483">
    <xf numFmtId="0" fontId="0" fillId="0" borderId="0" xfId="0"/>
    <xf numFmtId="0" fontId="3" fillId="0" borderId="0" xfId="0" applyFont="1" applyFill="1" applyBorder="1" applyAlignment="1" applyProtection="1">
      <alignment vertical="center"/>
      <protection hidden="1"/>
    </xf>
    <xf numFmtId="0" fontId="3" fillId="0" borderId="0" xfId="0" applyFont="1" applyFill="1" applyBorder="1" applyProtection="1">
      <protection hidden="1"/>
    </xf>
    <xf numFmtId="0" fontId="0" fillId="0" borderId="0" xfId="0" applyFill="1" applyBorder="1" applyProtection="1">
      <protection hidden="1"/>
    </xf>
    <xf numFmtId="0" fontId="0" fillId="0" borderId="0" xfId="0" applyProtection="1">
      <protection hidden="1"/>
    </xf>
    <xf numFmtId="0" fontId="0" fillId="2" borderId="0" xfId="0" applyFill="1"/>
    <xf numFmtId="0" fontId="8" fillId="0" borderId="0" xfId="0" applyFont="1" applyFill="1" applyBorder="1" applyAlignment="1" applyProtection="1">
      <alignment vertical="center"/>
      <protection hidden="1"/>
    </xf>
    <xf numFmtId="3" fontId="8" fillId="0" borderId="0" xfId="0" applyNumberFormat="1" applyFont="1" applyFill="1" applyBorder="1" applyAlignment="1" applyProtection="1">
      <alignment horizontal="right" vertical="center"/>
      <protection hidden="1"/>
    </xf>
    <xf numFmtId="0" fontId="0" fillId="3" borderId="0" xfId="0" applyFill="1"/>
    <xf numFmtId="0" fontId="3" fillId="2" borderId="0" xfId="0" applyFont="1" applyFill="1"/>
    <xf numFmtId="49" fontId="4" fillId="4" borderId="67" xfId="0" applyNumberFormat="1" applyFont="1" applyFill="1" applyBorder="1" applyProtection="1">
      <protection locked="0"/>
    </xf>
    <xf numFmtId="0" fontId="0" fillId="4" borderId="68" xfId="0" applyFill="1" applyBorder="1" applyProtection="1">
      <protection locked="0"/>
    </xf>
    <xf numFmtId="0" fontId="0" fillId="3" borderId="68" xfId="0" applyFill="1" applyBorder="1"/>
    <xf numFmtId="0" fontId="4" fillId="4" borderId="68" xfId="0" applyFont="1" applyFill="1" applyBorder="1" applyProtection="1">
      <protection locked="0"/>
    </xf>
    <xf numFmtId="0" fontId="0" fillId="3" borderId="69" xfId="0" applyFill="1" applyBorder="1"/>
    <xf numFmtId="0" fontId="4" fillId="4" borderId="69" xfId="0" applyFont="1" applyFill="1" applyBorder="1" applyProtection="1">
      <protection locked="0"/>
    </xf>
    <xf numFmtId="0" fontId="0" fillId="4" borderId="69" xfId="0" applyFill="1" applyBorder="1" applyProtection="1">
      <protection locked="0"/>
    </xf>
    <xf numFmtId="0" fontId="3" fillId="0" borderId="0" xfId="0" applyFont="1" applyFill="1" applyProtection="1">
      <protection locked="0"/>
    </xf>
    <xf numFmtId="0" fontId="3" fillId="0" borderId="0" xfId="0" applyFont="1" applyFill="1" applyAlignment="1" applyProtection="1">
      <alignment horizontal="center"/>
      <protection locked="0"/>
    </xf>
    <xf numFmtId="0" fontId="3" fillId="0" borderId="0" xfId="0" applyNumberFormat="1" applyFont="1" applyFill="1" applyAlignment="1" applyProtection="1">
      <protection hidden="1"/>
    </xf>
    <xf numFmtId="0" fontId="3" fillId="0" borderId="0" xfId="0" applyFont="1" applyFill="1" applyAlignment="1" applyProtection="1">
      <protection locked="0"/>
    </xf>
    <xf numFmtId="0" fontId="3" fillId="0" borderId="13" xfId="0" applyFont="1" applyFill="1" applyBorder="1" applyProtection="1">
      <protection locked="0"/>
    </xf>
    <xf numFmtId="0" fontId="3" fillId="0" borderId="18" xfId="0" applyFont="1" applyFill="1" applyBorder="1"/>
    <xf numFmtId="0" fontId="3" fillId="0" borderId="1" xfId="0" applyFont="1" applyFill="1" applyBorder="1"/>
    <xf numFmtId="0" fontId="3" fillId="0" borderId="15" xfId="0" applyFont="1" applyFill="1" applyBorder="1" applyAlignment="1" applyProtection="1">
      <alignment horizontal="center"/>
      <protection locked="0"/>
    </xf>
    <xf numFmtId="49" fontId="3" fillId="0" borderId="3" xfId="0" applyNumberFormat="1" applyFont="1" applyFill="1" applyBorder="1" applyProtection="1">
      <protection locked="0"/>
    </xf>
    <xf numFmtId="49" fontId="3" fillId="0" borderId="1" xfId="0" applyNumberFormat="1" applyFont="1" applyFill="1" applyBorder="1" applyProtection="1">
      <protection locked="0"/>
    </xf>
    <xf numFmtId="179" fontId="3" fillId="0" borderId="3" xfId="0" applyNumberFormat="1" applyFont="1" applyFill="1" applyBorder="1" applyProtection="1">
      <protection locked="0"/>
    </xf>
    <xf numFmtId="0" fontId="3" fillId="0" borderId="0" xfId="0" applyFont="1" applyFill="1"/>
    <xf numFmtId="0" fontId="3" fillId="0" borderId="4" xfId="0" applyFont="1" applyFill="1" applyBorder="1" applyProtection="1">
      <protection locked="0"/>
    </xf>
    <xf numFmtId="0" fontId="3" fillId="0" borderId="5" xfId="0" quotePrefix="1" applyFont="1" applyFill="1" applyBorder="1" applyProtection="1">
      <protection locked="0"/>
    </xf>
    <xf numFmtId="0" fontId="3" fillId="0" borderId="9" xfId="0" applyFont="1" applyFill="1" applyBorder="1"/>
    <xf numFmtId="0" fontId="3" fillId="0" borderId="9" xfId="0" applyFont="1" applyFill="1" applyBorder="1" applyAlignment="1">
      <alignment vertical="top"/>
    </xf>
    <xf numFmtId="49" fontId="3" fillId="0" borderId="13" xfId="0" applyNumberFormat="1" applyFont="1" applyFill="1" applyBorder="1" applyProtection="1">
      <protection locked="0"/>
    </xf>
    <xf numFmtId="49" fontId="3" fillId="0" borderId="0" xfId="0" applyNumberFormat="1" applyFont="1" applyFill="1" applyBorder="1" applyProtection="1">
      <protection locked="0"/>
    </xf>
    <xf numFmtId="0" fontId="3" fillId="0" borderId="9" xfId="0" applyFont="1" applyFill="1" applyBorder="1" applyProtection="1">
      <protection locked="0"/>
    </xf>
    <xf numFmtId="0" fontId="3" fillId="0" borderId="7" xfId="0" applyFont="1" applyFill="1" applyBorder="1" applyProtection="1">
      <protection locked="0"/>
    </xf>
    <xf numFmtId="0" fontId="3" fillId="0" borderId="0" xfId="0" applyFont="1" applyFill="1" applyBorder="1" applyProtection="1">
      <protection locked="0"/>
    </xf>
    <xf numFmtId="0" fontId="3" fillId="0" borderId="13" xfId="0" applyFont="1" applyFill="1" applyBorder="1"/>
    <xf numFmtId="0" fontId="3" fillId="0" borderId="17" xfId="0" applyFont="1" applyFill="1" applyBorder="1"/>
    <xf numFmtId="0" fontId="3" fillId="0" borderId="18" xfId="0" applyFont="1" applyFill="1" applyBorder="1" applyAlignment="1">
      <alignment vertical="top"/>
    </xf>
    <xf numFmtId="0" fontId="3" fillId="0" borderId="17" xfId="0" applyFont="1" applyFill="1" applyBorder="1" applyProtection="1">
      <protection locked="0"/>
    </xf>
    <xf numFmtId="0" fontId="3" fillId="0" borderId="72" xfId="0" applyFont="1" applyFill="1" applyBorder="1" applyAlignment="1">
      <alignment horizontal="right"/>
    </xf>
    <xf numFmtId="0" fontId="3" fillId="0" borderId="14" xfId="0" applyFont="1" applyFill="1" applyBorder="1" applyProtection="1">
      <protection locked="0"/>
    </xf>
    <xf numFmtId="0" fontId="3" fillId="0" borderId="15" xfId="0" quotePrefix="1" applyFont="1" applyFill="1" applyBorder="1" applyProtection="1">
      <protection locked="0"/>
    </xf>
    <xf numFmtId="0" fontId="12" fillId="0" borderId="73" xfId="0" applyFont="1" applyFill="1" applyBorder="1" applyAlignment="1" applyProtection="1">
      <alignment horizontal="center"/>
    </xf>
    <xf numFmtId="0" fontId="3" fillId="0" borderId="3" xfId="0" applyFont="1" applyFill="1" applyBorder="1" applyProtection="1">
      <protection locked="0"/>
    </xf>
    <xf numFmtId="0" fontId="3" fillId="0" borderId="18" xfId="0" applyFont="1" applyFill="1" applyBorder="1" applyProtection="1">
      <protection locked="0"/>
    </xf>
    <xf numFmtId="0" fontId="3" fillId="0" borderId="74" xfId="0" applyFont="1" applyFill="1" applyBorder="1" applyProtection="1">
      <protection locked="0"/>
    </xf>
    <xf numFmtId="0" fontId="12" fillId="0" borderId="75" xfId="0" applyFont="1" applyFill="1" applyBorder="1" applyAlignment="1" applyProtection="1">
      <alignment horizontal="center"/>
    </xf>
    <xf numFmtId="0" fontId="3" fillId="0" borderId="15" xfId="0" applyFont="1" applyFill="1" applyBorder="1" applyProtection="1">
      <protection locked="0"/>
    </xf>
    <xf numFmtId="0" fontId="3" fillId="0" borderId="3" xfId="0" applyNumberFormat="1" applyFont="1" applyFill="1" applyBorder="1" applyAlignment="1" applyProtection="1">
      <protection hidden="1"/>
    </xf>
    <xf numFmtId="0" fontId="3" fillId="0" borderId="2" xfId="0" applyNumberFormat="1" applyFont="1" applyFill="1" applyBorder="1" applyAlignment="1" applyProtection="1">
      <protection hidden="1"/>
    </xf>
    <xf numFmtId="0" fontId="3" fillId="0" borderId="0" xfId="0" applyFont="1" applyFill="1" applyProtection="1"/>
    <xf numFmtId="0" fontId="11" fillId="0" borderId="0" xfId="0" applyFont="1" applyFill="1" applyProtection="1">
      <protection locked="0"/>
    </xf>
    <xf numFmtId="0" fontId="3" fillId="0" borderId="1" xfId="0" applyFont="1" applyFill="1" applyBorder="1" applyProtection="1">
      <protection locked="0"/>
    </xf>
    <xf numFmtId="1" fontId="3" fillId="0" borderId="0" xfId="0" applyNumberFormat="1" applyFont="1" applyFill="1" applyProtection="1">
      <protection locked="0"/>
    </xf>
    <xf numFmtId="0" fontId="3" fillId="0" borderId="15" xfId="0" applyFont="1" applyFill="1" applyBorder="1" applyAlignment="1" applyProtection="1">
      <protection locked="0"/>
    </xf>
    <xf numFmtId="0" fontId="3" fillId="0" borderId="73" xfId="0" applyFont="1" applyFill="1" applyBorder="1" applyProtection="1">
      <protection locked="0"/>
    </xf>
    <xf numFmtId="0" fontId="3" fillId="0" borderId="78" xfId="0" applyFont="1" applyFill="1" applyBorder="1" applyProtection="1">
      <protection locked="0"/>
    </xf>
    <xf numFmtId="0" fontId="3" fillId="0" borderId="75" xfId="0" applyFont="1" applyFill="1" applyBorder="1" applyProtection="1">
      <protection locked="0"/>
    </xf>
    <xf numFmtId="0" fontId="3" fillId="0" borderId="0" xfId="0" applyFont="1" applyFill="1" applyAlignment="1" applyProtection="1">
      <alignment horizontal="right"/>
      <protection locked="0"/>
    </xf>
    <xf numFmtId="0" fontId="3" fillId="0" borderId="79" xfId="0" applyFont="1" applyFill="1" applyBorder="1" applyProtection="1">
      <protection locked="0"/>
    </xf>
    <xf numFmtId="0" fontId="3" fillId="0" borderId="80" xfId="0" applyFont="1" applyFill="1" applyBorder="1" applyProtection="1">
      <protection locked="0"/>
    </xf>
    <xf numFmtId="0" fontId="3" fillId="0" borderId="0" xfId="0" applyFont="1" applyFill="1" applyAlignment="1" applyProtection="1">
      <alignment horizontal="left"/>
      <protection locked="0"/>
    </xf>
    <xf numFmtId="0" fontId="3" fillId="0" borderId="82" xfId="0" applyFont="1" applyFill="1" applyBorder="1" applyProtection="1">
      <protection locked="0"/>
    </xf>
    <xf numFmtId="0" fontId="3" fillId="0" borderId="83" xfId="0" applyFont="1" applyFill="1" applyBorder="1" applyProtection="1">
      <protection locked="0"/>
    </xf>
    <xf numFmtId="0" fontId="3" fillId="0" borderId="84" xfId="0" applyFont="1" applyFill="1" applyBorder="1"/>
    <xf numFmtId="0" fontId="11" fillId="0" borderId="0" xfId="0" applyFont="1" applyFill="1"/>
    <xf numFmtId="0" fontId="3" fillId="0" borderId="0" xfId="0" quotePrefix="1" applyFont="1" applyFill="1" applyProtection="1">
      <protection locked="0"/>
    </xf>
    <xf numFmtId="3" fontId="3" fillId="0" borderId="0" xfId="0" applyNumberFormat="1" applyFont="1" applyFill="1" applyProtection="1">
      <protection locked="0"/>
    </xf>
    <xf numFmtId="0" fontId="3" fillId="0" borderId="13" xfId="0" applyFont="1" applyFill="1" applyBorder="1" applyAlignment="1" applyProtection="1">
      <protection locked="0"/>
    </xf>
    <xf numFmtId="3" fontId="3" fillId="0" borderId="13" xfId="0" applyNumberFormat="1" applyFont="1" applyFill="1" applyBorder="1" applyProtection="1">
      <protection locked="0"/>
    </xf>
    <xf numFmtId="0" fontId="3" fillId="0" borderId="13" xfId="0" applyFont="1" applyFill="1" applyBorder="1" applyProtection="1"/>
    <xf numFmtId="0" fontId="3" fillId="0" borderId="13" xfId="0" applyFont="1" applyFill="1" applyBorder="1" applyAlignment="1" applyProtection="1">
      <alignment horizontal="right"/>
    </xf>
    <xf numFmtId="0" fontId="3" fillId="0" borderId="0" xfId="0" applyFont="1" applyFill="1" applyAlignment="1" applyProtection="1">
      <alignment horizontal="left" indent="1"/>
      <protection locked="0"/>
    </xf>
    <xf numFmtId="0" fontId="8" fillId="0" borderId="4" xfId="0" applyFont="1" applyFill="1" applyBorder="1" applyProtection="1">
      <protection locked="0"/>
    </xf>
    <xf numFmtId="0" fontId="3" fillId="0" borderId="13" xfId="0" applyFont="1" applyFill="1" applyBorder="1" applyAlignment="1" applyProtection="1">
      <alignment horizontal="right"/>
      <protection locked="0"/>
    </xf>
    <xf numFmtId="0" fontId="8" fillId="0" borderId="7" xfId="0" applyFont="1" applyFill="1" applyBorder="1" applyProtection="1">
      <protection locked="0"/>
    </xf>
    <xf numFmtId="0" fontId="8" fillId="0" borderId="9" xfId="0" applyFont="1" applyFill="1" applyBorder="1" applyProtection="1">
      <protection locked="0"/>
    </xf>
    <xf numFmtId="0" fontId="8" fillId="0" borderId="17" xfId="0" applyFont="1" applyFill="1" applyBorder="1" applyProtection="1">
      <protection locked="0"/>
    </xf>
    <xf numFmtId="0" fontId="11" fillId="0" borderId="13" xfId="0" applyFont="1" applyFill="1" applyBorder="1" applyAlignment="1" applyProtection="1">
      <alignment horizontal="left"/>
      <protection locked="0"/>
    </xf>
    <xf numFmtId="0" fontId="11" fillId="0" borderId="18" xfId="0" applyFont="1" applyFill="1" applyBorder="1" applyAlignment="1" applyProtection="1">
      <alignment horizontal="left"/>
      <protection locked="0"/>
    </xf>
    <xf numFmtId="0" fontId="3" fillId="0" borderId="0" xfId="0" applyFont="1" applyFill="1" applyBorder="1" applyAlignment="1" applyProtection="1">
      <protection locked="0"/>
    </xf>
    <xf numFmtId="0" fontId="3" fillId="0" borderId="1" xfId="0" applyFont="1" applyFill="1" applyBorder="1" applyAlignment="1" applyProtection="1">
      <alignment horizontal="center"/>
      <protection locked="0"/>
    </xf>
    <xf numFmtId="10" fontId="3" fillId="0" borderId="13" xfId="0" applyNumberFormat="1" applyFont="1" applyFill="1" applyBorder="1" applyProtection="1">
      <protection locked="0"/>
    </xf>
    <xf numFmtId="10" fontId="3" fillId="0" borderId="6" xfId="0" applyNumberFormat="1" applyFont="1" applyFill="1" applyBorder="1" applyProtection="1">
      <protection locked="0"/>
    </xf>
    <xf numFmtId="10" fontId="3" fillId="0" borderId="8" xfId="0" applyNumberFormat="1" applyFont="1" applyFill="1" applyBorder="1" applyProtection="1">
      <protection locked="0"/>
    </xf>
    <xf numFmtId="3" fontId="3" fillId="0" borderId="14" xfId="0" applyNumberFormat="1" applyFont="1" applyFill="1" applyBorder="1" applyProtection="1">
      <protection locked="0"/>
    </xf>
    <xf numFmtId="3" fontId="3" fillId="0" borderId="15" xfId="0" applyNumberFormat="1" applyFont="1" applyFill="1" applyBorder="1" applyProtection="1">
      <protection locked="0"/>
    </xf>
    <xf numFmtId="10" fontId="3" fillId="0" borderId="4" xfId="0" applyNumberFormat="1" applyFont="1" applyFill="1" applyBorder="1" applyProtection="1">
      <protection locked="0"/>
    </xf>
    <xf numFmtId="0" fontId="3" fillId="0" borderId="6" xfId="0" applyFont="1" applyFill="1" applyBorder="1" applyProtection="1">
      <protection locked="0"/>
    </xf>
    <xf numFmtId="10" fontId="3" fillId="0" borderId="7" xfId="0" applyNumberFormat="1" applyFont="1" applyFill="1" applyBorder="1" applyProtection="1">
      <protection locked="0"/>
    </xf>
    <xf numFmtId="0" fontId="3" fillId="0" borderId="8" xfId="0" applyFont="1" applyFill="1" applyBorder="1" applyProtection="1">
      <protection locked="0"/>
    </xf>
    <xf numFmtId="10" fontId="3" fillId="0" borderId="14" xfId="0" applyNumberFormat="1" applyFont="1" applyFill="1" applyBorder="1" applyProtection="1">
      <protection locked="0"/>
    </xf>
    <xf numFmtId="0" fontId="3" fillId="0" borderId="16" xfId="0" applyFont="1" applyFill="1" applyBorder="1" applyProtection="1">
      <protection locked="0"/>
    </xf>
    <xf numFmtId="10" fontId="3" fillId="0" borderId="18" xfId="0" applyNumberFormat="1" applyFont="1" applyFill="1" applyBorder="1" applyProtection="1">
      <protection locked="0"/>
    </xf>
    <xf numFmtId="0" fontId="0" fillId="0" borderId="0" xfId="0" applyFill="1"/>
    <xf numFmtId="0" fontId="0" fillId="0" borderId="0" xfId="0" applyProtection="1">
      <protection locked="0"/>
    </xf>
    <xf numFmtId="3" fontId="0" fillId="0" borderId="0" xfId="0" applyNumberFormat="1" applyProtection="1">
      <protection locked="0"/>
    </xf>
    <xf numFmtId="0" fontId="0" fillId="0" borderId="13" xfId="0" applyBorder="1"/>
    <xf numFmtId="0" fontId="0" fillId="9" borderId="0" xfId="0" applyFill="1"/>
    <xf numFmtId="0" fontId="0" fillId="8" borderId="0" xfId="0" applyFill="1"/>
    <xf numFmtId="0" fontId="3" fillId="0" borderId="0" xfId="0" quotePrefix="1" applyFont="1" applyFill="1"/>
    <xf numFmtId="0" fontId="3" fillId="0" borderId="0" xfId="0" applyFont="1" applyFill="1" applyBorder="1" applyAlignment="1" applyProtection="1">
      <protection hidden="1"/>
    </xf>
    <xf numFmtId="0" fontId="3" fillId="9" borderId="0" xfId="0" applyFont="1" applyFill="1"/>
    <xf numFmtId="0" fontId="3" fillId="9" borderId="0" xfId="0" quotePrefix="1" applyFont="1" applyFill="1"/>
    <xf numFmtId="0" fontId="8" fillId="0" borderId="0" xfId="0" applyFont="1" applyFill="1" applyBorder="1" applyAlignment="1">
      <alignment vertical="center"/>
    </xf>
    <xf numFmtId="0" fontId="0" fillId="0" borderId="0" xfId="0" quotePrefix="1" applyFill="1"/>
    <xf numFmtId="0" fontId="0" fillId="9" borderId="0" xfId="0" quotePrefix="1" applyFill="1"/>
    <xf numFmtId="0" fontId="8" fillId="0" borderId="0" xfId="0" quotePrefix="1" applyFont="1" applyFill="1" applyBorder="1" applyProtection="1">
      <protection hidden="1"/>
    </xf>
    <xf numFmtId="0" fontId="8" fillId="0" borderId="0" xfId="0" applyFont="1" applyFill="1" applyBorder="1" applyProtection="1">
      <protection hidden="1"/>
    </xf>
    <xf numFmtId="3" fontId="8" fillId="0" borderId="0" xfId="0" applyNumberFormat="1" applyFont="1" applyFill="1" applyBorder="1" applyAlignment="1" applyProtection="1">
      <alignment horizontal="right"/>
      <protection hidden="1"/>
    </xf>
    <xf numFmtId="0" fontId="3" fillId="9" borderId="0" xfId="0" applyFont="1" applyFill="1" applyBorder="1" applyProtection="1">
      <protection hidden="1"/>
    </xf>
    <xf numFmtId="0" fontId="3" fillId="0" borderId="0" xfId="0" applyFont="1" applyFill="1" applyBorder="1"/>
    <xf numFmtId="0" fontId="8" fillId="0" borderId="0" xfId="0" applyFont="1" applyFill="1"/>
    <xf numFmtId="0" fontId="0" fillId="11" borderId="0" xfId="0" applyFill="1"/>
    <xf numFmtId="0" fontId="3" fillId="0" borderId="5" xfId="0" applyFont="1" applyFill="1" applyBorder="1" applyProtection="1">
      <protection locked="0"/>
    </xf>
    <xf numFmtId="3" fontId="3" fillId="0" borderId="9" xfId="0" applyNumberFormat="1" applyFont="1" applyFill="1" applyBorder="1" applyProtection="1">
      <protection locked="0"/>
    </xf>
    <xf numFmtId="0" fontId="4" fillId="0" borderId="15" xfId="0" applyFont="1" applyFill="1" applyBorder="1" applyProtection="1">
      <protection locked="0"/>
    </xf>
    <xf numFmtId="0" fontId="4" fillId="0" borderId="0" xfId="0" applyFont="1" applyFill="1" applyProtection="1">
      <protection locked="0"/>
    </xf>
    <xf numFmtId="3" fontId="4" fillId="0" borderId="13" xfId="0" applyNumberFormat="1" applyFont="1" applyFill="1" applyBorder="1" applyProtection="1">
      <protection locked="0"/>
    </xf>
    <xf numFmtId="0" fontId="4" fillId="0" borderId="75" xfId="0" applyFont="1" applyFill="1" applyBorder="1" applyAlignment="1" applyProtection="1">
      <alignment horizontal="center"/>
      <protection locked="0"/>
    </xf>
    <xf numFmtId="0" fontId="4" fillId="0" borderId="76" xfId="0" quotePrefix="1" applyFont="1" applyFill="1" applyBorder="1" applyAlignment="1" applyProtection="1">
      <alignment horizontal="center"/>
      <protection locked="0"/>
    </xf>
    <xf numFmtId="0" fontId="4" fillId="0" borderId="77" xfId="0" applyFont="1" applyFill="1" applyBorder="1" applyProtection="1">
      <protection locked="0"/>
    </xf>
    <xf numFmtId="0" fontId="3" fillId="0" borderId="81" xfId="0" applyFont="1" applyFill="1" applyBorder="1" applyProtection="1">
      <protection locked="0"/>
    </xf>
    <xf numFmtId="0" fontId="4" fillId="0" borderId="13" xfId="0" applyFont="1" applyFill="1" applyBorder="1" applyAlignment="1" applyProtection="1">
      <alignment horizontal="center"/>
      <protection locked="0"/>
    </xf>
    <xf numFmtId="0" fontId="8" fillId="0" borderId="13" xfId="0" applyFont="1" applyFill="1" applyBorder="1" applyProtection="1">
      <protection locked="0"/>
    </xf>
    <xf numFmtId="0" fontId="14" fillId="0" borderId="9" xfId="0" applyFont="1" applyFill="1" applyBorder="1" applyAlignment="1"/>
    <xf numFmtId="0" fontId="14" fillId="0" borderId="17" xfId="0" applyFont="1" applyFill="1" applyBorder="1" applyAlignment="1"/>
    <xf numFmtId="0" fontId="14" fillId="0" borderId="18" xfId="0" applyFont="1" applyFill="1" applyBorder="1" applyAlignment="1"/>
    <xf numFmtId="0" fontId="2" fillId="12" borderId="13" xfId="0" applyFont="1" applyFill="1" applyBorder="1" applyProtection="1">
      <protection hidden="1"/>
    </xf>
    <xf numFmtId="0" fontId="3" fillId="14" borderId="0" xfId="0" applyFont="1" applyFill="1"/>
    <xf numFmtId="10" fontId="3" fillId="0" borderId="0" xfId="0" applyNumberFormat="1" applyFont="1" applyFill="1" applyProtection="1">
      <protection locked="0"/>
    </xf>
    <xf numFmtId="0" fontId="3" fillId="16" borderId="0" xfId="0" applyFont="1" applyFill="1" applyAlignment="1" applyProtection="1">
      <alignment horizontal="center"/>
      <protection locked="0"/>
    </xf>
    <xf numFmtId="0" fontId="3" fillId="16" borderId="0" xfId="0" applyFont="1" applyFill="1" applyProtection="1">
      <protection locked="0"/>
    </xf>
    <xf numFmtId="0" fontId="0" fillId="16" borderId="0" xfId="0" applyFill="1"/>
    <xf numFmtId="0" fontId="3" fillId="16" borderId="1" xfId="0" applyFont="1" applyFill="1" applyBorder="1" applyProtection="1">
      <protection locked="0"/>
    </xf>
    <xf numFmtId="0" fontId="0" fillId="16" borderId="9" xfId="0" applyFill="1" applyBorder="1"/>
    <xf numFmtId="0" fontId="3" fillId="16" borderId="0" xfId="0" applyFont="1" applyFill="1" applyBorder="1" applyProtection="1">
      <protection locked="0"/>
    </xf>
    <xf numFmtId="0" fontId="0" fillId="16" borderId="17" xfId="0" applyFill="1" applyBorder="1"/>
    <xf numFmtId="0" fontId="0" fillId="16" borderId="18" xfId="0" applyFill="1" applyBorder="1"/>
    <xf numFmtId="0" fontId="3" fillId="16" borderId="9" xfId="0" applyFont="1" applyFill="1" applyBorder="1" applyAlignment="1" applyProtection="1">
      <alignment horizontal="left"/>
      <protection locked="0"/>
    </xf>
    <xf numFmtId="0" fontId="3" fillId="16" borderId="17" xfId="0" applyFont="1" applyFill="1" applyBorder="1" applyProtection="1">
      <protection locked="0"/>
    </xf>
    <xf numFmtId="0" fontId="3" fillId="16" borderId="18" xfId="0" applyFont="1" applyFill="1" applyBorder="1" applyProtection="1">
      <protection locked="0"/>
    </xf>
    <xf numFmtId="0" fontId="3" fillId="16" borderId="9" xfId="0" applyFont="1" applyFill="1" applyBorder="1" applyProtection="1">
      <protection locked="0"/>
    </xf>
    <xf numFmtId="0" fontId="17" fillId="0" borderId="0" xfId="0" applyFont="1" applyFill="1"/>
    <xf numFmtId="0" fontId="17" fillId="0" borderId="0" xfId="0" applyFont="1"/>
    <xf numFmtId="0" fontId="17" fillId="0" borderId="0" xfId="0" applyFont="1" applyProtection="1">
      <protection locked="0"/>
    </xf>
    <xf numFmtId="0" fontId="0" fillId="16" borderId="13" xfId="0" applyFill="1" applyBorder="1" applyProtection="1">
      <protection locked="0"/>
    </xf>
    <xf numFmtId="0" fontId="3" fillId="20" borderId="0" xfId="0" applyFont="1" applyFill="1" applyProtection="1">
      <protection locked="0"/>
    </xf>
    <xf numFmtId="0" fontId="3" fillId="20" borderId="1" xfId="0" applyFont="1" applyFill="1" applyBorder="1" applyProtection="1">
      <protection locked="0"/>
    </xf>
    <xf numFmtId="0" fontId="3" fillId="20" borderId="9" xfId="0" applyFont="1" applyFill="1" applyBorder="1" applyProtection="1">
      <protection locked="0"/>
    </xf>
    <xf numFmtId="0" fontId="3" fillId="20" borderId="17" xfId="0" applyFont="1" applyFill="1" applyBorder="1" applyProtection="1">
      <protection locked="0"/>
    </xf>
    <xf numFmtId="0" fontId="3" fillId="20" borderId="18" xfId="0" applyFont="1" applyFill="1" applyBorder="1" applyProtection="1">
      <protection locked="0"/>
    </xf>
    <xf numFmtId="0" fontId="0" fillId="20" borderId="0" xfId="0" applyFill="1"/>
    <xf numFmtId="0" fontId="3" fillId="11" borderId="0" xfId="0" quotePrefix="1" applyFont="1" applyFill="1" applyBorder="1" applyProtection="1">
      <protection locked="0"/>
    </xf>
    <xf numFmtId="0" fontId="3" fillId="16" borderId="13" xfId="0" applyFont="1" applyFill="1" applyBorder="1" applyProtection="1">
      <protection locked="0"/>
    </xf>
    <xf numFmtId="0" fontId="3" fillId="11" borderId="0" xfId="0" quotePrefix="1" applyFont="1" applyFill="1" applyProtection="1">
      <protection locked="0"/>
    </xf>
    <xf numFmtId="0" fontId="0" fillId="21" borderId="0" xfId="0" applyFill="1"/>
    <xf numFmtId="0" fontId="18" fillId="21" borderId="0" xfId="0" applyFont="1" applyFill="1" applyProtection="1">
      <protection locked="0"/>
    </xf>
    <xf numFmtId="0" fontId="8" fillId="0" borderId="0" xfId="0" applyFont="1" applyFill="1" applyAlignment="1" applyProtection="1">
      <protection locked="0"/>
    </xf>
    <xf numFmtId="0" fontId="11" fillId="0" borderId="0" xfId="0" applyFont="1" applyFill="1" applyAlignment="1"/>
    <xf numFmtId="0" fontId="3" fillId="0" borderId="0" xfId="0" applyFont="1" applyFill="1" applyAlignment="1"/>
    <xf numFmtId="0" fontId="3" fillId="0" borderId="1" xfId="0" applyFont="1" applyFill="1" applyBorder="1" applyAlignment="1" applyProtection="1">
      <protection locked="0"/>
    </xf>
    <xf numFmtId="0" fontId="15" fillId="21" borderId="0" xfId="0" applyFont="1" applyFill="1" applyProtection="1">
      <protection locked="0"/>
    </xf>
    <xf numFmtId="0" fontId="3" fillId="21" borderId="1" xfId="0" applyFont="1" applyFill="1" applyBorder="1" applyProtection="1">
      <protection locked="0"/>
    </xf>
    <xf numFmtId="0" fontId="18" fillId="21" borderId="13" xfId="0" applyFont="1" applyFill="1" applyBorder="1" applyProtection="1">
      <protection locked="0"/>
    </xf>
    <xf numFmtId="164" fontId="0" fillId="2" borderId="0" xfId="0" applyNumberFormat="1" applyFill="1"/>
    <xf numFmtId="0" fontId="3" fillId="21" borderId="9" xfId="0" applyFont="1" applyFill="1" applyBorder="1" applyProtection="1">
      <protection locked="0"/>
    </xf>
    <xf numFmtId="0" fontId="3" fillId="21" borderId="13" xfId="0" applyFont="1" applyFill="1" applyBorder="1" applyProtection="1">
      <protection locked="0"/>
    </xf>
    <xf numFmtId="0" fontId="3" fillId="21" borderId="17" xfId="0" applyFont="1" applyFill="1" applyBorder="1" applyProtection="1">
      <protection locked="0"/>
    </xf>
    <xf numFmtId="0" fontId="3" fillId="21" borderId="18" xfId="0" applyFont="1" applyFill="1" applyBorder="1" applyProtection="1">
      <protection locked="0"/>
    </xf>
    <xf numFmtId="0" fontId="18" fillId="21" borderId="3" xfId="0" applyFont="1" applyFill="1" applyBorder="1" applyProtection="1">
      <protection locked="0"/>
    </xf>
    <xf numFmtId="0" fontId="3" fillId="0" borderId="88" xfId="0" applyFont="1" applyFill="1" applyBorder="1" applyProtection="1">
      <protection locked="0"/>
    </xf>
    <xf numFmtId="0" fontId="18" fillId="21" borderId="75" xfId="0" applyFont="1" applyFill="1" applyBorder="1" applyProtection="1">
      <protection locked="0"/>
    </xf>
    <xf numFmtId="0" fontId="18" fillId="21" borderId="81" xfId="0" applyFont="1" applyFill="1" applyBorder="1" applyProtection="1">
      <protection locked="0"/>
    </xf>
    <xf numFmtId="0" fontId="18" fillId="21" borderId="85" xfId="0" applyFont="1" applyFill="1" applyBorder="1" applyProtection="1">
      <protection locked="0"/>
    </xf>
    <xf numFmtId="0" fontId="18" fillId="21" borderId="18" xfId="0" applyFont="1" applyFill="1" applyBorder="1" applyProtection="1">
      <protection locked="0"/>
    </xf>
    <xf numFmtId="0" fontId="18" fillId="21" borderId="17" xfId="0" applyFont="1" applyFill="1" applyBorder="1" applyProtection="1">
      <protection locked="0"/>
    </xf>
    <xf numFmtId="0" fontId="18" fillId="21" borderId="13" xfId="0" applyFont="1" applyFill="1" applyBorder="1" applyAlignment="1" applyProtection="1">
      <alignment horizontal="center"/>
      <protection locked="0"/>
    </xf>
    <xf numFmtId="0" fontId="18" fillId="21" borderId="15" xfId="0" applyFont="1" applyFill="1" applyBorder="1" applyAlignment="1" applyProtection="1">
      <alignment horizontal="center"/>
      <protection locked="0"/>
    </xf>
    <xf numFmtId="0" fontId="3" fillId="14" borderId="0" xfId="0" applyFont="1" applyFill="1" applyProtection="1">
      <protection locked="0"/>
    </xf>
    <xf numFmtId="0" fontId="18" fillId="21" borderId="3" xfId="0" applyFont="1" applyFill="1" applyBorder="1" applyAlignment="1" applyProtection="1">
      <alignment horizontal="center"/>
      <protection locked="0"/>
    </xf>
    <xf numFmtId="0" fontId="18" fillId="21" borderId="1" xfId="0" applyFont="1" applyFill="1" applyBorder="1" applyAlignment="1" applyProtection="1">
      <alignment horizontal="center"/>
      <protection locked="0"/>
    </xf>
    <xf numFmtId="0" fontId="18" fillId="21" borderId="2" xfId="0" applyFont="1" applyFill="1" applyBorder="1" applyAlignment="1" applyProtection="1">
      <alignment horizontal="center"/>
      <protection locked="0"/>
    </xf>
    <xf numFmtId="0" fontId="18" fillId="21" borderId="9" xfId="0" applyFont="1" applyFill="1" applyBorder="1" applyProtection="1">
      <protection locked="0"/>
    </xf>
    <xf numFmtId="0" fontId="8" fillId="21" borderId="17" xfId="0" applyFont="1" applyFill="1" applyBorder="1" applyProtection="1">
      <protection locked="0"/>
    </xf>
    <xf numFmtId="0" fontId="8" fillId="21" borderId="14" xfId="0" applyFont="1" applyFill="1" applyBorder="1" applyProtection="1">
      <protection locked="0"/>
    </xf>
    <xf numFmtId="0" fontId="8" fillId="21" borderId="18" xfId="0" applyFont="1" applyFill="1" applyBorder="1" applyProtection="1">
      <protection locked="0"/>
    </xf>
    <xf numFmtId="0" fontId="19" fillId="21" borderId="0" xfId="0" applyFont="1" applyFill="1" applyAlignment="1" applyProtection="1">
      <alignment horizontal="right"/>
      <protection locked="0"/>
    </xf>
    <xf numFmtId="0" fontId="18" fillId="21" borderId="87" xfId="0" applyFont="1" applyFill="1" applyBorder="1" applyProtection="1">
      <protection locked="0"/>
    </xf>
    <xf numFmtId="0" fontId="13" fillId="21" borderId="87" xfId="0" applyFont="1" applyFill="1" applyBorder="1"/>
    <xf numFmtId="0" fontId="13" fillId="21" borderId="17" xfId="0" applyFont="1" applyFill="1" applyBorder="1"/>
    <xf numFmtId="0" fontId="3" fillId="21" borderId="0" xfId="0" applyFont="1" applyFill="1"/>
    <xf numFmtId="0" fontId="3" fillId="14" borderId="1" xfId="0" applyFont="1" applyFill="1" applyBorder="1" applyProtection="1">
      <protection locked="0"/>
    </xf>
    <xf numFmtId="0" fontId="16" fillId="17" borderId="0" xfId="0" applyFont="1" applyFill="1" applyProtection="1">
      <protection hidden="1"/>
    </xf>
    <xf numFmtId="0" fontId="3" fillId="17" borderId="0" xfId="0" applyFont="1" applyFill="1" applyBorder="1" applyAlignment="1" applyProtection="1">
      <alignment vertical="center"/>
      <protection hidden="1"/>
    </xf>
    <xf numFmtId="0" fontId="6" fillId="17" borderId="0" xfId="0" applyNumberFormat="1" applyFont="1" applyFill="1" applyBorder="1" applyAlignment="1" applyProtection="1">
      <alignment vertical="center"/>
      <protection hidden="1"/>
    </xf>
    <xf numFmtId="0" fontId="0" fillId="17" borderId="0" xfId="0" applyFill="1" applyProtection="1">
      <protection hidden="1"/>
    </xf>
    <xf numFmtId="164" fontId="2" fillId="17" borderId="0" xfId="0" applyNumberFormat="1" applyFont="1" applyFill="1" applyBorder="1" applyAlignment="1" applyProtection="1">
      <alignment horizontal="left" vertical="center"/>
      <protection hidden="1"/>
    </xf>
    <xf numFmtId="164" fontId="2" fillId="17" borderId="0" xfId="0" applyNumberFormat="1" applyFont="1" applyFill="1" applyProtection="1">
      <protection hidden="1"/>
    </xf>
    <xf numFmtId="0" fontId="5" fillId="17" borderId="0" xfId="0" applyFont="1" applyFill="1" applyProtection="1">
      <protection hidden="1"/>
    </xf>
    <xf numFmtId="164" fontId="2" fillId="17" borderId="0" xfId="0" applyNumberFormat="1" applyFont="1" applyFill="1" applyBorder="1" applyAlignment="1" applyProtection="1">
      <alignment vertical="center"/>
      <protection hidden="1"/>
    </xf>
    <xf numFmtId="10" fontId="3" fillId="17" borderId="0" xfId="0" applyNumberFormat="1" applyFont="1" applyFill="1" applyBorder="1" applyAlignment="1" applyProtection="1">
      <alignment vertical="top"/>
      <protection hidden="1"/>
    </xf>
    <xf numFmtId="0" fontId="10" fillId="17" borderId="0" xfId="0" applyNumberFormat="1" applyFont="1" applyFill="1" applyBorder="1" applyAlignment="1" applyProtection="1">
      <alignment horizontal="justify" vertical="center"/>
      <protection hidden="1"/>
    </xf>
    <xf numFmtId="0" fontId="7" fillId="17" borderId="0" xfId="0" applyNumberFormat="1" applyFont="1" applyFill="1" applyBorder="1" applyAlignment="1" applyProtection="1">
      <alignment horizontal="justify" vertical="center"/>
      <protection hidden="1"/>
    </xf>
    <xf numFmtId="0" fontId="1" fillId="17" borderId="0" xfId="0" applyNumberFormat="1" applyFont="1" applyFill="1" applyBorder="1" applyAlignment="1" applyProtection="1">
      <alignment horizontal="center" vertical="center"/>
      <protection hidden="1"/>
    </xf>
    <xf numFmtId="0" fontId="1" fillId="17" borderId="0" xfId="0" applyFont="1" applyFill="1" applyProtection="1">
      <protection hidden="1"/>
    </xf>
    <xf numFmtId="0" fontId="0" fillId="17" borderId="0" xfId="0" applyFill="1"/>
    <xf numFmtId="0" fontId="3" fillId="21" borderId="70" xfId="0" applyFont="1" applyFill="1" applyBorder="1" applyAlignment="1">
      <alignment horizontal="right"/>
    </xf>
    <xf numFmtId="49" fontId="3" fillId="21" borderId="71" xfId="0" applyNumberFormat="1" applyFont="1" applyFill="1" applyBorder="1" applyAlignment="1">
      <alignment horizontal="right"/>
    </xf>
    <xf numFmtId="0" fontId="0" fillId="0" borderId="13" xfId="0" applyFill="1" applyBorder="1"/>
    <xf numFmtId="0" fontId="0" fillId="23" borderId="0" xfId="0" applyFill="1"/>
    <xf numFmtId="164" fontId="1" fillId="23" borderId="0" xfId="0" applyNumberFormat="1" applyFont="1" applyFill="1" applyProtection="1">
      <protection hidden="1"/>
    </xf>
    <xf numFmtId="0" fontId="0" fillId="23" borderId="0" xfId="0" applyFill="1" applyProtection="1">
      <protection hidden="1"/>
    </xf>
    <xf numFmtId="164" fontId="7" fillId="23" borderId="0" xfId="0" applyNumberFormat="1" applyFont="1" applyFill="1" applyProtection="1">
      <protection hidden="1"/>
    </xf>
    <xf numFmtId="164" fontId="9" fillId="23" borderId="0" xfId="0" applyNumberFormat="1" applyFont="1" applyFill="1" applyAlignment="1" applyProtection="1">
      <alignment wrapText="1"/>
      <protection hidden="1"/>
    </xf>
    <xf numFmtId="164" fontId="0" fillId="23" borderId="0" xfId="0" applyNumberFormat="1" applyFill="1"/>
    <xf numFmtId="0" fontId="18" fillId="21" borderId="0" xfId="0" applyFont="1" applyFill="1" applyBorder="1" applyProtection="1">
      <protection locked="0"/>
    </xf>
    <xf numFmtId="0" fontId="0" fillId="14" borderId="0" xfId="0" applyFill="1"/>
    <xf numFmtId="0" fontId="0" fillId="21" borderId="13" xfId="0" applyFill="1" applyBorder="1"/>
    <xf numFmtId="0" fontId="3" fillId="19" borderId="13" xfId="0" applyFont="1" applyFill="1" applyBorder="1" applyProtection="1">
      <protection locked="0"/>
    </xf>
    <xf numFmtId="0" fontId="11" fillId="19" borderId="0" xfId="0" applyFont="1" applyFill="1" applyBorder="1" applyProtection="1">
      <protection locked="0"/>
    </xf>
    <xf numFmtId="0" fontId="13" fillId="21" borderId="0" xfId="0" applyFont="1" applyFill="1"/>
    <xf numFmtId="164" fontId="20" fillId="23" borderId="0" xfId="0" applyNumberFormat="1" applyFont="1" applyFill="1" applyProtection="1">
      <protection hidden="1"/>
    </xf>
    <xf numFmtId="0" fontId="25" fillId="17" borderId="4" xfId="0" applyFont="1" applyFill="1" applyBorder="1" applyAlignment="1" applyProtection="1">
      <alignment vertical="center"/>
      <protection hidden="1"/>
    </xf>
    <xf numFmtId="0" fontId="25" fillId="17" borderId="5" xfId="0" applyFont="1" applyFill="1" applyBorder="1" applyAlignment="1" applyProtection="1">
      <alignment vertical="center"/>
      <protection hidden="1"/>
    </xf>
    <xf numFmtId="0" fontId="25" fillId="17" borderId="0" xfId="0" applyFont="1" applyFill="1" applyBorder="1" applyAlignment="1" applyProtection="1">
      <alignment vertical="center"/>
      <protection hidden="1"/>
    </xf>
    <xf numFmtId="0" fontId="0" fillId="17" borderId="0" xfId="0" applyFont="1" applyFill="1" applyBorder="1" applyAlignment="1" applyProtection="1">
      <alignment vertical="center"/>
      <protection hidden="1"/>
    </xf>
    <xf numFmtId="0" fontId="0" fillId="17" borderId="0" xfId="0" applyFont="1" applyFill="1" applyBorder="1" applyAlignment="1" applyProtection="1">
      <alignment horizontal="right" vertical="center"/>
      <protection hidden="1"/>
    </xf>
    <xf numFmtId="0" fontId="25" fillId="17" borderId="0" xfId="0" applyFont="1" applyFill="1" applyProtection="1">
      <protection hidden="1"/>
    </xf>
    <xf numFmtId="0" fontId="0" fillId="17" borderId="0" xfId="0" applyFont="1" applyFill="1" applyProtection="1">
      <protection hidden="1"/>
    </xf>
    <xf numFmtId="0" fontId="25" fillId="17" borderId="7" xfId="0" applyFont="1" applyFill="1" applyBorder="1" applyAlignment="1" applyProtection="1">
      <alignment vertical="center"/>
      <protection hidden="1"/>
    </xf>
    <xf numFmtId="0" fontId="0" fillId="17" borderId="0" xfId="0" applyFont="1" applyFill="1" applyAlignment="1" applyProtection="1">
      <alignment vertical="center"/>
      <protection hidden="1"/>
    </xf>
    <xf numFmtId="0" fontId="31" fillId="17" borderId="0" xfId="0" applyFont="1" applyFill="1" applyProtection="1">
      <protection hidden="1"/>
    </xf>
    <xf numFmtId="0" fontId="25" fillId="17" borderId="0" xfId="0" applyFont="1" applyFill="1" applyBorder="1" applyAlignment="1" applyProtection="1">
      <alignment horizontal="left" vertical="center"/>
      <protection hidden="1"/>
    </xf>
    <xf numFmtId="0" fontId="25" fillId="17" borderId="15" xfId="0" applyFont="1" applyFill="1" applyBorder="1" applyAlignment="1" applyProtection="1">
      <alignment vertical="center"/>
      <protection hidden="1"/>
    </xf>
    <xf numFmtId="0" fontId="0" fillId="17" borderId="0" xfId="0" applyFont="1" applyFill="1" applyBorder="1" applyProtection="1">
      <protection hidden="1"/>
    </xf>
    <xf numFmtId="0" fontId="0" fillId="17" borderId="0" xfId="0" applyFont="1" applyFill="1"/>
    <xf numFmtId="0" fontId="34" fillId="12" borderId="1" xfId="0" applyFont="1" applyFill="1" applyBorder="1" applyAlignment="1" applyProtection="1">
      <alignment horizontal="centerContinuous" vertical="center"/>
      <protection hidden="1"/>
    </xf>
    <xf numFmtId="0" fontId="35" fillId="12" borderId="2" xfId="0" applyFont="1" applyFill="1" applyBorder="1" applyAlignment="1" applyProtection="1">
      <alignment horizontal="centerContinuous" vertical="center"/>
      <protection hidden="1"/>
    </xf>
    <xf numFmtId="0" fontId="35" fillId="12" borderId="3" xfId="0" applyFont="1" applyFill="1" applyBorder="1" applyAlignment="1" applyProtection="1">
      <alignment horizontal="centerContinuous" vertical="center"/>
      <protection hidden="1"/>
    </xf>
    <xf numFmtId="0" fontId="14" fillId="17" borderId="4" xfId="0" applyFont="1" applyFill="1" applyBorder="1" applyAlignment="1" applyProtection="1">
      <alignment vertical="center"/>
      <protection hidden="1"/>
    </xf>
    <xf numFmtId="0" fontId="14" fillId="17" borderId="5" xfId="0" applyFont="1" applyFill="1" applyBorder="1" applyAlignment="1" applyProtection="1">
      <alignment vertical="center"/>
      <protection hidden="1"/>
    </xf>
    <xf numFmtId="0" fontId="14" fillId="17" borderId="6" xfId="0" applyFont="1" applyFill="1" applyBorder="1" applyAlignment="1" applyProtection="1">
      <alignment vertical="center"/>
      <protection hidden="1"/>
    </xf>
    <xf numFmtId="0" fontId="14" fillId="17" borderId="7" xfId="0" applyFont="1" applyFill="1" applyBorder="1" applyAlignment="1" applyProtection="1">
      <alignment horizontal="left" vertical="center"/>
      <protection hidden="1"/>
    </xf>
    <xf numFmtId="0" fontId="14" fillId="17" borderId="0" xfId="0" applyFont="1" applyFill="1" applyBorder="1" applyAlignment="1" applyProtection="1">
      <alignment vertical="center"/>
      <protection hidden="1"/>
    </xf>
    <xf numFmtId="0" fontId="35" fillId="17" borderId="0" xfId="0" applyNumberFormat="1" applyFont="1" applyFill="1" applyBorder="1" applyAlignment="1" applyProtection="1">
      <alignment horizontal="justify" vertical="center"/>
      <protection hidden="1"/>
    </xf>
    <xf numFmtId="0" fontId="35" fillId="17" borderId="8" xfId="0" applyNumberFormat="1" applyFont="1" applyFill="1" applyBorder="1" applyAlignment="1" applyProtection="1">
      <alignment horizontal="justify" vertical="center"/>
      <protection hidden="1"/>
    </xf>
    <xf numFmtId="49" fontId="36" fillId="22" borderId="9" xfId="0" applyNumberFormat="1" applyFont="1" applyFill="1" applyBorder="1" applyAlignment="1" applyProtection="1">
      <alignment horizontal="center" vertical="center" shrinkToFit="1"/>
      <protection locked="0"/>
    </xf>
    <xf numFmtId="0" fontId="0" fillId="17" borderId="0" xfId="0" quotePrefix="1" applyFont="1" applyFill="1" applyBorder="1" applyAlignment="1" applyProtection="1">
      <alignment vertical="center"/>
      <protection hidden="1"/>
    </xf>
    <xf numFmtId="0" fontId="14" fillId="17" borderId="0" xfId="0" applyFont="1" applyFill="1" applyProtection="1">
      <protection hidden="1"/>
    </xf>
    <xf numFmtId="0" fontId="37" fillId="3" borderId="10" xfId="0" applyNumberFormat="1" applyFont="1" applyFill="1" applyBorder="1" applyAlignment="1" applyProtection="1">
      <alignment horizontal="center" vertical="center"/>
      <protection hidden="1"/>
    </xf>
    <xf numFmtId="0" fontId="35" fillId="17" borderId="11" xfId="0" applyNumberFormat="1" applyFont="1" applyFill="1" applyBorder="1" applyAlignment="1" applyProtection="1">
      <alignment horizontal="center" vertical="center"/>
      <protection hidden="1"/>
    </xf>
    <xf numFmtId="0" fontId="35" fillId="17" borderId="0" xfId="0" applyNumberFormat="1" applyFont="1" applyFill="1" applyBorder="1" applyAlignment="1" applyProtection="1">
      <alignment horizontal="left" vertical="center"/>
      <protection hidden="1"/>
    </xf>
    <xf numFmtId="165" fontId="37" fillId="3" borderId="10" xfId="0" applyNumberFormat="1" applyFont="1" applyFill="1" applyBorder="1" applyAlignment="1" applyProtection="1">
      <alignment horizontal="center" vertical="center"/>
      <protection hidden="1"/>
    </xf>
    <xf numFmtId="165" fontId="35" fillId="17" borderId="11" xfId="0" applyNumberFormat="1" applyFont="1" applyFill="1" applyBorder="1" applyAlignment="1" applyProtection="1">
      <alignment horizontal="center" vertical="center"/>
      <protection hidden="1"/>
    </xf>
    <xf numFmtId="165" fontId="35" fillId="17" borderId="0" xfId="0" applyNumberFormat="1" applyFont="1" applyFill="1" applyBorder="1" applyAlignment="1" applyProtection="1">
      <alignment horizontal="center" vertical="center"/>
      <protection hidden="1"/>
    </xf>
    <xf numFmtId="0" fontId="37" fillId="17" borderId="0" xfId="0" applyNumberFormat="1" applyFont="1" applyFill="1" applyBorder="1" applyAlignment="1" applyProtection="1">
      <alignment vertical="center"/>
      <protection hidden="1"/>
    </xf>
    <xf numFmtId="0" fontId="37" fillId="17" borderId="0" xfId="0" applyNumberFormat="1" applyFont="1" applyFill="1" applyBorder="1" applyAlignment="1" applyProtection="1">
      <alignment horizontal="left" vertical="center"/>
      <protection hidden="1"/>
    </xf>
    <xf numFmtId="0" fontId="38" fillId="17" borderId="0" xfId="0" applyNumberFormat="1" applyFont="1" applyFill="1" applyBorder="1" applyAlignment="1" applyProtection="1">
      <alignment horizontal="justify" vertical="center"/>
      <protection hidden="1"/>
    </xf>
    <xf numFmtId="0" fontId="38" fillId="17" borderId="8" xfId="0" applyNumberFormat="1" applyFont="1" applyFill="1" applyBorder="1" applyAlignment="1" applyProtection="1">
      <alignment horizontal="justify" vertical="center"/>
      <protection hidden="1"/>
    </xf>
    <xf numFmtId="0" fontId="0" fillId="17" borderId="7" xfId="0" applyFont="1" applyFill="1" applyBorder="1" applyAlignment="1" applyProtection="1">
      <alignment vertical="center"/>
      <protection hidden="1"/>
    </xf>
    <xf numFmtId="0" fontId="14" fillId="17" borderId="0" xfId="0" applyNumberFormat="1" applyFont="1" applyFill="1" applyAlignment="1" applyProtection="1">
      <alignment vertical="center"/>
      <protection hidden="1"/>
    </xf>
    <xf numFmtId="0" fontId="14" fillId="17" borderId="7" xfId="0" applyFont="1" applyFill="1" applyBorder="1" applyAlignment="1" applyProtection="1">
      <alignment vertical="center"/>
      <protection hidden="1"/>
    </xf>
    <xf numFmtId="3" fontId="36" fillId="22" borderId="13" xfId="0" applyNumberFormat="1" applyFont="1" applyFill="1" applyBorder="1" applyAlignment="1" applyProtection="1">
      <alignment horizontal="center" vertical="center"/>
      <protection locked="0"/>
    </xf>
    <xf numFmtId="0" fontId="36" fillId="22" borderId="13" xfId="0" applyNumberFormat="1" applyFont="1" applyFill="1" applyBorder="1" applyAlignment="1" applyProtection="1">
      <alignment horizontal="center" vertical="center"/>
      <protection locked="0"/>
    </xf>
    <xf numFmtId="0" fontId="37" fillId="17" borderId="0" xfId="0" applyNumberFormat="1" applyFont="1" applyFill="1" applyBorder="1" applyAlignment="1" applyProtection="1">
      <alignment horizontal="right" vertical="center"/>
      <protection hidden="1"/>
    </xf>
    <xf numFmtId="0" fontId="37" fillId="17" borderId="8" xfId="0" applyNumberFormat="1" applyFont="1" applyFill="1" applyBorder="1" applyAlignment="1" applyProtection="1">
      <alignment vertical="center"/>
      <protection hidden="1"/>
    </xf>
    <xf numFmtId="2" fontId="36" fillId="22" borderId="13" xfId="0" applyNumberFormat="1" applyFont="1" applyFill="1" applyBorder="1" applyAlignment="1" applyProtection="1">
      <alignment horizontal="center" vertical="center"/>
      <protection locked="0"/>
    </xf>
    <xf numFmtId="0" fontId="14" fillId="17" borderId="0" xfId="0" applyFont="1" applyFill="1" applyAlignment="1" applyProtection="1">
      <alignment vertical="center"/>
      <protection hidden="1"/>
    </xf>
    <xf numFmtId="10" fontId="37" fillId="3" borderId="10" xfId="0" applyNumberFormat="1" applyFont="1" applyFill="1" applyBorder="1" applyAlignment="1" applyProtection="1">
      <alignment horizontal="center" vertical="center"/>
      <protection hidden="1"/>
    </xf>
    <xf numFmtId="10" fontId="14" fillId="17" borderId="10" xfId="0" applyNumberFormat="1" applyFont="1" applyFill="1" applyBorder="1" applyAlignment="1" applyProtection="1">
      <alignment horizontal="center" vertical="center"/>
      <protection hidden="1"/>
    </xf>
    <xf numFmtId="0" fontId="37" fillId="17" borderId="0" xfId="0" quotePrefix="1" applyNumberFormat="1" applyFont="1" applyFill="1" applyBorder="1" applyAlignment="1" applyProtection="1">
      <alignment vertical="center"/>
      <protection hidden="1"/>
    </xf>
    <xf numFmtId="164" fontId="35" fillId="3" borderId="0" xfId="0" applyNumberFormat="1" applyFont="1" applyFill="1" applyBorder="1" applyAlignment="1" applyProtection="1">
      <alignment horizontal="center" vertical="center"/>
      <protection hidden="1"/>
    </xf>
    <xf numFmtId="166" fontId="37" fillId="17" borderId="0" xfId="0" applyNumberFormat="1" applyFont="1" applyFill="1" applyBorder="1" applyAlignment="1" applyProtection="1">
      <alignment horizontal="right" vertical="center"/>
      <protection hidden="1"/>
    </xf>
    <xf numFmtId="166" fontId="37" fillId="17" borderId="0" xfId="0" applyNumberFormat="1" applyFont="1" applyFill="1" applyBorder="1" applyAlignment="1" applyProtection="1">
      <alignment horizontal="center" vertical="center"/>
      <protection hidden="1"/>
    </xf>
    <xf numFmtId="164" fontId="35" fillId="17" borderId="0" xfId="0" applyNumberFormat="1" applyFont="1" applyFill="1" applyBorder="1" applyAlignment="1" applyProtection="1">
      <alignment horizontal="center" vertical="center"/>
      <protection hidden="1"/>
    </xf>
    <xf numFmtId="0" fontId="14" fillId="17" borderId="0" xfId="0" applyFont="1" applyFill="1" applyBorder="1" applyAlignment="1" applyProtection="1">
      <alignment horizontal="left" vertical="center"/>
      <protection hidden="1"/>
    </xf>
    <xf numFmtId="0" fontId="36" fillId="22" borderId="1" xfId="0" applyNumberFormat="1" applyFont="1" applyFill="1" applyBorder="1" applyAlignment="1" applyProtection="1">
      <alignment horizontal="center" vertical="center"/>
      <protection locked="0"/>
    </xf>
    <xf numFmtId="164" fontId="35" fillId="17" borderId="14" xfId="0" applyNumberFormat="1" applyFont="1" applyFill="1" applyBorder="1" applyAlignment="1" applyProtection="1">
      <alignment vertical="center"/>
      <protection hidden="1"/>
    </xf>
    <xf numFmtId="0" fontId="14" fillId="17" borderId="15" xfId="0" applyFont="1" applyFill="1" applyBorder="1" applyAlignment="1" applyProtection="1">
      <alignment vertical="center"/>
      <protection hidden="1"/>
    </xf>
    <xf numFmtId="0" fontId="35" fillId="17" borderId="15" xfId="0" applyNumberFormat="1" applyFont="1" applyFill="1" applyBorder="1" applyAlignment="1" applyProtection="1">
      <alignment vertical="center"/>
      <protection hidden="1"/>
    </xf>
    <xf numFmtId="0" fontId="37" fillId="17" borderId="16" xfId="0" applyNumberFormat="1" applyFont="1" applyFill="1" applyBorder="1" applyAlignment="1" applyProtection="1">
      <alignment vertical="center"/>
      <protection hidden="1"/>
    </xf>
    <xf numFmtId="0" fontId="40" fillId="17" borderId="0" xfId="0" applyFont="1" applyFill="1" applyProtection="1">
      <protection hidden="1"/>
    </xf>
    <xf numFmtId="0" fontId="14" fillId="17" borderId="4" xfId="0" applyFont="1" applyFill="1" applyBorder="1" applyAlignment="1" applyProtection="1">
      <alignment horizontal="left"/>
      <protection hidden="1"/>
    </xf>
    <xf numFmtId="0" fontId="14" fillId="17" borderId="5" xfId="0" applyFont="1" applyFill="1" applyBorder="1" applyProtection="1">
      <protection hidden="1"/>
    </xf>
    <xf numFmtId="0" fontId="14" fillId="17" borderId="6" xfId="0" applyFont="1" applyFill="1" applyBorder="1" applyProtection="1">
      <protection hidden="1"/>
    </xf>
    <xf numFmtId="0" fontId="14" fillId="17" borderId="0" xfId="0" applyFont="1" applyFill="1" applyBorder="1" applyProtection="1">
      <protection hidden="1"/>
    </xf>
    <xf numFmtId="0" fontId="36" fillId="17" borderId="0" xfId="0" applyFont="1" applyFill="1" applyBorder="1" applyAlignment="1" applyProtection="1">
      <alignment horizontal="left"/>
      <protection hidden="1"/>
    </xf>
    <xf numFmtId="0" fontId="14" fillId="17" borderId="8" xfId="0" applyFont="1" applyFill="1" applyBorder="1" applyProtection="1">
      <protection hidden="1"/>
    </xf>
    <xf numFmtId="0" fontId="14" fillId="17" borderId="0" xfId="0" applyFont="1" applyFill="1" applyBorder="1" applyAlignment="1" applyProtection="1">
      <alignment horizontal="left"/>
      <protection hidden="1"/>
    </xf>
    <xf numFmtId="0" fontId="14" fillId="17" borderId="0" xfId="0" quotePrefix="1" applyFont="1" applyFill="1" applyBorder="1" applyProtection="1">
      <protection hidden="1"/>
    </xf>
    <xf numFmtId="164" fontId="35" fillId="17" borderId="0" xfId="0" applyNumberFormat="1" applyFont="1" applyFill="1" applyBorder="1" applyProtection="1">
      <protection hidden="1"/>
    </xf>
    <xf numFmtId="0" fontId="14" fillId="17" borderId="15" xfId="0" applyFont="1" applyFill="1" applyBorder="1" applyProtection="1">
      <protection hidden="1"/>
    </xf>
    <xf numFmtId="0" fontId="14" fillId="17" borderId="16" xfId="0" applyFont="1" applyFill="1" applyBorder="1" applyProtection="1">
      <protection hidden="1"/>
    </xf>
    <xf numFmtId="0" fontId="14" fillId="3" borderId="0" xfId="0" applyNumberFormat="1" applyFont="1" applyFill="1" applyBorder="1" applyAlignment="1" applyProtection="1">
      <alignment horizontal="center" vertical="center"/>
      <protection hidden="1"/>
    </xf>
    <xf numFmtId="0" fontId="14" fillId="17" borderId="0" xfId="0" applyNumberFormat="1" applyFont="1" applyFill="1" applyBorder="1" applyAlignment="1" applyProtection="1">
      <alignment horizontal="center" vertical="center"/>
      <protection hidden="1"/>
    </xf>
    <xf numFmtId="0" fontId="35" fillId="17" borderId="11" xfId="0" applyFont="1" applyFill="1" applyBorder="1" applyAlignment="1" applyProtection="1">
      <alignment horizontal="center" vertical="center"/>
      <protection hidden="1"/>
    </xf>
    <xf numFmtId="0" fontId="35" fillId="17" borderId="0" xfId="0" applyFont="1" applyFill="1" applyBorder="1" applyAlignment="1" applyProtection="1">
      <alignment horizontal="center" vertical="center"/>
      <protection hidden="1"/>
    </xf>
    <xf numFmtId="0" fontId="0" fillId="3" borderId="12" xfId="0" applyFont="1" applyFill="1" applyBorder="1" applyAlignment="1" applyProtection="1">
      <alignment horizontal="center" vertical="center"/>
      <protection hidden="1"/>
    </xf>
    <xf numFmtId="0" fontId="35" fillId="17" borderId="0" xfId="0" applyFont="1" applyFill="1" applyBorder="1" applyAlignment="1" applyProtection="1">
      <alignment vertical="center"/>
      <protection hidden="1"/>
    </xf>
    <xf numFmtId="10" fontId="14" fillId="17" borderId="15" xfId="0" applyNumberFormat="1" applyFont="1" applyFill="1" applyBorder="1" applyAlignment="1" applyProtection="1">
      <alignment vertical="center"/>
      <protection hidden="1"/>
    </xf>
    <xf numFmtId="0" fontId="29" fillId="17" borderId="0" xfId="0" applyNumberFormat="1" applyFont="1" applyFill="1" applyBorder="1" applyAlignment="1" applyProtection="1">
      <alignment horizontal="center" vertical="center"/>
      <protection hidden="1"/>
    </xf>
    <xf numFmtId="0" fontId="25" fillId="17" borderId="0" xfId="0" applyNumberFormat="1" applyFont="1" applyFill="1" applyAlignment="1" applyProtection="1">
      <alignment vertical="center"/>
      <protection hidden="1"/>
    </xf>
    <xf numFmtId="0" fontId="25" fillId="17" borderId="0" xfId="0" applyFont="1" applyFill="1" applyAlignment="1" applyProtection="1">
      <alignment vertical="center"/>
      <protection hidden="1"/>
    </xf>
    <xf numFmtId="167" fontId="29" fillId="17" borderId="0" xfId="0" applyNumberFormat="1" applyFont="1" applyFill="1" applyBorder="1" applyAlignment="1" applyProtection="1">
      <alignment horizontal="center" vertical="center"/>
      <protection hidden="1"/>
    </xf>
    <xf numFmtId="0" fontId="35" fillId="17" borderId="8" xfId="0" applyFont="1" applyFill="1" applyBorder="1" applyAlignment="1" applyProtection="1">
      <alignment vertical="center"/>
      <protection hidden="1"/>
    </xf>
    <xf numFmtId="0" fontId="0" fillId="17" borderId="8" xfId="0" applyFont="1" applyFill="1" applyBorder="1" applyAlignment="1" applyProtection="1">
      <alignment vertical="center"/>
      <protection hidden="1"/>
    </xf>
    <xf numFmtId="0" fontId="31" fillId="17" borderId="0" xfId="0" applyFont="1" applyFill="1" applyBorder="1" applyAlignment="1" applyProtection="1">
      <alignment horizontal="left" vertical="center"/>
      <protection hidden="1"/>
    </xf>
    <xf numFmtId="0" fontId="28" fillId="17" borderId="0" xfId="0" applyFont="1" applyFill="1" applyProtection="1">
      <protection hidden="1"/>
    </xf>
    <xf numFmtId="0" fontId="25" fillId="17" borderId="0" xfId="0" applyFont="1" applyFill="1" applyBorder="1" applyAlignment="1" applyProtection="1">
      <alignment horizontal="right" vertical="center" indent="2"/>
      <protection hidden="1"/>
    </xf>
    <xf numFmtId="0" fontId="25" fillId="17" borderId="0" xfId="0" applyFont="1" applyFill="1" applyBorder="1" applyAlignment="1" applyProtection="1">
      <alignment horizontal="right" vertical="center"/>
      <protection hidden="1"/>
    </xf>
    <xf numFmtId="0" fontId="14" fillId="17" borderId="8" xfId="0" applyFont="1" applyFill="1" applyBorder="1" applyAlignment="1" applyProtection="1">
      <alignment vertical="center"/>
      <protection hidden="1"/>
    </xf>
    <xf numFmtId="14" fontId="26" fillId="22" borderId="13" xfId="0" applyNumberFormat="1" applyFont="1" applyFill="1" applyBorder="1" applyAlignment="1" applyProtection="1">
      <alignment horizontal="left" vertical="center"/>
      <protection locked="0"/>
    </xf>
    <xf numFmtId="0" fontId="14" fillId="17" borderId="14" xfId="0" applyFont="1" applyFill="1" applyBorder="1" applyAlignment="1" applyProtection="1">
      <alignment vertical="center"/>
      <protection hidden="1"/>
    </xf>
    <xf numFmtId="0" fontId="14" fillId="17" borderId="16" xfId="0" applyFont="1" applyFill="1" applyBorder="1" applyAlignment="1" applyProtection="1">
      <alignment vertical="center"/>
      <protection hidden="1"/>
    </xf>
    <xf numFmtId="0" fontId="33" fillId="17" borderId="15" xfId="0" applyFont="1" applyFill="1" applyBorder="1" applyProtection="1">
      <protection hidden="1"/>
    </xf>
    <xf numFmtId="0" fontId="33" fillId="17" borderId="5" xfId="0" applyFont="1" applyFill="1" applyBorder="1" applyProtection="1">
      <protection hidden="1"/>
    </xf>
    <xf numFmtId="0" fontId="31" fillId="23" borderId="0" xfId="0" applyFont="1" applyFill="1" applyProtection="1">
      <protection hidden="1"/>
    </xf>
    <xf numFmtId="0" fontId="31" fillId="23" borderId="0" xfId="0" applyFont="1" applyFill="1" applyAlignment="1" applyProtection="1">
      <alignment horizontal="center"/>
      <protection hidden="1"/>
    </xf>
    <xf numFmtId="0" fontId="31" fillId="17" borderId="0" xfId="0" quotePrefix="1" applyFont="1" applyFill="1" applyBorder="1" applyAlignment="1" applyProtection="1">
      <protection hidden="1"/>
    </xf>
    <xf numFmtId="164" fontId="42" fillId="17" borderId="0" xfId="0" applyNumberFormat="1" applyFont="1" applyFill="1" applyAlignment="1" applyProtection="1">
      <alignment horizontal="center"/>
      <protection hidden="1"/>
    </xf>
    <xf numFmtId="164" fontId="43" fillId="23" borderId="0" xfId="0" applyNumberFormat="1" applyFont="1" applyFill="1" applyProtection="1">
      <protection hidden="1"/>
    </xf>
    <xf numFmtId="0" fontId="31" fillId="23" borderId="9" xfId="0" applyFont="1" applyFill="1" applyBorder="1" applyAlignment="1" applyProtection="1">
      <alignment horizontal="center"/>
      <protection hidden="1"/>
    </xf>
    <xf numFmtId="0" fontId="32" fillId="17" borderId="0" xfId="0" applyFont="1" applyFill="1" applyAlignment="1" applyProtection="1">
      <alignment horizontal="center"/>
      <protection hidden="1"/>
    </xf>
    <xf numFmtId="0" fontId="31" fillId="23" borderId="17" xfId="0" applyFont="1" applyFill="1" applyBorder="1" applyAlignment="1" applyProtection="1">
      <alignment horizontal="center"/>
      <protection hidden="1"/>
    </xf>
    <xf numFmtId="0" fontId="31" fillId="23" borderId="18" xfId="0" applyFont="1" applyFill="1" applyBorder="1" applyAlignment="1" applyProtection="1">
      <alignment horizontal="center"/>
      <protection hidden="1"/>
    </xf>
    <xf numFmtId="0" fontId="31" fillId="17" borderId="0" xfId="0" applyFont="1" applyFill="1" applyBorder="1" applyAlignment="1" applyProtection="1">
      <protection hidden="1"/>
    </xf>
    <xf numFmtId="0" fontId="31" fillId="17" borderId="0" xfId="0" quotePrefix="1" applyFont="1" applyFill="1" applyBorder="1" applyAlignment="1" applyProtection="1">
      <alignment horizontal="right"/>
      <protection hidden="1"/>
    </xf>
    <xf numFmtId="0" fontId="44" fillId="23" borderId="0" xfId="0" applyFont="1" applyFill="1" applyProtection="1">
      <protection hidden="1"/>
    </xf>
    <xf numFmtId="0" fontId="45" fillId="23" borderId="0" xfId="0" applyFont="1" applyFill="1" applyProtection="1">
      <protection hidden="1"/>
    </xf>
    <xf numFmtId="164" fontId="45" fillId="23" borderId="0" xfId="0" applyNumberFormat="1" applyFont="1" applyFill="1" applyProtection="1">
      <protection hidden="1"/>
    </xf>
    <xf numFmtId="0" fontId="45" fillId="17" borderId="0" xfId="0" quotePrefix="1" applyFont="1" applyFill="1" applyBorder="1" applyAlignment="1" applyProtection="1">
      <protection hidden="1"/>
    </xf>
    <xf numFmtId="0" fontId="45" fillId="17" borderId="0" xfId="0" applyFont="1" applyFill="1" applyProtection="1">
      <protection hidden="1"/>
    </xf>
    <xf numFmtId="164" fontId="27" fillId="17" borderId="0" xfId="0" applyNumberFormat="1" applyFont="1" applyFill="1" applyProtection="1">
      <protection hidden="1"/>
    </xf>
    <xf numFmtId="164" fontId="45" fillId="17" borderId="0" xfId="0" applyNumberFormat="1" applyFont="1" applyFill="1" applyProtection="1">
      <protection hidden="1"/>
    </xf>
    <xf numFmtId="3" fontId="45" fillId="17" borderId="0" xfId="0" applyNumberFormat="1" applyFont="1" applyFill="1" applyProtection="1">
      <protection hidden="1"/>
    </xf>
    <xf numFmtId="0" fontId="42" fillId="12" borderId="1" xfId="0" applyFont="1" applyFill="1" applyBorder="1" applyProtection="1">
      <protection hidden="1"/>
    </xf>
    <xf numFmtId="0" fontId="27" fillId="12" borderId="2" xfId="0" applyFont="1" applyFill="1" applyBorder="1" applyAlignment="1" applyProtection="1">
      <alignment horizontal="left" vertical="center" indent="2"/>
      <protection hidden="1"/>
    </xf>
    <xf numFmtId="0" fontId="27" fillId="12" borderId="3" xfId="0" applyFont="1" applyFill="1" applyBorder="1" applyAlignment="1" applyProtection="1">
      <alignment horizontal="center"/>
      <protection hidden="1"/>
    </xf>
    <xf numFmtId="0" fontId="31" fillId="17" borderId="2" xfId="0" applyFont="1" applyFill="1" applyBorder="1" applyAlignment="1" applyProtection="1">
      <protection hidden="1"/>
    </xf>
    <xf numFmtId="0" fontId="42" fillId="10" borderId="13" xfId="0" quotePrefix="1" applyFont="1" applyFill="1" applyBorder="1" applyAlignment="1" applyProtection="1">
      <alignment horizontal="right"/>
      <protection hidden="1"/>
    </xf>
    <xf numFmtId="168" fontId="42" fillId="13" borderId="13" xfId="0" applyNumberFormat="1" applyFont="1" applyFill="1" applyBorder="1" applyAlignment="1" applyProtection="1">
      <alignment horizontal="right"/>
      <protection hidden="1"/>
    </xf>
    <xf numFmtId="168" fontId="42" fillId="12" borderId="13" xfId="0" applyNumberFormat="1" applyFont="1" applyFill="1" applyBorder="1" applyAlignment="1" applyProtection="1">
      <alignment horizontal="right"/>
      <protection hidden="1"/>
    </xf>
    <xf numFmtId="0" fontId="31" fillId="17" borderId="1" xfId="0" applyFont="1" applyFill="1" applyBorder="1" applyProtection="1">
      <protection hidden="1"/>
    </xf>
    <xf numFmtId="0" fontId="31" fillId="17" borderId="2" xfId="0" applyFont="1" applyFill="1" applyBorder="1" applyAlignment="1" applyProtection="1">
      <alignment horizontal="right"/>
      <protection hidden="1"/>
    </xf>
    <xf numFmtId="0" fontId="31" fillId="17" borderId="3" xfId="0" applyFont="1" applyFill="1" applyBorder="1" applyAlignment="1" applyProtection="1">
      <alignment horizontal="right"/>
      <protection hidden="1"/>
    </xf>
    <xf numFmtId="0" fontId="31" fillId="17" borderId="1" xfId="0" applyFont="1" applyFill="1" applyBorder="1" applyAlignment="1" applyProtection="1">
      <alignment vertical="center"/>
      <protection hidden="1"/>
    </xf>
    <xf numFmtId="0" fontId="31" fillId="17" borderId="2" xfId="0" applyFont="1" applyFill="1" applyBorder="1" applyAlignment="1" applyProtection="1">
      <alignment vertical="center"/>
      <protection hidden="1"/>
    </xf>
    <xf numFmtId="0" fontId="31" fillId="17" borderId="3" xfId="0" applyFont="1" applyFill="1" applyBorder="1" applyAlignment="1" applyProtection="1">
      <alignment vertical="center"/>
      <protection hidden="1"/>
    </xf>
    <xf numFmtId="0" fontId="32" fillId="17" borderId="0" xfId="0" applyFont="1" applyFill="1" applyBorder="1" applyAlignment="1" applyProtection="1">
      <alignment vertical="center"/>
      <protection hidden="1"/>
    </xf>
    <xf numFmtId="0" fontId="44" fillId="17" borderId="0" xfId="0" applyFont="1" applyFill="1" applyBorder="1" applyAlignment="1" applyProtection="1">
      <alignment vertical="center"/>
      <protection hidden="1"/>
    </xf>
    <xf numFmtId="0" fontId="31" fillId="17" borderId="0" xfId="0" applyFont="1" applyFill="1" applyBorder="1" applyAlignment="1" applyProtection="1">
      <alignment vertical="center"/>
      <protection hidden="1"/>
    </xf>
    <xf numFmtId="0" fontId="26" fillId="17" borderId="0" xfId="0" applyFont="1" applyFill="1" applyAlignment="1" applyProtection="1">
      <protection hidden="1"/>
    </xf>
    <xf numFmtId="0" fontId="27" fillId="17" borderId="0" xfId="0" applyFont="1" applyFill="1" applyAlignment="1" applyProtection="1">
      <alignment horizontal="right"/>
      <protection hidden="1"/>
    </xf>
    <xf numFmtId="0" fontId="31" fillId="17" borderId="1" xfId="0" applyFont="1" applyFill="1" applyBorder="1" applyAlignment="1" applyProtection="1">
      <protection hidden="1"/>
    </xf>
    <xf numFmtId="164" fontId="27" fillId="17" borderId="0" xfId="0" quotePrefix="1" applyNumberFormat="1" applyFont="1" applyFill="1" applyAlignment="1" applyProtection="1">
      <alignment horizontal="right"/>
      <protection hidden="1"/>
    </xf>
    <xf numFmtId="49" fontId="33" fillId="17" borderId="1" xfId="0" applyNumberFormat="1" applyFont="1" applyFill="1" applyBorder="1" applyAlignment="1" applyProtection="1">
      <alignment horizontal="left"/>
      <protection hidden="1"/>
    </xf>
    <xf numFmtId="49" fontId="33" fillId="17" borderId="2" xfId="0" applyNumberFormat="1" applyFont="1" applyFill="1" applyBorder="1" applyAlignment="1" applyProtection="1">
      <alignment horizontal="left"/>
      <protection hidden="1"/>
    </xf>
    <xf numFmtId="1" fontId="31" fillId="17" borderId="0" xfId="0" applyNumberFormat="1" applyFont="1" applyFill="1" applyBorder="1" applyAlignment="1" applyProtection="1">
      <alignment horizontal="right"/>
      <protection hidden="1"/>
    </xf>
    <xf numFmtId="0" fontId="27" fillId="17" borderId="0" xfId="0" quotePrefix="1" applyNumberFormat="1" applyFont="1" applyFill="1" applyAlignment="1" applyProtection="1">
      <alignment horizontal="right"/>
      <protection hidden="1"/>
    </xf>
    <xf numFmtId="0" fontId="31" fillId="6" borderId="4" xfId="0" applyFont="1" applyFill="1" applyBorder="1" applyAlignment="1" applyProtection="1">
      <alignment horizontal="right"/>
      <protection hidden="1"/>
    </xf>
    <xf numFmtId="0" fontId="33" fillId="22" borderId="5" xfId="0" applyFont="1" applyFill="1" applyBorder="1" applyAlignment="1" applyProtection="1">
      <alignment horizontal="left"/>
      <protection locked="0"/>
    </xf>
    <xf numFmtId="164" fontId="27" fillId="6" borderId="7" xfId="0" applyNumberFormat="1" applyFont="1" applyFill="1" applyBorder="1" applyAlignment="1" applyProtection="1">
      <alignment horizontal="left"/>
      <protection hidden="1"/>
    </xf>
    <xf numFmtId="0" fontId="31" fillId="17" borderId="15" xfId="0" applyFont="1" applyFill="1" applyBorder="1" applyAlignment="1" applyProtection="1">
      <alignment horizontal="left" shrinkToFit="1"/>
      <protection hidden="1"/>
    </xf>
    <xf numFmtId="3" fontId="31" fillId="17" borderId="16" xfId="0" applyNumberFormat="1" applyFont="1" applyFill="1" applyBorder="1" applyAlignment="1" applyProtection="1">
      <protection hidden="1"/>
    </xf>
    <xf numFmtId="164" fontId="27" fillId="6" borderId="14" xfId="0" applyNumberFormat="1" applyFont="1" applyFill="1" applyBorder="1" applyAlignment="1" applyProtection="1">
      <alignment horizontal="left"/>
      <protection hidden="1"/>
    </xf>
    <xf numFmtId="0" fontId="31" fillId="17" borderId="15" xfId="0" applyFont="1" applyFill="1" applyBorder="1" applyAlignment="1" applyProtection="1">
      <alignment horizontal="left"/>
      <protection hidden="1"/>
    </xf>
    <xf numFmtId="164" fontId="27" fillId="6" borderId="4" xfId="0" applyNumberFormat="1" applyFont="1" applyFill="1" applyBorder="1" applyAlignment="1" applyProtection="1">
      <alignment horizontal="left"/>
      <protection hidden="1"/>
    </xf>
    <xf numFmtId="164" fontId="27" fillId="17" borderId="5" xfId="0" applyNumberFormat="1" applyFont="1" applyFill="1" applyBorder="1" applyAlignment="1" applyProtection="1">
      <alignment horizontal="left"/>
      <protection hidden="1"/>
    </xf>
    <xf numFmtId="164" fontId="31" fillId="17" borderId="5" xfId="0" applyNumberFormat="1" applyFont="1" applyFill="1" applyBorder="1" applyAlignment="1" applyProtection="1">
      <protection hidden="1"/>
    </xf>
    <xf numFmtId="0" fontId="44" fillId="17" borderId="5" xfId="0" applyNumberFormat="1" applyFont="1" applyFill="1" applyBorder="1" applyAlignment="1" applyProtection="1">
      <alignment horizontal="right"/>
      <protection hidden="1"/>
    </xf>
    <xf numFmtId="164" fontId="27" fillId="17" borderId="0" xfId="0" quotePrefix="1" applyNumberFormat="1" applyFont="1" applyFill="1" applyBorder="1" applyAlignment="1" applyProtection="1">
      <alignment horizontal="left"/>
      <protection hidden="1"/>
    </xf>
    <xf numFmtId="164" fontId="31" fillId="17" borderId="0" xfId="0" applyNumberFormat="1" applyFont="1" applyFill="1" applyBorder="1" applyAlignment="1" applyProtection="1">
      <protection hidden="1"/>
    </xf>
    <xf numFmtId="0" fontId="44" fillId="17" borderId="0" xfId="0" applyNumberFormat="1" applyFont="1" applyFill="1" applyBorder="1" applyAlignment="1" applyProtection="1">
      <alignment horizontal="right"/>
      <protection hidden="1"/>
    </xf>
    <xf numFmtId="0" fontId="31" fillId="7" borderId="15" xfId="0" applyFont="1" applyFill="1" applyBorder="1" applyAlignment="1" applyProtection="1">
      <alignment horizontal="left" shrinkToFit="1"/>
      <protection hidden="1"/>
    </xf>
    <xf numFmtId="0" fontId="31" fillId="7" borderId="15" xfId="0" applyFont="1" applyFill="1" applyBorder="1" applyAlignment="1" applyProtection="1">
      <alignment horizontal="left"/>
      <protection hidden="1"/>
    </xf>
    <xf numFmtId="3" fontId="31" fillId="7" borderId="16" xfId="0" applyNumberFormat="1" applyFont="1" applyFill="1" applyBorder="1" applyAlignment="1" applyProtection="1">
      <protection hidden="1"/>
    </xf>
    <xf numFmtId="164" fontId="27" fillId="17" borderId="0" xfId="0" applyNumberFormat="1" applyFont="1" applyFill="1" applyBorder="1" applyAlignment="1" applyProtection="1">
      <alignment horizontal="left"/>
      <protection hidden="1"/>
    </xf>
    <xf numFmtId="164" fontId="27" fillId="17" borderId="7" xfId="0" applyNumberFormat="1" applyFont="1" applyFill="1" applyBorder="1" applyAlignment="1" applyProtection="1">
      <alignment horizontal="left"/>
      <protection hidden="1"/>
    </xf>
    <xf numFmtId="164" fontId="42" fillId="17" borderId="0" xfId="0" applyNumberFormat="1" applyFont="1" applyFill="1" applyBorder="1" applyAlignment="1" applyProtection="1">
      <alignment horizontal="right"/>
      <protection hidden="1"/>
    </xf>
    <xf numFmtId="0" fontId="33" fillId="17" borderId="4" xfId="0" applyFont="1" applyFill="1" applyBorder="1" applyAlignment="1" applyProtection="1">
      <protection hidden="1"/>
    </xf>
    <xf numFmtId="0" fontId="33" fillId="17" borderId="5" xfId="0" applyFont="1" applyFill="1" applyBorder="1" applyAlignment="1" applyProtection="1">
      <protection hidden="1"/>
    </xf>
    <xf numFmtId="0" fontId="31" fillId="17" borderId="5" xfId="0" applyFont="1" applyFill="1" applyBorder="1" applyAlignment="1" applyProtection="1">
      <protection hidden="1"/>
    </xf>
    <xf numFmtId="0" fontId="32" fillId="17" borderId="0" xfId="0" applyFont="1" applyFill="1" applyBorder="1" applyAlignment="1" applyProtection="1">
      <alignment horizontal="center"/>
      <protection hidden="1"/>
    </xf>
    <xf numFmtId="0" fontId="31" fillId="17" borderId="7" xfId="0" applyFont="1" applyFill="1" applyBorder="1" applyAlignment="1" applyProtection="1">
      <protection hidden="1"/>
    </xf>
    <xf numFmtId="164" fontId="27" fillId="17" borderId="0" xfId="0" applyNumberFormat="1" applyFont="1" applyFill="1" applyBorder="1" applyAlignment="1" applyProtection="1">
      <alignment horizontal="right"/>
      <protection hidden="1"/>
    </xf>
    <xf numFmtId="0" fontId="31" fillId="17" borderId="14" xfId="0" applyFont="1" applyFill="1" applyBorder="1" applyAlignment="1" applyProtection="1">
      <protection hidden="1"/>
    </xf>
    <xf numFmtId="0" fontId="31" fillId="17" borderId="15" xfId="0" applyFont="1" applyFill="1" applyBorder="1" applyAlignment="1" applyProtection="1">
      <protection hidden="1"/>
    </xf>
    <xf numFmtId="0" fontId="33" fillId="7" borderId="7" xfId="0" applyFont="1" applyFill="1" applyBorder="1" applyAlignment="1" applyProtection="1">
      <protection hidden="1"/>
    </xf>
    <xf numFmtId="0" fontId="31" fillId="7" borderId="0" xfId="0" applyFont="1" applyFill="1" applyBorder="1" applyAlignment="1" applyProtection="1">
      <protection hidden="1"/>
    </xf>
    <xf numFmtId="0" fontId="31" fillId="7" borderId="7" xfId="0" applyFont="1" applyFill="1" applyBorder="1" applyAlignment="1" applyProtection="1">
      <protection hidden="1"/>
    </xf>
    <xf numFmtId="0" fontId="31" fillId="7" borderId="14" xfId="0" applyFont="1" applyFill="1" applyBorder="1" applyAlignment="1" applyProtection="1">
      <protection hidden="1"/>
    </xf>
    <xf numFmtId="0" fontId="31" fillId="7" borderId="15" xfId="0" applyFont="1" applyFill="1" applyBorder="1" applyAlignment="1" applyProtection="1">
      <protection hidden="1"/>
    </xf>
    <xf numFmtId="0" fontId="31" fillId="17" borderId="0" xfId="0" applyFont="1" applyFill="1" applyBorder="1" applyAlignment="1" applyProtection="1">
      <alignment horizontal="right"/>
      <protection hidden="1"/>
    </xf>
    <xf numFmtId="0" fontId="31" fillId="17" borderId="2" xfId="0" quotePrefix="1" applyFont="1" applyFill="1" applyBorder="1" applyAlignment="1" applyProtection="1">
      <protection hidden="1"/>
    </xf>
    <xf numFmtId="0" fontId="46" fillId="17" borderId="4" xfId="0" applyFont="1" applyFill="1" applyBorder="1" applyAlignment="1" applyProtection="1">
      <protection hidden="1"/>
    </xf>
    <xf numFmtId="0" fontId="47" fillId="17" borderId="5" xfId="0" applyFont="1" applyFill="1" applyBorder="1" applyAlignment="1" applyProtection="1">
      <protection hidden="1"/>
    </xf>
    <xf numFmtId="0" fontId="47" fillId="17" borderId="7" xfId="0" applyFont="1" applyFill="1" applyBorder="1" applyAlignment="1" applyProtection="1">
      <protection hidden="1"/>
    </xf>
    <xf numFmtId="0" fontId="47" fillId="17" borderId="0" xfId="0" applyFont="1" applyFill="1" applyBorder="1" applyAlignment="1" applyProtection="1">
      <protection hidden="1"/>
    </xf>
    <xf numFmtId="0" fontId="47" fillId="17" borderId="14" xfId="0" applyFont="1" applyFill="1" applyBorder="1" applyAlignment="1" applyProtection="1">
      <protection hidden="1"/>
    </xf>
    <xf numFmtId="0" fontId="47" fillId="17" borderId="15" xfId="0" applyFont="1" applyFill="1" applyBorder="1" applyAlignment="1" applyProtection="1">
      <protection hidden="1"/>
    </xf>
    <xf numFmtId="0" fontId="47" fillId="17" borderId="1" xfId="0" applyFont="1" applyFill="1" applyBorder="1" applyAlignment="1" applyProtection="1">
      <protection hidden="1"/>
    </xf>
    <xf numFmtId="0" fontId="47" fillId="17" borderId="2" xfId="0" applyFont="1" applyFill="1" applyBorder="1" applyAlignment="1" applyProtection="1">
      <protection hidden="1"/>
    </xf>
    <xf numFmtId="0" fontId="27" fillId="17" borderId="0" xfId="0" applyFont="1" applyFill="1" applyProtection="1">
      <protection hidden="1"/>
    </xf>
    <xf numFmtId="3" fontId="47" fillId="17" borderId="0" xfId="0" applyNumberFormat="1" applyFont="1" applyFill="1" applyBorder="1" applyAlignment="1" applyProtection="1">
      <alignment horizontal="right"/>
      <protection hidden="1"/>
    </xf>
    <xf numFmtId="0" fontId="42" fillId="12" borderId="1" xfId="0" applyFont="1" applyFill="1" applyBorder="1" applyAlignment="1" applyProtection="1">
      <protection hidden="1"/>
    </xf>
    <xf numFmtId="0" fontId="42" fillId="12" borderId="2" xfId="0" applyFont="1" applyFill="1" applyBorder="1" applyAlignment="1" applyProtection="1">
      <alignment horizontal="left"/>
      <protection hidden="1"/>
    </xf>
    <xf numFmtId="0" fontId="47" fillId="17" borderId="4" xfId="0" applyFont="1" applyFill="1" applyBorder="1" applyAlignment="1" applyProtection="1">
      <protection hidden="1"/>
    </xf>
    <xf numFmtId="0" fontId="31" fillId="17" borderId="4" xfId="0" applyFont="1" applyFill="1" applyBorder="1" applyAlignment="1" applyProtection="1">
      <protection hidden="1"/>
    </xf>
    <xf numFmtId="3" fontId="31" fillId="17" borderId="16" xfId="0" applyNumberFormat="1" applyFont="1" applyFill="1" applyBorder="1" applyAlignment="1" applyProtection="1">
      <alignment horizontal="right"/>
      <protection hidden="1"/>
    </xf>
    <xf numFmtId="3" fontId="47" fillId="17" borderId="6" xfId="0" applyNumberFormat="1" applyFont="1" applyFill="1" applyBorder="1" applyAlignment="1" applyProtection="1">
      <alignment horizontal="right"/>
      <protection hidden="1"/>
    </xf>
    <xf numFmtId="3" fontId="47" fillId="17" borderId="8" xfId="0" applyNumberFormat="1" applyFont="1" applyFill="1" applyBorder="1" applyAlignment="1" applyProtection="1">
      <alignment horizontal="right"/>
      <protection hidden="1"/>
    </xf>
    <xf numFmtId="0" fontId="47" fillId="7" borderId="19" xfId="0" applyFont="1" applyFill="1" applyBorder="1" applyAlignment="1" applyProtection="1">
      <protection hidden="1"/>
    </xf>
    <xf numFmtId="0" fontId="47" fillId="7" borderId="20" xfId="0" applyFont="1" applyFill="1" applyBorder="1" applyAlignment="1" applyProtection="1">
      <protection hidden="1"/>
    </xf>
    <xf numFmtId="0" fontId="47" fillId="17" borderId="21" xfId="0" applyFont="1" applyFill="1" applyBorder="1" applyAlignment="1" applyProtection="1">
      <protection hidden="1"/>
    </xf>
    <xf numFmtId="0" fontId="31" fillId="17" borderId="23" xfId="0" quotePrefix="1" applyFont="1" applyFill="1" applyBorder="1" applyAlignment="1" applyProtection="1">
      <protection hidden="1"/>
    </xf>
    <xf numFmtId="0" fontId="47" fillId="17" borderId="20" xfId="0" applyFont="1" applyFill="1" applyBorder="1" applyAlignment="1" applyProtection="1">
      <alignment vertical="center"/>
      <protection hidden="1"/>
    </xf>
    <xf numFmtId="0" fontId="31" fillId="17" borderId="0" xfId="0" quotePrefix="1" applyFont="1" applyFill="1" applyBorder="1" applyAlignment="1" applyProtection="1">
      <alignment vertical="center"/>
      <protection hidden="1"/>
    </xf>
    <xf numFmtId="0" fontId="47" fillId="17" borderId="24" xfId="0" applyFont="1" applyFill="1" applyBorder="1" applyAlignment="1" applyProtection="1">
      <protection hidden="1"/>
    </xf>
    <xf numFmtId="0" fontId="31" fillId="17" borderId="26" xfId="0" quotePrefix="1" applyFont="1" applyFill="1" applyBorder="1" applyAlignment="1" applyProtection="1">
      <protection hidden="1"/>
    </xf>
    <xf numFmtId="0" fontId="47" fillId="17" borderId="20" xfId="0" applyFont="1" applyFill="1" applyBorder="1" applyAlignment="1" applyProtection="1">
      <protection hidden="1"/>
    </xf>
    <xf numFmtId="0" fontId="47" fillId="7" borderId="24" xfId="0" applyFont="1" applyFill="1" applyBorder="1" applyAlignment="1" applyProtection="1">
      <protection hidden="1"/>
    </xf>
    <xf numFmtId="0" fontId="31" fillId="17" borderId="26" xfId="0" applyFont="1" applyFill="1" applyBorder="1" applyAlignment="1" applyProtection="1">
      <protection hidden="1"/>
    </xf>
    <xf numFmtId="3" fontId="47" fillId="17" borderId="3" xfId="0" applyNumberFormat="1" applyFont="1" applyFill="1" applyBorder="1" applyAlignment="1" applyProtection="1">
      <alignment horizontal="right"/>
      <protection hidden="1"/>
    </xf>
    <xf numFmtId="0" fontId="48" fillId="17" borderId="4" xfId="0" applyFont="1" applyFill="1" applyBorder="1" applyAlignment="1" applyProtection="1">
      <protection hidden="1"/>
    </xf>
    <xf numFmtId="0" fontId="44" fillId="17" borderId="5" xfId="0" applyFont="1" applyFill="1" applyBorder="1" applyAlignment="1" applyProtection="1">
      <protection hidden="1"/>
    </xf>
    <xf numFmtId="0" fontId="47" fillId="17" borderId="5" xfId="0" applyFont="1" applyFill="1" applyBorder="1" applyAlignment="1" applyProtection="1">
      <alignment horizontal="right"/>
      <protection hidden="1"/>
    </xf>
    <xf numFmtId="3" fontId="47" fillId="17" borderId="5" xfId="0" quotePrefix="1" applyNumberFormat="1" applyFont="1" applyFill="1" applyBorder="1" applyAlignment="1" applyProtection="1">
      <protection hidden="1"/>
    </xf>
    <xf numFmtId="3" fontId="47" fillId="17" borderId="5" xfId="0" applyNumberFormat="1" applyFont="1" applyFill="1" applyBorder="1" applyAlignment="1" applyProtection="1">
      <alignment horizontal="right"/>
      <protection hidden="1"/>
    </xf>
    <xf numFmtId="0" fontId="44" fillId="17" borderId="0" xfId="0" applyFont="1" applyFill="1" applyBorder="1" applyAlignment="1" applyProtection="1">
      <protection hidden="1"/>
    </xf>
    <xf numFmtId="0" fontId="47" fillId="17" borderId="0" xfId="0" applyFont="1" applyFill="1" applyBorder="1" applyAlignment="1" applyProtection="1">
      <alignment horizontal="right"/>
      <protection hidden="1"/>
    </xf>
    <xf numFmtId="3" fontId="47" fillId="17" borderId="0" xfId="0" quotePrefix="1" applyNumberFormat="1" applyFont="1" applyFill="1" applyBorder="1" applyAlignment="1" applyProtection="1">
      <protection hidden="1"/>
    </xf>
    <xf numFmtId="3" fontId="31" fillId="17" borderId="0" xfId="0" quotePrefix="1" applyNumberFormat="1" applyFont="1" applyFill="1" applyBorder="1" applyAlignment="1" applyProtection="1">
      <protection hidden="1"/>
    </xf>
    <xf numFmtId="3" fontId="31" fillId="17" borderId="0" xfId="0" applyNumberFormat="1" applyFont="1" applyFill="1" applyBorder="1" applyAlignment="1" applyProtection="1">
      <alignment horizontal="right"/>
      <protection hidden="1"/>
    </xf>
    <xf numFmtId="164" fontId="27" fillId="17" borderId="0" xfId="0" applyNumberFormat="1" applyFont="1" applyFill="1" applyBorder="1" applyAlignment="1" applyProtection="1">
      <protection hidden="1"/>
    </xf>
    <xf numFmtId="168" fontId="31" fillId="17" borderId="0" xfId="0" applyNumberFormat="1" applyFont="1" applyFill="1" applyBorder="1" applyAlignment="1" applyProtection="1">
      <alignment horizontal="right"/>
      <protection hidden="1"/>
    </xf>
    <xf numFmtId="0" fontId="31" fillId="17" borderId="0" xfId="0" applyFont="1" applyFill="1" applyBorder="1" applyProtection="1">
      <protection hidden="1"/>
    </xf>
    <xf numFmtId="0" fontId="27" fillId="12" borderId="2" xfId="0" applyFont="1" applyFill="1" applyBorder="1" applyAlignment="1" applyProtection="1">
      <alignment horizontal="left" indent="2"/>
      <protection hidden="1"/>
    </xf>
    <xf numFmtId="0" fontId="49" fillId="17" borderId="7" xfId="0" applyFont="1" applyFill="1" applyBorder="1" applyProtection="1">
      <protection hidden="1"/>
    </xf>
    <xf numFmtId="0" fontId="31" fillId="0" borderId="7" xfId="0" applyFont="1" applyFill="1" applyBorder="1" applyProtection="1">
      <protection hidden="1"/>
    </xf>
    <xf numFmtId="0" fontId="31" fillId="22" borderId="0" xfId="0" applyNumberFormat="1" applyFont="1" applyFill="1" applyBorder="1" applyProtection="1">
      <protection locked="0"/>
    </xf>
    <xf numFmtId="0" fontId="31" fillId="17" borderId="0" xfId="0" applyFont="1" applyFill="1" applyBorder="1" applyAlignment="1" applyProtection="1">
      <alignment horizontal="left"/>
      <protection hidden="1"/>
    </xf>
    <xf numFmtId="0" fontId="31" fillId="22" borderId="27" xfId="0" applyNumberFormat="1" applyFont="1" applyFill="1" applyBorder="1" applyProtection="1">
      <protection locked="0"/>
    </xf>
    <xf numFmtId="0" fontId="33" fillId="17" borderId="4" xfId="0" applyFont="1" applyFill="1" applyBorder="1" applyProtection="1">
      <protection hidden="1"/>
    </xf>
    <xf numFmtId="0" fontId="50" fillId="17" borderId="0" xfId="0" applyFont="1" applyFill="1" applyBorder="1" applyProtection="1">
      <protection hidden="1"/>
    </xf>
    <xf numFmtId="0" fontId="50" fillId="17" borderId="7" xfId="0" applyFont="1" applyFill="1" applyBorder="1" applyProtection="1">
      <protection hidden="1"/>
    </xf>
    <xf numFmtId="0" fontId="50" fillId="17" borderId="0" xfId="0" quotePrefix="1" applyFont="1" applyFill="1" applyBorder="1" applyProtection="1">
      <protection hidden="1"/>
    </xf>
    <xf numFmtId="0" fontId="31" fillId="17" borderId="7" xfId="0" applyFont="1" applyFill="1" applyBorder="1" applyProtection="1">
      <protection hidden="1"/>
    </xf>
    <xf numFmtId="0" fontId="31" fillId="17" borderId="29" xfId="0" applyFont="1" applyFill="1" applyBorder="1" applyProtection="1">
      <protection hidden="1"/>
    </xf>
    <xf numFmtId="0" fontId="31" fillId="17" borderId="26" xfId="0" applyFont="1" applyFill="1" applyBorder="1" applyProtection="1">
      <protection hidden="1"/>
    </xf>
    <xf numFmtId="0" fontId="31" fillId="22" borderId="23" xfId="0" applyNumberFormat="1" applyFont="1" applyFill="1" applyBorder="1" applyProtection="1">
      <protection locked="0"/>
    </xf>
    <xf numFmtId="0" fontId="31" fillId="17" borderId="23" xfId="0" applyFont="1" applyFill="1" applyBorder="1" applyAlignment="1" applyProtection="1">
      <protection hidden="1"/>
    </xf>
    <xf numFmtId="0" fontId="31" fillId="22" borderId="26" xfId="0" applyNumberFormat="1" applyFont="1" applyFill="1" applyBorder="1" applyProtection="1">
      <protection locked="0"/>
    </xf>
    <xf numFmtId="0" fontId="31" fillId="17" borderId="0" xfId="0" applyNumberFormat="1" applyFont="1" applyFill="1" applyBorder="1" applyProtection="1">
      <protection hidden="1"/>
    </xf>
    <xf numFmtId="0" fontId="31" fillId="0" borderId="0" xfId="0" applyFont="1" applyFill="1" applyBorder="1" applyProtection="1">
      <protection hidden="1"/>
    </xf>
    <xf numFmtId="0" fontId="50" fillId="17" borderId="0" xfId="0" applyFont="1" applyFill="1" applyProtection="1">
      <protection hidden="1"/>
    </xf>
    <xf numFmtId="0" fontId="52" fillId="17" borderId="0" xfId="0" applyFont="1" applyFill="1" applyBorder="1" applyProtection="1">
      <protection hidden="1"/>
    </xf>
    <xf numFmtId="3" fontId="32" fillId="17" borderId="0" xfId="0" applyNumberFormat="1" applyFont="1" applyFill="1" applyBorder="1" applyAlignment="1" applyProtection="1">
      <alignment horizontal="center"/>
      <protection hidden="1"/>
    </xf>
    <xf numFmtId="0" fontId="31" fillId="22" borderId="0" xfId="0" applyFont="1" applyFill="1" applyBorder="1" applyProtection="1">
      <protection locked="0"/>
    </xf>
    <xf numFmtId="0" fontId="44" fillId="17" borderId="0" xfId="0" applyFont="1" applyFill="1" applyAlignment="1" applyProtection="1">
      <alignment horizontal="center"/>
      <protection hidden="1"/>
    </xf>
    <xf numFmtId="0" fontId="31" fillId="17" borderId="7" xfId="0" applyFont="1" applyFill="1" applyBorder="1" applyAlignment="1" applyProtection="1">
      <alignment horizontal="left"/>
      <protection hidden="1"/>
    </xf>
    <xf numFmtId="3" fontId="31" fillId="17" borderId="5" xfId="0" applyNumberFormat="1" applyFont="1" applyFill="1" applyBorder="1" applyAlignment="1" applyProtection="1">
      <protection hidden="1"/>
    </xf>
    <xf numFmtId="0" fontId="50" fillId="17" borderId="14" xfId="0" applyFont="1" applyFill="1" applyBorder="1" applyProtection="1">
      <protection hidden="1"/>
    </xf>
    <xf numFmtId="0" fontId="52" fillId="17" borderId="15" xfId="0" applyFont="1" applyFill="1" applyBorder="1" applyProtection="1">
      <protection hidden="1"/>
    </xf>
    <xf numFmtId="0" fontId="33" fillId="17" borderId="0" xfId="0" applyNumberFormat="1" applyFont="1" applyFill="1" applyBorder="1" applyProtection="1">
      <protection hidden="1"/>
    </xf>
    <xf numFmtId="0" fontId="31" fillId="17" borderId="15" xfId="0" applyNumberFormat="1" applyFont="1" applyFill="1" applyBorder="1" applyAlignment="1" applyProtection="1">
      <protection hidden="1"/>
    </xf>
    <xf numFmtId="174" fontId="31" fillId="17" borderId="15" xfId="0" applyNumberFormat="1" applyFont="1" applyFill="1" applyBorder="1" applyAlignment="1" applyProtection="1">
      <alignment horizontal="right"/>
      <protection hidden="1"/>
    </xf>
    <xf numFmtId="0" fontId="31" fillId="17" borderId="15" xfId="0" applyNumberFormat="1" applyFont="1" applyFill="1" applyBorder="1" applyAlignment="1" applyProtection="1">
      <alignment horizontal="right"/>
      <protection hidden="1"/>
    </xf>
    <xf numFmtId="0" fontId="31" fillId="17" borderId="15" xfId="0" applyNumberFormat="1" applyFont="1" applyFill="1" applyBorder="1" applyProtection="1">
      <protection hidden="1"/>
    </xf>
    <xf numFmtId="0" fontId="33" fillId="17" borderId="4" xfId="0" applyNumberFormat="1" applyFont="1" applyFill="1" applyBorder="1" applyProtection="1">
      <protection hidden="1"/>
    </xf>
    <xf numFmtId="0" fontId="33" fillId="17" borderId="5" xfId="0" applyNumberFormat="1" applyFont="1" applyFill="1" applyBorder="1" applyProtection="1">
      <protection hidden="1"/>
    </xf>
    <xf numFmtId="0" fontId="31" fillId="17" borderId="5" xfId="0" applyNumberFormat="1" applyFont="1" applyFill="1" applyBorder="1" applyAlignment="1" applyProtection="1">
      <protection hidden="1"/>
    </xf>
    <xf numFmtId="0" fontId="33" fillId="17" borderId="14" xfId="0" applyNumberFormat="1" applyFont="1" applyFill="1" applyBorder="1" applyProtection="1">
      <protection hidden="1"/>
    </xf>
    <xf numFmtId="0" fontId="33" fillId="17" borderId="15" xfId="0" applyNumberFormat="1" applyFont="1" applyFill="1" applyBorder="1" applyProtection="1">
      <protection hidden="1"/>
    </xf>
    <xf numFmtId="0" fontId="33" fillId="17" borderId="7" xfId="0" applyNumberFormat="1" applyFont="1" applyFill="1" applyBorder="1" applyProtection="1">
      <protection hidden="1"/>
    </xf>
    <xf numFmtId="0" fontId="31" fillId="17" borderId="0" xfId="0" applyNumberFormat="1" applyFont="1" applyFill="1" applyBorder="1" applyAlignment="1" applyProtection="1">
      <protection hidden="1"/>
    </xf>
    <xf numFmtId="0" fontId="31" fillId="17" borderId="14" xfId="0" applyNumberFormat="1" applyFont="1" applyFill="1" applyBorder="1" applyProtection="1">
      <protection hidden="1"/>
    </xf>
    <xf numFmtId="0" fontId="31" fillId="17" borderId="4" xfId="0" applyNumberFormat="1" applyFont="1" applyFill="1" applyBorder="1" applyProtection="1">
      <protection hidden="1"/>
    </xf>
    <xf numFmtId="0" fontId="31" fillId="17" borderId="5" xfId="0" applyNumberFormat="1" applyFont="1" applyFill="1" applyBorder="1" applyProtection="1">
      <protection hidden="1"/>
    </xf>
    <xf numFmtId="0" fontId="31" fillId="17" borderId="5" xfId="0" quotePrefix="1" applyNumberFormat="1" applyFont="1" applyFill="1" applyBorder="1" applyAlignment="1" applyProtection="1">
      <protection hidden="1"/>
    </xf>
    <xf numFmtId="0" fontId="31" fillId="17" borderId="7" xfId="0" applyNumberFormat="1" applyFont="1" applyFill="1" applyBorder="1" applyProtection="1">
      <protection hidden="1"/>
    </xf>
    <xf numFmtId="0" fontId="31" fillId="17" borderId="0" xfId="0" quotePrefix="1" applyNumberFormat="1" applyFont="1" applyFill="1" applyBorder="1" applyAlignment="1" applyProtection="1">
      <protection hidden="1"/>
    </xf>
    <xf numFmtId="0" fontId="31" fillId="17" borderId="15" xfId="0" quotePrefix="1" applyNumberFormat="1" applyFont="1" applyFill="1" applyBorder="1" applyAlignment="1" applyProtection="1">
      <protection hidden="1"/>
    </xf>
    <xf numFmtId="0" fontId="46" fillId="17" borderId="0" xfId="0" applyNumberFormat="1" applyFont="1" applyFill="1" applyBorder="1" applyProtection="1">
      <protection hidden="1"/>
    </xf>
    <xf numFmtId="0" fontId="47" fillId="17" borderId="0" xfId="0" applyNumberFormat="1" applyFont="1" applyFill="1" applyBorder="1" applyProtection="1">
      <protection hidden="1"/>
    </xf>
    <xf numFmtId="174" fontId="33" fillId="17" borderId="0" xfId="0" applyNumberFormat="1" applyFont="1" applyFill="1" applyBorder="1" applyAlignment="1" applyProtection="1">
      <alignment horizontal="right"/>
      <protection hidden="1"/>
    </xf>
    <xf numFmtId="0" fontId="47" fillId="17" borderId="1" xfId="0" applyNumberFormat="1" applyFont="1" applyFill="1" applyBorder="1" applyProtection="1">
      <protection hidden="1"/>
    </xf>
    <xf numFmtId="0" fontId="47" fillId="17" borderId="2" xfId="0" applyNumberFormat="1" applyFont="1" applyFill="1" applyBorder="1" applyProtection="1">
      <protection hidden="1"/>
    </xf>
    <xf numFmtId="0" fontId="31" fillId="17" borderId="2" xfId="0" applyNumberFormat="1" applyFont="1" applyFill="1" applyBorder="1" applyAlignment="1" applyProtection="1">
      <protection hidden="1"/>
    </xf>
    <xf numFmtId="0" fontId="47" fillId="17" borderId="4" xfId="0" applyNumberFormat="1" applyFont="1" applyFill="1" applyBorder="1" applyProtection="1">
      <protection hidden="1"/>
    </xf>
    <xf numFmtId="0" fontId="47" fillId="17" borderId="5" xfId="0" applyNumberFormat="1" applyFont="1" applyFill="1" applyBorder="1" applyProtection="1">
      <protection hidden="1"/>
    </xf>
    <xf numFmtId="0" fontId="47" fillId="17" borderId="7" xfId="0" applyNumberFormat="1" applyFont="1" applyFill="1" applyBorder="1" applyProtection="1">
      <protection hidden="1"/>
    </xf>
    <xf numFmtId="0" fontId="47" fillId="17" borderId="14" xfId="0" applyNumberFormat="1" applyFont="1" applyFill="1" applyBorder="1" applyProtection="1">
      <protection hidden="1"/>
    </xf>
    <xf numFmtId="0" fontId="47" fillId="17" borderId="15" xfId="0" applyNumberFormat="1" applyFont="1" applyFill="1" applyBorder="1" applyProtection="1">
      <protection hidden="1"/>
    </xf>
    <xf numFmtId="0" fontId="46" fillId="17" borderId="4" xfId="0" applyNumberFormat="1" applyFont="1" applyFill="1" applyBorder="1" applyProtection="1">
      <protection hidden="1"/>
    </xf>
    <xf numFmtId="0" fontId="46" fillId="17" borderId="5" xfId="0" applyNumberFormat="1" applyFont="1" applyFill="1" applyBorder="1" applyProtection="1">
      <protection hidden="1"/>
    </xf>
    <xf numFmtId="0" fontId="46" fillId="17" borderId="14" xfId="0" applyNumberFormat="1" applyFont="1" applyFill="1" applyBorder="1" applyProtection="1">
      <protection hidden="1"/>
    </xf>
    <xf numFmtId="0" fontId="46" fillId="17" borderId="15" xfId="0" applyNumberFormat="1" applyFont="1" applyFill="1" applyBorder="1" applyProtection="1">
      <protection hidden="1"/>
    </xf>
    <xf numFmtId="0" fontId="46" fillId="17" borderId="7" xfId="0" applyNumberFormat="1" applyFont="1" applyFill="1" applyBorder="1" applyProtection="1">
      <protection hidden="1"/>
    </xf>
    <xf numFmtId="0" fontId="32" fillId="17" borderId="5" xfId="0" applyNumberFormat="1" applyFont="1" applyFill="1" applyBorder="1" applyProtection="1">
      <protection hidden="1"/>
    </xf>
    <xf numFmtId="0" fontId="44" fillId="17" borderId="5" xfId="0" applyNumberFormat="1" applyFont="1" applyFill="1" applyBorder="1" applyProtection="1">
      <protection hidden="1"/>
    </xf>
    <xf numFmtId="174" fontId="32" fillId="17" borderId="5" xfId="0" applyNumberFormat="1" applyFont="1" applyFill="1" applyBorder="1" applyAlignment="1" applyProtection="1">
      <alignment horizontal="right"/>
      <protection hidden="1"/>
    </xf>
    <xf numFmtId="174" fontId="32" fillId="17" borderId="5" xfId="0" applyNumberFormat="1" applyFont="1" applyFill="1" applyBorder="1" applyProtection="1">
      <protection hidden="1"/>
    </xf>
    <xf numFmtId="10" fontId="31" fillId="17" borderId="0" xfId="0" applyNumberFormat="1" applyFont="1" applyFill="1" applyProtection="1">
      <protection hidden="1"/>
    </xf>
    <xf numFmtId="0" fontId="31" fillId="17" borderId="0" xfId="0" applyNumberFormat="1" applyFont="1" applyFill="1" applyProtection="1">
      <protection hidden="1"/>
    </xf>
    <xf numFmtId="0" fontId="31" fillId="17" borderId="5" xfId="0" applyFont="1" applyFill="1" applyBorder="1" applyProtection="1">
      <protection hidden="1"/>
    </xf>
    <xf numFmtId="0" fontId="31" fillId="17" borderId="7" xfId="0" applyFont="1" applyFill="1" applyBorder="1" applyAlignment="1" applyProtection="1">
      <alignment horizontal="right"/>
      <protection hidden="1"/>
    </xf>
    <xf numFmtId="3" fontId="31" fillId="3" borderId="0" xfId="0" applyNumberFormat="1" applyFont="1" applyFill="1" applyBorder="1" applyProtection="1">
      <protection hidden="1"/>
    </xf>
    <xf numFmtId="0" fontId="31" fillId="17" borderId="15" xfId="0" applyFont="1" applyFill="1" applyBorder="1" applyProtection="1">
      <protection hidden="1"/>
    </xf>
    <xf numFmtId="0" fontId="31" fillId="17" borderId="86" xfId="0" applyFont="1" applyFill="1" applyBorder="1" applyProtection="1">
      <protection hidden="1"/>
    </xf>
    <xf numFmtId="0" fontId="31" fillId="17" borderId="86" xfId="0" applyFont="1" applyFill="1" applyBorder="1" applyAlignment="1" applyProtection="1">
      <protection hidden="1"/>
    </xf>
    <xf numFmtId="0" fontId="31" fillId="17" borderId="14" xfId="0" applyFont="1" applyFill="1" applyBorder="1" applyAlignment="1" applyProtection="1">
      <alignment horizontal="right"/>
      <protection hidden="1"/>
    </xf>
    <xf numFmtId="0" fontId="31" fillId="17" borderId="2" xfId="0" applyFont="1" applyFill="1" applyBorder="1" applyProtection="1">
      <protection hidden="1"/>
    </xf>
    <xf numFmtId="3" fontId="31" fillId="17" borderId="8" xfId="0" applyNumberFormat="1" applyFont="1" applyFill="1" applyBorder="1" applyProtection="1">
      <protection hidden="1"/>
    </xf>
    <xf numFmtId="0" fontId="31" fillId="3" borderId="0" xfId="0" applyFont="1" applyFill="1" applyBorder="1" applyProtection="1">
      <protection hidden="1"/>
    </xf>
    <xf numFmtId="0" fontId="31" fillId="17" borderId="30" xfId="0" applyFont="1" applyFill="1" applyBorder="1" applyProtection="1">
      <protection hidden="1"/>
    </xf>
    <xf numFmtId="0" fontId="31" fillId="17" borderId="30" xfId="0" applyFont="1" applyFill="1" applyBorder="1" applyAlignment="1" applyProtection="1">
      <protection hidden="1"/>
    </xf>
    <xf numFmtId="0" fontId="33" fillId="17" borderId="1" xfId="0" applyFont="1" applyFill="1" applyBorder="1" applyProtection="1">
      <protection hidden="1"/>
    </xf>
    <xf numFmtId="0" fontId="33" fillId="17" borderId="2" xfId="0" applyFont="1" applyFill="1" applyBorder="1" applyProtection="1">
      <protection hidden="1"/>
    </xf>
    <xf numFmtId="174" fontId="31" fillId="17" borderId="0" xfId="0" quotePrefix="1" applyNumberFormat="1" applyFont="1" applyFill="1" applyBorder="1" applyAlignment="1" applyProtection="1">
      <protection hidden="1"/>
    </xf>
    <xf numFmtId="174" fontId="31" fillId="17" borderId="0" xfId="0" applyNumberFormat="1" applyFont="1" applyFill="1" applyProtection="1">
      <protection hidden="1"/>
    </xf>
    <xf numFmtId="3" fontId="31" fillId="17" borderId="0" xfId="0" applyNumberFormat="1" applyFont="1" applyFill="1" applyBorder="1" applyProtection="1">
      <protection hidden="1"/>
    </xf>
    <xf numFmtId="0" fontId="26" fillId="17" borderId="0" xfId="0" applyFont="1" applyFill="1" applyBorder="1" applyAlignment="1" applyProtection="1">
      <protection hidden="1"/>
    </xf>
    <xf numFmtId="0" fontId="31" fillId="17" borderId="4" xfId="0" applyFont="1" applyFill="1" applyBorder="1" applyProtection="1">
      <protection hidden="1"/>
    </xf>
    <xf numFmtId="0" fontId="31" fillId="17" borderId="14" xfId="0" applyFont="1" applyFill="1" applyBorder="1" applyProtection="1">
      <protection hidden="1"/>
    </xf>
    <xf numFmtId="0" fontId="47" fillId="17" borderId="7" xfId="0" applyFont="1" applyFill="1" applyBorder="1" applyProtection="1">
      <protection hidden="1"/>
    </xf>
    <xf numFmtId="0" fontId="47" fillId="17" borderId="0" xfId="0" applyFont="1" applyFill="1" applyBorder="1" applyProtection="1">
      <protection hidden="1"/>
    </xf>
    <xf numFmtId="0" fontId="33" fillId="17" borderId="31" xfId="0" applyFont="1" applyFill="1" applyBorder="1" applyProtection="1">
      <protection hidden="1"/>
    </xf>
    <xf numFmtId="0" fontId="33" fillId="17" borderId="32" xfId="0" applyFont="1" applyFill="1" applyBorder="1" applyProtection="1">
      <protection hidden="1"/>
    </xf>
    <xf numFmtId="0" fontId="31" fillId="17" borderId="32" xfId="0" applyFont="1" applyFill="1" applyBorder="1" applyAlignment="1" applyProtection="1">
      <protection hidden="1"/>
    </xf>
    <xf numFmtId="0" fontId="33" fillId="17" borderId="0" xfId="0" applyFont="1" applyFill="1" applyProtection="1">
      <protection hidden="1"/>
    </xf>
    <xf numFmtId="0" fontId="31" fillId="22" borderId="1" xfId="0" applyFont="1" applyFill="1" applyBorder="1" applyProtection="1">
      <protection locked="0"/>
    </xf>
    <xf numFmtId="0" fontId="31" fillId="22" borderId="2" xfId="0" applyFont="1" applyFill="1" applyBorder="1" applyProtection="1">
      <protection locked="0"/>
    </xf>
    <xf numFmtId="0" fontId="31" fillId="17" borderId="14" xfId="0" applyFont="1" applyFill="1" applyBorder="1" applyAlignment="1" applyProtection="1">
      <alignment horizontal="left"/>
      <protection hidden="1"/>
    </xf>
    <xf numFmtId="0" fontId="31" fillId="17" borderId="4" xfId="0" applyFont="1" applyFill="1" applyBorder="1" applyAlignment="1" applyProtection="1">
      <alignment horizontal="left" indent="1"/>
      <protection hidden="1"/>
    </xf>
    <xf numFmtId="0" fontId="31" fillId="17" borderId="7" xfId="0" applyFont="1" applyFill="1" applyBorder="1" applyAlignment="1" applyProtection="1">
      <alignment horizontal="left" indent="2"/>
      <protection hidden="1"/>
    </xf>
    <xf numFmtId="0" fontId="47" fillId="17" borderId="7" xfId="0" applyFont="1" applyFill="1" applyBorder="1" applyAlignment="1" applyProtection="1">
      <alignment horizontal="left" indent="2"/>
      <protection hidden="1"/>
    </xf>
    <xf numFmtId="0" fontId="31" fillId="17" borderId="14" xfId="0" applyFont="1" applyFill="1" applyBorder="1" applyAlignment="1" applyProtection="1">
      <alignment horizontal="left" indent="1"/>
      <protection hidden="1"/>
    </xf>
    <xf numFmtId="0" fontId="33" fillId="17" borderId="0" xfId="0" applyFont="1" applyFill="1" applyAlignment="1" applyProtection="1">
      <alignment horizontal="center"/>
      <protection hidden="1"/>
    </xf>
    <xf numFmtId="0" fontId="31" fillId="17" borderId="7" xfId="0" applyFont="1" applyFill="1" applyBorder="1" applyAlignment="1" applyProtection="1">
      <alignment horizontal="left" indent="1"/>
      <protection hidden="1"/>
    </xf>
    <xf numFmtId="0" fontId="47" fillId="17" borderId="7" xfId="0" applyFont="1" applyFill="1" applyBorder="1" applyAlignment="1" applyProtection="1">
      <alignment horizontal="left" indent="1"/>
      <protection hidden="1"/>
    </xf>
    <xf numFmtId="0" fontId="31" fillId="17" borderId="17" xfId="0" applyFont="1" applyFill="1" applyBorder="1" applyProtection="1">
      <protection hidden="1"/>
    </xf>
    <xf numFmtId="0" fontId="42" fillId="17" borderId="0" xfId="0" applyFont="1" applyFill="1" applyProtection="1">
      <protection hidden="1"/>
    </xf>
    <xf numFmtId="0" fontId="31" fillId="17" borderId="5" xfId="0" applyFont="1" applyFill="1" applyBorder="1" applyAlignment="1" applyProtection="1">
      <alignment horizontal="right"/>
      <protection hidden="1"/>
    </xf>
    <xf numFmtId="0" fontId="31" fillId="7" borderId="0" xfId="0" applyFont="1" applyFill="1" applyBorder="1" applyAlignment="1" applyProtection="1">
      <alignment horizontal="left" indent="1"/>
      <protection hidden="1"/>
    </xf>
    <xf numFmtId="3" fontId="31" fillId="7" borderId="8" xfId="0" applyNumberFormat="1" applyFont="1" applyFill="1" applyBorder="1" applyProtection="1">
      <protection hidden="1"/>
    </xf>
    <xf numFmtId="0" fontId="31" fillId="17" borderId="7" xfId="0" quotePrefix="1" applyFont="1" applyFill="1" applyBorder="1" applyProtection="1">
      <protection hidden="1"/>
    </xf>
    <xf numFmtId="0" fontId="31" fillId="17" borderId="4" xfId="0" applyFont="1" applyFill="1" applyBorder="1" applyAlignment="1" applyProtection="1">
      <alignment horizontal="left" vertical="center" indent="1"/>
      <protection hidden="1"/>
    </xf>
    <xf numFmtId="0" fontId="31" fillId="17" borderId="6" xfId="0" applyFont="1" applyFill="1" applyBorder="1" applyAlignment="1" applyProtection="1">
      <alignment vertical="center"/>
      <protection hidden="1"/>
    </xf>
    <xf numFmtId="0" fontId="31" fillId="17" borderId="7" xfId="0" applyFont="1" applyFill="1" applyBorder="1" applyAlignment="1" applyProtection="1">
      <alignment horizontal="left" vertical="center" indent="1"/>
      <protection hidden="1"/>
    </xf>
    <xf numFmtId="3" fontId="31" fillId="17" borderId="8" xfId="0" applyNumberFormat="1" applyFont="1" applyFill="1" applyBorder="1" applyAlignment="1" applyProtection="1">
      <alignment vertical="center"/>
      <protection hidden="1"/>
    </xf>
    <xf numFmtId="0" fontId="31" fillId="17" borderId="8" xfId="0" applyFont="1" applyFill="1" applyBorder="1" applyAlignment="1" applyProtection="1">
      <alignment vertical="center"/>
      <protection hidden="1"/>
    </xf>
    <xf numFmtId="0" fontId="31" fillId="17" borderId="14" xfId="0" quotePrefix="1" applyFont="1" applyFill="1" applyBorder="1" applyAlignment="1" applyProtection="1">
      <alignment horizontal="left" vertical="center" indent="1"/>
      <protection hidden="1"/>
    </xf>
    <xf numFmtId="0" fontId="31" fillId="17" borderId="16" xfId="0" applyFont="1" applyFill="1" applyBorder="1" applyAlignment="1" applyProtection="1">
      <alignment vertical="center"/>
      <protection hidden="1"/>
    </xf>
    <xf numFmtId="0" fontId="31" fillId="17" borderId="7" xfId="0" applyFont="1" applyFill="1" applyBorder="1" applyAlignment="1" applyProtection="1">
      <alignment vertical="center"/>
      <protection hidden="1"/>
    </xf>
    <xf numFmtId="0" fontId="31" fillId="17" borderId="14" xfId="0" applyFont="1" applyFill="1" applyBorder="1" applyAlignment="1" applyProtection="1">
      <alignment horizontal="left" vertical="center" indent="1"/>
      <protection hidden="1"/>
    </xf>
    <xf numFmtId="3" fontId="31" fillId="17" borderId="6" xfId="0" applyNumberFormat="1" applyFont="1" applyFill="1" applyBorder="1" applyProtection="1">
      <protection hidden="1"/>
    </xf>
    <xf numFmtId="0" fontId="27" fillId="17" borderId="7" xfId="0" applyFont="1" applyFill="1" applyBorder="1" applyProtection="1">
      <protection hidden="1"/>
    </xf>
    <xf numFmtId="3" fontId="31" fillId="17" borderId="3" xfId="0" applyNumberFormat="1" applyFont="1" applyFill="1" applyBorder="1" applyProtection="1">
      <protection hidden="1"/>
    </xf>
    <xf numFmtId="3" fontId="33" fillId="17" borderId="3" xfId="0" applyNumberFormat="1" applyFont="1" applyFill="1" applyBorder="1" applyProtection="1">
      <protection hidden="1"/>
    </xf>
    <xf numFmtId="0" fontId="47" fillId="17" borderId="0" xfId="0" applyFont="1" applyFill="1" applyProtection="1">
      <protection hidden="1"/>
    </xf>
    <xf numFmtId="0" fontId="47" fillId="17" borderId="4" xfId="0" applyFont="1" applyFill="1" applyBorder="1" applyProtection="1">
      <protection hidden="1"/>
    </xf>
    <xf numFmtId="0" fontId="47" fillId="17" borderId="5" xfId="0" applyFont="1" applyFill="1" applyBorder="1" applyProtection="1">
      <protection hidden="1"/>
    </xf>
    <xf numFmtId="3" fontId="47" fillId="17" borderId="6" xfId="0" applyNumberFormat="1" applyFont="1" applyFill="1" applyBorder="1" applyProtection="1">
      <protection hidden="1"/>
    </xf>
    <xf numFmtId="0" fontId="47" fillId="17" borderId="0" xfId="0" applyFont="1" applyFill="1" applyAlignment="1" applyProtection="1">
      <alignment horizontal="center"/>
      <protection hidden="1"/>
    </xf>
    <xf numFmtId="3" fontId="47" fillId="17" borderId="8" xfId="0" applyNumberFormat="1" applyFont="1" applyFill="1" applyBorder="1" applyProtection="1">
      <protection hidden="1"/>
    </xf>
    <xf numFmtId="0" fontId="47" fillId="17" borderId="7" xfId="0" applyFont="1" applyFill="1" applyBorder="1" applyAlignment="1" applyProtection="1">
      <alignment horizontal="left" vertical="center"/>
      <protection hidden="1"/>
    </xf>
    <xf numFmtId="3" fontId="47" fillId="17" borderId="8" xfId="0" applyNumberFormat="1" applyFont="1" applyFill="1" applyBorder="1" applyAlignment="1" applyProtection="1">
      <alignment vertical="center"/>
      <protection hidden="1"/>
    </xf>
    <xf numFmtId="0" fontId="47" fillId="17" borderId="14" xfId="0" applyFont="1" applyFill="1" applyBorder="1" applyAlignment="1" applyProtection="1">
      <alignment horizontal="left" vertical="center"/>
      <protection hidden="1"/>
    </xf>
    <xf numFmtId="0" fontId="47" fillId="17" borderId="15" xfId="0" applyFont="1" applyFill="1" applyBorder="1" applyProtection="1">
      <protection hidden="1"/>
    </xf>
    <xf numFmtId="3" fontId="47" fillId="17" borderId="16" xfId="0" applyNumberFormat="1" applyFont="1" applyFill="1" applyBorder="1" applyAlignment="1" applyProtection="1">
      <alignment vertical="center"/>
      <protection hidden="1"/>
    </xf>
    <xf numFmtId="0" fontId="46" fillId="2" borderId="1" xfId="0" applyFont="1" applyFill="1" applyBorder="1" applyProtection="1">
      <protection hidden="1"/>
    </xf>
    <xf numFmtId="0" fontId="46" fillId="2" borderId="2" xfId="0" applyFont="1" applyFill="1" applyBorder="1" applyProtection="1">
      <protection hidden="1"/>
    </xf>
    <xf numFmtId="3" fontId="46" fillId="2" borderId="3" xfId="0" applyNumberFormat="1" applyFont="1" applyFill="1" applyBorder="1" applyProtection="1">
      <protection hidden="1"/>
    </xf>
    <xf numFmtId="3" fontId="33" fillId="17" borderId="2" xfId="0" applyNumberFormat="1" applyFont="1" applyFill="1" applyBorder="1" applyProtection="1">
      <protection hidden="1"/>
    </xf>
    <xf numFmtId="0" fontId="33" fillId="17" borderId="2" xfId="0" quotePrefix="1" applyFont="1" applyFill="1" applyBorder="1" applyProtection="1">
      <protection hidden="1"/>
    </xf>
    <xf numFmtId="3" fontId="31" fillId="17" borderId="16" xfId="0" applyNumberFormat="1" applyFont="1" applyFill="1" applyBorder="1" applyAlignment="1" applyProtection="1">
      <alignment vertical="center"/>
      <protection hidden="1"/>
    </xf>
    <xf numFmtId="3" fontId="31" fillId="17" borderId="6" xfId="0" applyNumberFormat="1" applyFont="1" applyFill="1" applyBorder="1" applyAlignment="1" applyProtection="1">
      <alignment vertical="center"/>
      <protection hidden="1"/>
    </xf>
    <xf numFmtId="0" fontId="31" fillId="17" borderId="29" xfId="0" applyFont="1" applyFill="1" applyBorder="1" applyAlignment="1" applyProtection="1">
      <alignment horizontal="left" indent="2"/>
      <protection hidden="1"/>
    </xf>
    <xf numFmtId="3" fontId="31" fillId="17" borderId="25" xfId="0" applyNumberFormat="1" applyFont="1" applyFill="1" applyBorder="1" applyProtection="1">
      <protection hidden="1"/>
    </xf>
    <xf numFmtId="0" fontId="31" fillId="17" borderId="14" xfId="0" applyFont="1" applyFill="1" applyBorder="1" applyAlignment="1" applyProtection="1">
      <alignment horizontal="left" indent="2"/>
      <protection hidden="1"/>
    </xf>
    <xf numFmtId="0" fontId="31" fillId="0" borderId="5" xfId="0" applyFont="1" applyFill="1" applyBorder="1" applyProtection="1">
      <protection hidden="1"/>
    </xf>
    <xf numFmtId="3" fontId="31" fillId="0" borderId="5" xfId="0" applyNumberFormat="1" applyFont="1" applyFill="1" applyBorder="1" applyProtection="1">
      <protection hidden="1"/>
    </xf>
    <xf numFmtId="0" fontId="47" fillId="0" borderId="4" xfId="0" applyFont="1" applyFill="1" applyBorder="1" applyAlignment="1" applyProtection="1">
      <alignment horizontal="left" vertical="center"/>
      <protection hidden="1"/>
    </xf>
    <xf numFmtId="0" fontId="47" fillId="0" borderId="5" xfId="0" applyFont="1" applyFill="1" applyBorder="1" applyProtection="1">
      <protection hidden="1"/>
    </xf>
    <xf numFmtId="3" fontId="47" fillId="0" borderId="6" xfId="0" applyNumberFormat="1" applyFont="1" applyFill="1" applyBorder="1" applyAlignment="1" applyProtection="1">
      <alignment vertical="center"/>
      <protection hidden="1"/>
    </xf>
    <xf numFmtId="0" fontId="31" fillId="17" borderId="5" xfId="0" applyFont="1" applyFill="1" applyBorder="1" applyAlignment="1" applyProtection="1">
      <alignment vertical="center"/>
      <protection hidden="1"/>
    </xf>
    <xf numFmtId="0" fontId="47" fillId="0" borderId="7" xfId="0" applyFont="1" applyFill="1" applyBorder="1" applyAlignment="1" applyProtection="1">
      <alignment horizontal="left" vertical="center"/>
      <protection hidden="1"/>
    </xf>
    <xf numFmtId="0" fontId="47" fillId="0" borderId="0" xfId="0" applyFont="1" applyFill="1" applyBorder="1" applyProtection="1">
      <protection hidden="1"/>
    </xf>
    <xf numFmtId="3" fontId="47" fillId="0" borderId="8" xfId="0" applyNumberFormat="1" applyFont="1" applyFill="1" applyBorder="1" applyAlignment="1" applyProtection="1">
      <alignment vertical="center"/>
      <protection hidden="1"/>
    </xf>
    <xf numFmtId="0" fontId="47" fillId="0" borderId="14" xfId="0" applyFont="1" applyFill="1" applyBorder="1" applyAlignment="1" applyProtection="1">
      <alignment horizontal="left" vertical="center"/>
      <protection hidden="1"/>
    </xf>
    <xf numFmtId="0" fontId="47" fillId="0" borderId="15" xfId="0" applyFont="1" applyFill="1" applyBorder="1" applyProtection="1">
      <protection hidden="1"/>
    </xf>
    <xf numFmtId="0" fontId="31" fillId="17" borderId="15" xfId="0" applyFont="1" applyFill="1" applyBorder="1" applyAlignment="1" applyProtection="1">
      <alignment vertical="center"/>
      <protection hidden="1"/>
    </xf>
    <xf numFmtId="0" fontId="46" fillId="2" borderId="14" xfId="0" applyFont="1" applyFill="1" applyBorder="1" applyProtection="1">
      <protection hidden="1"/>
    </xf>
    <xf numFmtId="0" fontId="46" fillId="2" borderId="15" xfId="0" applyFont="1" applyFill="1" applyBorder="1" applyProtection="1">
      <protection hidden="1"/>
    </xf>
    <xf numFmtId="3" fontId="47" fillId="0" borderId="5" xfId="0" applyNumberFormat="1" applyFont="1" applyFill="1" applyBorder="1" applyProtection="1">
      <protection hidden="1"/>
    </xf>
    <xf numFmtId="0" fontId="31" fillId="0" borderId="0" xfId="0" applyFont="1" applyFill="1" applyProtection="1">
      <protection hidden="1"/>
    </xf>
    <xf numFmtId="0" fontId="44" fillId="0" borderId="0" xfId="0" applyFont="1" applyFill="1" applyProtection="1">
      <protection hidden="1"/>
    </xf>
    <xf numFmtId="0" fontId="33" fillId="0" borderId="15" xfId="0" applyFont="1" applyFill="1" applyBorder="1" applyProtection="1">
      <protection hidden="1"/>
    </xf>
    <xf numFmtId="0" fontId="31" fillId="0" borderId="15" xfId="0" applyFont="1" applyFill="1" applyBorder="1" applyProtection="1">
      <protection hidden="1"/>
    </xf>
    <xf numFmtId="0" fontId="31" fillId="0" borderId="1" xfId="0" applyFont="1" applyFill="1" applyBorder="1" applyAlignment="1" applyProtection="1">
      <alignment horizontal="left"/>
      <protection hidden="1"/>
    </xf>
    <xf numFmtId="0" fontId="31" fillId="0" borderId="2" xfId="0" applyFont="1" applyFill="1" applyBorder="1" applyAlignment="1" applyProtection="1">
      <alignment horizontal="left" indent="1"/>
      <protection hidden="1"/>
    </xf>
    <xf numFmtId="0" fontId="31" fillId="0" borderId="1" xfId="0" applyFont="1" applyFill="1" applyBorder="1" applyProtection="1">
      <protection hidden="1"/>
    </xf>
    <xf numFmtId="0" fontId="31" fillId="0" borderId="2" xfId="0" applyFont="1" applyFill="1" applyBorder="1" applyProtection="1">
      <protection hidden="1"/>
    </xf>
    <xf numFmtId="0" fontId="53" fillId="17" borderId="0" xfId="0" applyFont="1" applyFill="1" applyProtection="1">
      <protection hidden="1"/>
    </xf>
    <xf numFmtId="0" fontId="44" fillId="17" borderId="0" xfId="0" applyFont="1" applyFill="1" applyProtection="1">
      <protection hidden="1"/>
    </xf>
    <xf numFmtId="0" fontId="27" fillId="17" borderId="0" xfId="0" applyNumberFormat="1" applyFont="1" applyFill="1" applyBorder="1" applyProtection="1">
      <protection hidden="1"/>
    </xf>
    <xf numFmtId="0" fontId="26" fillId="17" borderId="15" xfId="0" applyFont="1" applyFill="1" applyBorder="1" applyProtection="1">
      <protection hidden="1"/>
    </xf>
    <xf numFmtId="0" fontId="27" fillId="17" borderId="8" xfId="0" applyNumberFormat="1" applyFont="1" applyFill="1" applyBorder="1" applyProtection="1">
      <protection hidden="1"/>
    </xf>
    <xf numFmtId="0" fontId="27" fillId="17" borderId="8" xfId="0" applyNumberFormat="1" applyFont="1" applyFill="1" applyBorder="1" applyAlignment="1" applyProtection="1">
      <alignment horizontal="right"/>
      <protection hidden="1"/>
    </xf>
    <xf numFmtId="0" fontId="31" fillId="22" borderId="33" xfId="0" applyFont="1" applyFill="1" applyBorder="1" applyAlignment="1" applyProtection="1">
      <alignment horizontal="left" vertical="center"/>
      <protection locked="0"/>
    </xf>
    <xf numFmtId="0" fontId="31" fillId="22" borderId="34" xfId="0" applyFont="1" applyFill="1" applyBorder="1" applyAlignment="1" applyProtection="1">
      <alignment horizontal="left" vertical="center"/>
      <protection locked="0"/>
    </xf>
    <xf numFmtId="0" fontId="31" fillId="17" borderId="36" xfId="0" applyFont="1" applyFill="1" applyBorder="1" applyAlignment="1" applyProtection="1">
      <alignment horizontal="left" vertical="center"/>
      <protection hidden="1"/>
    </xf>
    <xf numFmtId="0" fontId="32" fillId="17" borderId="7" xfId="0" applyFont="1" applyFill="1" applyBorder="1" applyAlignment="1" applyProtection="1">
      <alignment horizontal="center"/>
      <protection hidden="1"/>
    </xf>
    <xf numFmtId="0" fontId="31" fillId="22" borderId="37" xfId="0" applyFont="1" applyFill="1" applyBorder="1" applyAlignment="1" applyProtection="1">
      <alignment horizontal="left" vertical="center"/>
      <protection locked="0"/>
    </xf>
    <xf numFmtId="0" fontId="31" fillId="22" borderId="36" xfId="0" applyFont="1" applyFill="1" applyBorder="1" applyAlignment="1" applyProtection="1">
      <alignment horizontal="left" vertical="center"/>
      <protection locked="0"/>
    </xf>
    <xf numFmtId="0" fontId="31" fillId="22" borderId="26" xfId="0" applyFont="1" applyFill="1" applyBorder="1" applyAlignment="1" applyProtection="1">
      <alignment horizontal="left" vertical="center"/>
      <protection locked="0"/>
    </xf>
    <xf numFmtId="0" fontId="31" fillId="22" borderId="14" xfId="0" applyFont="1" applyFill="1" applyBorder="1" applyAlignment="1" applyProtection="1">
      <alignment horizontal="left" vertical="center"/>
      <protection locked="0"/>
    </xf>
    <xf numFmtId="0" fontId="31" fillId="22" borderId="15" xfId="0" applyFont="1" applyFill="1" applyBorder="1" applyAlignment="1" applyProtection="1">
      <alignment horizontal="left" vertical="center"/>
      <protection locked="0"/>
    </xf>
    <xf numFmtId="0" fontId="26" fillId="17" borderId="5" xfId="0" applyFont="1" applyFill="1" applyBorder="1" applyProtection="1">
      <protection hidden="1"/>
    </xf>
    <xf numFmtId="0" fontId="31" fillId="0" borderId="0" xfId="0" applyNumberFormat="1" applyFont="1" applyFill="1"/>
    <xf numFmtId="164" fontId="53" fillId="0" borderId="0" xfId="0" applyNumberFormat="1" applyFont="1" applyFill="1"/>
    <xf numFmtId="164" fontId="53" fillId="17" borderId="0" xfId="0" applyNumberFormat="1" applyFont="1" applyFill="1"/>
    <xf numFmtId="164" fontId="53" fillId="17" borderId="0" xfId="0" quotePrefix="1" applyNumberFormat="1" applyFont="1" applyFill="1" applyAlignment="1" applyProtection="1">
      <alignment horizontal="right"/>
      <protection hidden="1"/>
    </xf>
    <xf numFmtId="0" fontId="31" fillId="0" borderId="0" xfId="0" applyNumberFormat="1" applyFont="1" applyAlignment="1">
      <alignment horizontal="right"/>
    </xf>
    <xf numFmtId="0" fontId="31" fillId="0" borderId="0" xfId="0" applyNumberFormat="1" applyFont="1"/>
    <xf numFmtId="164" fontId="53" fillId="0" borderId="0" xfId="0" applyNumberFormat="1" applyFont="1"/>
    <xf numFmtId="168" fontId="42" fillId="17" borderId="13" xfId="0" applyNumberFormat="1" applyFont="1" applyFill="1" applyBorder="1" applyAlignment="1" applyProtection="1">
      <alignment horizontal="right"/>
      <protection hidden="1"/>
    </xf>
    <xf numFmtId="164" fontId="53" fillId="0" borderId="0" xfId="0" applyNumberFormat="1" applyFont="1" applyAlignment="1">
      <alignment horizontal="right"/>
    </xf>
    <xf numFmtId="0" fontId="54" fillId="12" borderId="1" xfId="0" applyFont="1" applyFill="1" applyBorder="1" applyAlignment="1" applyProtection="1">
      <alignment horizontal="center"/>
      <protection hidden="1"/>
    </xf>
    <xf numFmtId="0" fontId="31" fillId="17" borderId="13" xfId="0" applyFont="1" applyFill="1" applyBorder="1" applyAlignment="1" applyProtection="1">
      <alignment horizontal="right"/>
      <protection hidden="1"/>
    </xf>
    <xf numFmtId="0" fontId="31" fillId="17" borderId="13" xfId="0" quotePrefix="1" applyFont="1" applyFill="1" applyBorder="1" applyAlignment="1" applyProtection="1">
      <alignment horizontal="right"/>
      <protection hidden="1"/>
    </xf>
    <xf numFmtId="0" fontId="39" fillId="0" borderId="0" xfId="0" applyNumberFormat="1" applyFont="1"/>
    <xf numFmtId="0" fontId="33" fillId="22" borderId="13" xfId="0" applyFont="1" applyFill="1" applyBorder="1" applyAlignment="1" applyProtection="1">
      <alignment horizontal="center"/>
      <protection locked="0"/>
    </xf>
    <xf numFmtId="0" fontId="33" fillId="11" borderId="13" xfId="0" applyFont="1" applyFill="1" applyBorder="1" applyProtection="1">
      <protection hidden="1"/>
    </xf>
    <xf numFmtId="0" fontId="41" fillId="19" borderId="9" xfId="0" applyFont="1" applyFill="1" applyBorder="1" applyProtection="1">
      <protection hidden="1"/>
    </xf>
    <xf numFmtId="4" fontId="41" fillId="0" borderId="9" xfId="0" applyNumberFormat="1" applyFont="1" applyBorder="1" applyProtection="1">
      <protection hidden="1"/>
    </xf>
    <xf numFmtId="4" fontId="41" fillId="17" borderId="9" xfId="0" applyNumberFormat="1" applyFont="1" applyFill="1" applyBorder="1" applyProtection="1">
      <protection hidden="1"/>
    </xf>
    <xf numFmtId="0" fontId="39" fillId="17" borderId="9" xfId="0" applyNumberFormat="1" applyFont="1" applyFill="1" applyBorder="1"/>
    <xf numFmtId="0" fontId="31" fillId="22" borderId="17" xfId="0" applyFont="1" applyFill="1" applyBorder="1" applyProtection="1">
      <protection locked="0"/>
    </xf>
    <xf numFmtId="0" fontId="41" fillId="19" borderId="17" xfId="0" applyFont="1" applyFill="1" applyBorder="1" applyProtection="1">
      <protection hidden="1"/>
    </xf>
    <xf numFmtId="4" fontId="31" fillId="22" borderId="17" xfId="0" applyNumberFormat="1" applyFont="1" applyFill="1" applyBorder="1" applyProtection="1">
      <protection locked="0"/>
    </xf>
    <xf numFmtId="0" fontId="39" fillId="17" borderId="18" xfId="0" applyNumberFormat="1" applyFont="1" applyFill="1" applyBorder="1"/>
    <xf numFmtId="0" fontId="41" fillId="17" borderId="13" xfId="0" applyFont="1" applyFill="1" applyBorder="1" applyProtection="1">
      <protection hidden="1"/>
    </xf>
    <xf numFmtId="4" fontId="41" fillId="17" borderId="13" xfId="0" applyNumberFormat="1" applyFont="1" applyFill="1" applyBorder="1" applyProtection="1">
      <protection hidden="1"/>
    </xf>
    <xf numFmtId="0" fontId="40" fillId="0" borderId="0" xfId="0" applyFont="1"/>
    <xf numFmtId="0" fontId="25" fillId="17" borderId="8" xfId="0" applyFont="1" applyFill="1" applyBorder="1" applyAlignment="1" applyProtection="1">
      <alignment vertical="center"/>
      <protection hidden="1"/>
    </xf>
    <xf numFmtId="3" fontId="31" fillId="17" borderId="0" xfId="0" applyNumberFormat="1" applyFont="1" applyFill="1" applyBorder="1" applyAlignment="1" applyProtection="1">
      <alignment horizontal="right" vertical="center"/>
      <protection hidden="1"/>
    </xf>
    <xf numFmtId="0" fontId="25" fillId="2" borderId="0" xfId="0" applyFont="1" applyFill="1" applyProtection="1">
      <protection hidden="1"/>
    </xf>
    <xf numFmtId="4" fontId="31" fillId="17" borderId="0" xfId="0" applyNumberFormat="1" applyFont="1" applyFill="1" applyBorder="1" applyAlignment="1" applyProtection="1">
      <alignment horizontal="right" vertical="center"/>
      <protection hidden="1"/>
    </xf>
    <xf numFmtId="10" fontId="31" fillId="17" borderId="0" xfId="0" applyNumberFormat="1" applyFont="1" applyFill="1" applyBorder="1" applyAlignment="1" applyProtection="1">
      <alignment horizontal="right" vertical="center"/>
      <protection hidden="1"/>
    </xf>
    <xf numFmtId="174" fontId="31" fillId="17" borderId="0" xfId="0" applyNumberFormat="1" applyFont="1" applyFill="1" applyBorder="1" applyAlignment="1" applyProtection="1">
      <alignment horizontal="right" vertical="center"/>
      <protection hidden="1"/>
    </xf>
    <xf numFmtId="0" fontId="55" fillId="2" borderId="0" xfId="0" applyFont="1" applyFill="1" applyProtection="1">
      <protection hidden="1"/>
    </xf>
    <xf numFmtId="164" fontId="55" fillId="2" borderId="0" xfId="0" applyNumberFormat="1" applyFont="1" applyFill="1" applyBorder="1" applyProtection="1">
      <protection hidden="1"/>
    </xf>
    <xf numFmtId="0" fontId="40" fillId="2" borderId="0" xfId="0" applyFont="1" applyFill="1" applyProtection="1">
      <protection hidden="1"/>
    </xf>
    <xf numFmtId="0" fontId="33" fillId="2" borderId="0" xfId="0" applyFont="1" applyFill="1" applyAlignment="1" applyProtection="1">
      <alignment vertical="center"/>
      <protection hidden="1"/>
    </xf>
    <xf numFmtId="0" fontId="33" fillId="2" borderId="0" xfId="0" applyFont="1" applyFill="1" applyAlignment="1" applyProtection="1">
      <alignment horizontal="right" vertical="center" indent="1"/>
      <protection hidden="1"/>
    </xf>
    <xf numFmtId="0" fontId="33" fillId="2" borderId="0" xfId="0" applyNumberFormat="1" applyFont="1" applyFill="1" applyAlignment="1" applyProtection="1">
      <alignment vertical="center"/>
      <protection hidden="1"/>
    </xf>
    <xf numFmtId="164" fontId="56" fillId="2" borderId="0" xfId="0" applyNumberFormat="1" applyFont="1" applyFill="1" applyAlignment="1" applyProtection="1">
      <alignment horizontal="right" vertical="center" indent="1"/>
      <protection hidden="1"/>
    </xf>
    <xf numFmtId="164" fontId="56" fillId="2" borderId="0" xfId="0" applyNumberFormat="1" applyFont="1" applyFill="1" applyAlignment="1" applyProtection="1">
      <alignment horizontal="right" vertical="center"/>
      <protection hidden="1"/>
    </xf>
    <xf numFmtId="164" fontId="57" fillId="2" borderId="0" xfId="0" applyNumberFormat="1" applyFont="1" applyFill="1" applyProtection="1">
      <protection hidden="1"/>
    </xf>
    <xf numFmtId="0" fontId="57" fillId="17" borderId="0" xfId="0" applyNumberFormat="1" applyFont="1" applyFill="1" applyProtection="1">
      <protection hidden="1"/>
    </xf>
    <xf numFmtId="0" fontId="57" fillId="17" borderId="0" xfId="0" applyFont="1" applyFill="1" applyProtection="1">
      <protection hidden="1"/>
    </xf>
    <xf numFmtId="164" fontId="57" fillId="17" borderId="0" xfId="0" applyNumberFormat="1" applyFont="1" applyFill="1" applyProtection="1">
      <protection hidden="1"/>
    </xf>
    <xf numFmtId="0" fontId="14" fillId="17" borderId="0" xfId="0" applyNumberFormat="1" applyFont="1" applyFill="1" applyProtection="1">
      <protection hidden="1"/>
    </xf>
    <xf numFmtId="0" fontId="14" fillId="0" borderId="7" xfId="0" applyFont="1" applyFill="1" applyBorder="1" applyAlignment="1" applyProtection="1">
      <alignment vertical="center"/>
      <protection hidden="1"/>
    </xf>
    <xf numFmtId="0" fontId="14" fillId="0" borderId="0" xfId="0" applyFont="1" applyFill="1" applyBorder="1" applyAlignment="1" applyProtection="1">
      <alignment vertical="center"/>
      <protection hidden="1"/>
    </xf>
    <xf numFmtId="164" fontId="14" fillId="0" borderId="0" xfId="0" applyNumberFormat="1" applyFont="1" applyFill="1" applyBorder="1" applyAlignment="1" applyProtection="1">
      <alignment vertical="center"/>
      <protection hidden="1"/>
    </xf>
    <xf numFmtId="0" fontId="14" fillId="0" borderId="8" xfId="0" applyFont="1" applyFill="1" applyBorder="1" applyAlignment="1" applyProtection="1">
      <alignment vertical="center"/>
      <protection hidden="1"/>
    </xf>
    <xf numFmtId="0" fontId="25" fillId="17" borderId="14" xfId="0" applyFont="1" applyFill="1" applyBorder="1" applyAlignment="1" applyProtection="1">
      <alignment vertical="center"/>
      <protection hidden="1"/>
    </xf>
    <xf numFmtId="0" fontId="25" fillId="17" borderId="15" xfId="0" applyFont="1" applyFill="1" applyBorder="1" applyAlignment="1" applyProtection="1">
      <alignment horizontal="right" vertical="center"/>
      <protection hidden="1"/>
    </xf>
    <xf numFmtId="0" fontId="23" fillId="15" borderId="1" xfId="0" applyFont="1" applyFill="1" applyBorder="1" applyAlignment="1" applyProtection="1">
      <alignment vertical="center"/>
      <protection hidden="1"/>
    </xf>
    <xf numFmtId="0" fontId="23" fillId="12" borderId="3" xfId="0" applyFont="1" applyFill="1" applyBorder="1" applyAlignment="1" applyProtection="1">
      <alignment vertical="center"/>
      <protection hidden="1"/>
    </xf>
    <xf numFmtId="0" fontId="26" fillId="17" borderId="0" xfId="0" applyFont="1" applyFill="1" applyBorder="1" applyAlignment="1" applyProtection="1">
      <alignment horizontal="left" vertical="center" shrinkToFit="1"/>
      <protection hidden="1"/>
    </xf>
    <xf numFmtId="0" fontId="25" fillId="17" borderId="0" xfId="0" applyFont="1" applyFill="1" applyBorder="1" applyAlignment="1" applyProtection="1">
      <alignment horizontal="left" vertical="center" shrinkToFit="1"/>
      <protection hidden="1"/>
    </xf>
    <xf numFmtId="0" fontId="25" fillId="17" borderId="0" xfId="0" applyFont="1" applyFill="1" applyAlignment="1" applyProtection="1">
      <alignment horizontal="right" vertical="center"/>
      <protection hidden="1"/>
    </xf>
    <xf numFmtId="3" fontId="25" fillId="17" borderId="0" xfId="0" applyNumberFormat="1" applyFont="1" applyFill="1" applyBorder="1" applyAlignment="1" applyProtection="1">
      <alignment horizontal="right" vertical="center"/>
      <protection hidden="1"/>
    </xf>
    <xf numFmtId="0" fontId="25" fillId="17" borderId="0" xfId="0" applyFont="1" applyFill="1" applyBorder="1" applyAlignment="1" applyProtection="1">
      <alignment horizontal="centerContinuous" vertical="center"/>
      <protection hidden="1"/>
    </xf>
    <xf numFmtId="175" fontId="25" fillId="17" borderId="0" xfId="0" applyNumberFormat="1" applyFont="1" applyFill="1" applyBorder="1" applyAlignment="1" applyProtection="1">
      <alignment horizontal="right" vertical="center"/>
      <protection hidden="1"/>
    </xf>
    <xf numFmtId="176" fontId="25" fillId="17" borderId="0" xfId="0" applyNumberFormat="1" applyFont="1" applyFill="1" applyBorder="1" applyAlignment="1" applyProtection="1">
      <alignment horizontal="right" vertical="center"/>
      <protection hidden="1"/>
    </xf>
    <xf numFmtId="0" fontId="25" fillId="17" borderId="0" xfId="0" applyNumberFormat="1" applyFont="1" applyFill="1" applyBorder="1" applyAlignment="1" applyProtection="1">
      <alignment horizontal="right" vertical="center"/>
      <protection hidden="1"/>
    </xf>
    <xf numFmtId="164" fontId="25" fillId="17" borderId="15" xfId="0" applyNumberFormat="1" applyFont="1" applyFill="1" applyBorder="1" applyAlignment="1" applyProtection="1">
      <alignment horizontal="right" vertical="center"/>
      <protection hidden="1"/>
    </xf>
    <xf numFmtId="0" fontId="58" fillId="17" borderId="0" xfId="0" applyFont="1" applyFill="1" applyBorder="1" applyAlignment="1" applyProtection="1">
      <alignment vertical="center"/>
      <protection hidden="1"/>
    </xf>
    <xf numFmtId="0" fontId="58" fillId="17" borderId="0" xfId="0" applyFont="1" applyFill="1" applyBorder="1" applyAlignment="1" applyProtection="1">
      <alignment horizontal="right" vertical="center"/>
      <protection hidden="1"/>
    </xf>
    <xf numFmtId="3" fontId="58" fillId="17" borderId="0" xfId="0" applyNumberFormat="1" applyFont="1" applyFill="1" applyBorder="1" applyAlignment="1" applyProtection="1">
      <alignment horizontal="right" vertical="center"/>
      <protection hidden="1"/>
    </xf>
    <xf numFmtId="0" fontId="25" fillId="17" borderId="7" xfId="0" applyFont="1" applyFill="1" applyBorder="1" applyAlignment="1" applyProtection="1">
      <alignment horizontal="right" vertical="center"/>
      <protection hidden="1"/>
    </xf>
    <xf numFmtId="3" fontId="25" fillId="17" borderId="15" xfId="0" applyNumberFormat="1" applyFont="1" applyFill="1" applyBorder="1" applyAlignment="1" applyProtection="1">
      <alignment horizontal="right" vertical="center"/>
      <protection hidden="1"/>
    </xf>
    <xf numFmtId="0" fontId="25" fillId="8" borderId="4" xfId="0" applyFont="1" applyFill="1" applyBorder="1" applyAlignment="1" applyProtection="1">
      <alignment vertical="center"/>
      <protection hidden="1"/>
    </xf>
    <xf numFmtId="0" fontId="25" fillId="8" borderId="5" xfId="0" applyFont="1" applyFill="1" applyBorder="1" applyAlignment="1" applyProtection="1">
      <alignment horizontal="left" vertical="center" indent="1"/>
      <protection hidden="1"/>
    </xf>
    <xf numFmtId="0" fontId="25" fillId="8" borderId="5" xfId="0" applyFont="1" applyFill="1" applyBorder="1" applyAlignment="1" applyProtection="1">
      <alignment vertical="center"/>
      <protection hidden="1"/>
    </xf>
    <xf numFmtId="3" fontId="25" fillId="8" borderId="5" xfId="0" applyNumberFormat="1" applyFont="1" applyFill="1" applyBorder="1" applyAlignment="1" applyProtection="1">
      <alignment horizontal="right" vertical="center"/>
      <protection hidden="1"/>
    </xf>
    <xf numFmtId="0" fontId="14" fillId="8" borderId="6" xfId="0" applyFont="1" applyFill="1" applyBorder="1" applyAlignment="1" applyProtection="1">
      <alignment vertical="center"/>
      <protection hidden="1"/>
    </xf>
    <xf numFmtId="0" fontId="25" fillId="8" borderId="7" xfId="0" applyFont="1" applyFill="1" applyBorder="1" applyAlignment="1" applyProtection="1">
      <alignment vertical="center"/>
      <protection hidden="1"/>
    </xf>
    <xf numFmtId="0" fontId="58" fillId="8" borderId="0" xfId="0" applyFont="1" applyFill="1" applyBorder="1" applyAlignment="1" applyProtection="1">
      <alignment horizontal="left" vertical="center"/>
      <protection hidden="1"/>
    </xf>
    <xf numFmtId="0" fontId="25" fillId="8" borderId="0" xfId="0" applyFont="1" applyFill="1" applyBorder="1" applyAlignment="1" applyProtection="1">
      <alignment vertical="center"/>
      <protection hidden="1"/>
    </xf>
    <xf numFmtId="0" fontId="25" fillId="8" borderId="8" xfId="0" applyFont="1" applyFill="1" applyBorder="1" applyAlignment="1" applyProtection="1">
      <alignment vertical="center"/>
      <protection hidden="1"/>
    </xf>
    <xf numFmtId="0" fontId="25" fillId="8" borderId="0" xfId="0" applyFont="1" applyFill="1" applyBorder="1" applyAlignment="1" applyProtection="1">
      <alignment horizontal="left" vertical="center"/>
      <protection hidden="1"/>
    </xf>
    <xf numFmtId="3" fontId="25" fillId="3" borderId="39" xfId="0" applyNumberFormat="1" applyFont="1" applyFill="1" applyBorder="1" applyAlignment="1" applyProtection="1">
      <alignment vertical="center"/>
      <protection hidden="1"/>
    </xf>
    <xf numFmtId="0" fontId="25" fillId="8" borderId="0" xfId="0" applyNumberFormat="1" applyFont="1" applyFill="1" applyBorder="1" applyAlignment="1" applyProtection="1">
      <alignment vertical="center"/>
      <protection hidden="1"/>
    </xf>
    <xf numFmtId="164" fontId="25" fillId="8" borderId="0" xfId="0" applyNumberFormat="1" applyFont="1" applyFill="1" applyBorder="1" applyAlignment="1" applyProtection="1">
      <alignment vertical="center"/>
      <protection hidden="1"/>
    </xf>
    <xf numFmtId="1" fontId="25" fillId="8" borderId="0" xfId="0" applyNumberFormat="1" applyFont="1" applyFill="1" applyBorder="1" applyAlignment="1" applyProtection="1">
      <alignment horizontal="right" vertical="center"/>
      <protection hidden="1"/>
    </xf>
    <xf numFmtId="3" fontId="25" fillId="22" borderId="39" xfId="0" applyNumberFormat="1" applyFont="1" applyFill="1" applyBorder="1" applyAlignment="1" applyProtection="1">
      <alignment vertical="center"/>
      <protection locked="0"/>
    </xf>
    <xf numFmtId="175" fontId="25" fillId="17" borderId="39" xfId="0" applyNumberFormat="1" applyFont="1" applyFill="1" applyBorder="1" applyAlignment="1" applyProtection="1">
      <alignment vertical="center"/>
      <protection hidden="1"/>
    </xf>
    <xf numFmtId="3" fontId="25" fillId="17" borderId="39" xfId="0" applyNumberFormat="1" applyFont="1" applyFill="1" applyBorder="1" applyAlignment="1" applyProtection="1">
      <alignment vertical="center"/>
      <protection hidden="1"/>
    </xf>
    <xf numFmtId="4" fontId="25" fillId="22" borderId="39" xfId="0" applyNumberFormat="1" applyFont="1" applyFill="1" applyBorder="1" applyAlignment="1" applyProtection="1">
      <alignment vertical="center"/>
      <protection locked="0"/>
    </xf>
    <xf numFmtId="164" fontId="59" fillId="8" borderId="0" xfId="0" applyNumberFormat="1" applyFont="1" applyFill="1" applyBorder="1" applyAlignment="1" applyProtection="1">
      <alignment vertical="center"/>
      <protection hidden="1"/>
    </xf>
    <xf numFmtId="0" fontId="25" fillId="8" borderId="5" xfId="0" applyFont="1" applyFill="1" applyBorder="1" applyAlignment="1" applyProtection="1">
      <alignment horizontal="left" vertical="center"/>
      <protection hidden="1"/>
    </xf>
    <xf numFmtId="4" fontId="25" fillId="3" borderId="39" xfId="0" applyNumberFormat="1" applyFont="1" applyFill="1" applyBorder="1" applyAlignment="1" applyProtection="1">
      <alignment horizontal="right" vertical="center"/>
      <protection hidden="1"/>
    </xf>
    <xf numFmtId="0" fontId="31" fillId="8" borderId="0" xfId="0" applyFont="1" applyFill="1" applyBorder="1" applyAlignment="1" applyProtection="1">
      <alignment horizontal="center" vertical="center"/>
      <protection hidden="1"/>
    </xf>
    <xf numFmtId="3" fontId="25" fillId="8" borderId="0" xfId="0" applyNumberFormat="1" applyFont="1" applyFill="1" applyBorder="1" applyAlignment="1" applyProtection="1">
      <alignment horizontal="right" vertical="center"/>
      <protection hidden="1"/>
    </xf>
    <xf numFmtId="0" fontId="25" fillId="8" borderId="14" xfId="0" applyFont="1" applyFill="1" applyBorder="1" applyAlignment="1" applyProtection="1">
      <alignment vertical="center"/>
      <protection hidden="1"/>
    </xf>
    <xf numFmtId="0" fontId="25" fillId="8" borderId="15" xfId="0" applyFont="1" applyFill="1" applyBorder="1" applyAlignment="1" applyProtection="1">
      <alignment horizontal="left" vertical="center" indent="1"/>
      <protection hidden="1"/>
    </xf>
    <xf numFmtId="0" fontId="25" fillId="8" borderId="15" xfId="0" applyFont="1" applyFill="1" applyBorder="1" applyAlignment="1" applyProtection="1">
      <alignment vertical="center"/>
      <protection hidden="1"/>
    </xf>
    <xf numFmtId="164" fontId="59" fillId="8" borderId="15" xfId="0" applyNumberFormat="1" applyFont="1" applyFill="1" applyBorder="1" applyAlignment="1" applyProtection="1">
      <alignment vertical="center"/>
      <protection hidden="1"/>
    </xf>
    <xf numFmtId="0" fontId="25" fillId="8" borderId="16" xfId="0" applyFont="1" applyFill="1" applyBorder="1" applyAlignment="1" applyProtection="1">
      <alignment vertical="center"/>
      <protection hidden="1"/>
    </xf>
    <xf numFmtId="0" fontId="26" fillId="17" borderId="0" xfId="0" applyFont="1" applyFill="1" applyBorder="1" applyAlignment="1" applyProtection="1">
      <alignment vertical="center"/>
      <protection hidden="1"/>
    </xf>
    <xf numFmtId="3" fontId="26" fillId="17" borderId="0" xfId="0" applyNumberFormat="1" applyFont="1" applyFill="1" applyBorder="1" applyAlignment="1" applyProtection="1">
      <alignment horizontal="right" vertical="center"/>
      <protection hidden="1"/>
    </xf>
    <xf numFmtId="3" fontId="25" fillId="17" borderId="15" xfId="0" applyNumberFormat="1" applyFont="1" applyFill="1" applyBorder="1" applyAlignment="1" applyProtection="1">
      <alignment vertical="center"/>
      <protection hidden="1"/>
    </xf>
    <xf numFmtId="0" fontId="25" fillId="17" borderId="15" xfId="0" quotePrefix="1" applyFont="1" applyFill="1" applyBorder="1" applyAlignment="1" applyProtection="1">
      <alignment vertical="center"/>
      <protection hidden="1"/>
    </xf>
    <xf numFmtId="164" fontId="24" fillId="17" borderId="0" xfId="0" applyNumberFormat="1" applyFont="1" applyFill="1" applyBorder="1" applyAlignment="1" applyProtection="1">
      <alignment horizontal="right" vertical="center"/>
      <protection hidden="1"/>
    </xf>
    <xf numFmtId="0" fontId="25" fillId="22" borderId="37" xfId="0" applyFont="1" applyFill="1" applyBorder="1" applyAlignment="1" applyProtection="1">
      <alignment vertical="center"/>
      <protection locked="0"/>
    </xf>
    <xf numFmtId="0" fontId="25" fillId="22" borderId="36" xfId="0" applyFont="1" applyFill="1" applyBorder="1" applyAlignment="1" applyProtection="1">
      <alignment vertical="center"/>
      <protection locked="0"/>
    </xf>
    <xf numFmtId="3" fontId="25" fillId="22" borderId="41" xfId="0" applyNumberFormat="1" applyFont="1" applyFill="1" applyBorder="1" applyAlignment="1" applyProtection="1">
      <alignment horizontal="right" vertical="center"/>
      <protection locked="0"/>
    </xf>
    <xf numFmtId="0" fontId="25" fillId="22" borderId="37" xfId="0" quotePrefix="1" applyFont="1" applyFill="1" applyBorder="1" applyAlignment="1" applyProtection="1">
      <alignment vertical="center"/>
      <protection locked="0"/>
    </xf>
    <xf numFmtId="0" fontId="25" fillId="22" borderId="14" xfId="0" quotePrefix="1" applyFont="1" applyFill="1" applyBorder="1" applyAlignment="1" applyProtection="1">
      <alignment vertical="center"/>
      <protection locked="0"/>
    </xf>
    <xf numFmtId="0" fontId="25" fillId="22" borderId="15" xfId="0" applyFont="1" applyFill="1" applyBorder="1" applyAlignment="1" applyProtection="1">
      <alignment vertical="center"/>
      <protection locked="0"/>
    </xf>
    <xf numFmtId="3" fontId="25" fillId="22" borderId="42" xfId="0" applyNumberFormat="1" applyFont="1" applyFill="1" applyBorder="1" applyAlignment="1" applyProtection="1">
      <alignment horizontal="right" vertical="center"/>
      <protection locked="0"/>
    </xf>
    <xf numFmtId="0" fontId="14" fillId="2" borderId="0" xfId="0" applyFont="1" applyFill="1" applyProtection="1">
      <protection hidden="1"/>
    </xf>
    <xf numFmtId="4" fontId="25" fillId="17" borderId="0" xfId="0" applyNumberFormat="1" applyFont="1" applyFill="1" applyBorder="1" applyAlignment="1" applyProtection="1">
      <alignment horizontal="right" vertical="center"/>
      <protection hidden="1"/>
    </xf>
    <xf numFmtId="0" fontId="25" fillId="22" borderId="0" xfId="0" applyFont="1" applyFill="1" applyAlignment="1" applyProtection="1">
      <alignment horizontal="left" vertical="center"/>
      <protection locked="0"/>
    </xf>
    <xf numFmtId="164" fontId="24" fillId="17" borderId="0" xfId="0" applyNumberFormat="1" applyFont="1" applyFill="1" applyAlignment="1" applyProtection="1">
      <alignment vertical="center"/>
      <protection hidden="1"/>
    </xf>
    <xf numFmtId="0" fontId="25" fillId="17" borderId="7" xfId="0" applyFont="1" applyFill="1" applyBorder="1" applyAlignment="1" applyProtection="1">
      <alignment horizontal="center" vertical="center"/>
      <protection hidden="1"/>
    </xf>
    <xf numFmtId="0" fontId="58" fillId="6" borderId="0" xfId="0" applyFont="1" applyFill="1" applyBorder="1" applyAlignment="1" applyProtection="1">
      <alignment vertical="center"/>
      <protection hidden="1"/>
    </xf>
    <xf numFmtId="0" fontId="58" fillId="6" borderId="0" xfId="0" applyFont="1" applyFill="1" applyBorder="1" applyAlignment="1" applyProtection="1">
      <alignment horizontal="right" vertical="center"/>
      <protection hidden="1"/>
    </xf>
    <xf numFmtId="3" fontId="58" fillId="6" borderId="0" xfId="0" applyNumberFormat="1" applyFont="1" applyFill="1" applyBorder="1" applyAlignment="1" applyProtection="1">
      <alignment horizontal="right" vertical="center"/>
      <protection hidden="1"/>
    </xf>
    <xf numFmtId="0" fontId="25" fillId="6" borderId="0" xfId="0" applyFont="1" applyFill="1" applyBorder="1" applyAlignment="1" applyProtection="1">
      <alignment vertical="center"/>
      <protection hidden="1"/>
    </xf>
    <xf numFmtId="3" fontId="25" fillId="6" borderId="0" xfId="0" applyNumberFormat="1" applyFont="1" applyFill="1" applyBorder="1" applyAlignment="1" applyProtection="1">
      <alignment vertical="center"/>
      <protection hidden="1"/>
    </xf>
    <xf numFmtId="3" fontId="25" fillId="6" borderId="0" xfId="0" applyNumberFormat="1" applyFont="1" applyFill="1" applyBorder="1" applyAlignment="1" applyProtection="1">
      <alignment horizontal="right" vertical="center"/>
      <protection hidden="1"/>
    </xf>
    <xf numFmtId="0" fontId="25" fillId="6" borderId="15" xfId="0" applyFont="1" applyFill="1" applyBorder="1" applyAlignment="1" applyProtection="1">
      <alignment vertical="center"/>
      <protection hidden="1"/>
    </xf>
    <xf numFmtId="3" fontId="25" fillId="6" borderId="15" xfId="0" applyNumberFormat="1" applyFont="1" applyFill="1" applyBorder="1" applyAlignment="1" applyProtection="1">
      <alignment vertical="center"/>
      <protection hidden="1"/>
    </xf>
    <xf numFmtId="3" fontId="25" fillId="6" borderId="15" xfId="0" applyNumberFormat="1" applyFont="1" applyFill="1" applyBorder="1" applyAlignment="1" applyProtection="1">
      <alignment horizontal="right" vertical="center"/>
      <protection hidden="1"/>
    </xf>
    <xf numFmtId="0" fontId="25" fillId="6" borderId="5" xfId="0" applyFont="1" applyFill="1" applyBorder="1" applyAlignment="1" applyProtection="1">
      <alignment vertical="center"/>
      <protection hidden="1"/>
    </xf>
    <xf numFmtId="3" fontId="25" fillId="6" borderId="5" xfId="0" applyNumberFormat="1" applyFont="1" applyFill="1" applyBorder="1" applyAlignment="1" applyProtection="1">
      <alignment horizontal="right" vertical="center"/>
      <protection hidden="1"/>
    </xf>
    <xf numFmtId="164" fontId="55" fillId="2" borderId="0" xfId="0" applyNumberFormat="1" applyFont="1" applyFill="1" applyAlignment="1" applyProtection="1">
      <alignment vertical="center"/>
      <protection hidden="1"/>
    </xf>
    <xf numFmtId="0" fontId="26" fillId="17" borderId="5" xfId="0" applyFont="1" applyFill="1" applyBorder="1" applyAlignment="1" applyProtection="1">
      <alignment vertical="center"/>
      <protection hidden="1"/>
    </xf>
    <xf numFmtId="3" fontId="26" fillId="17" borderId="5" xfId="0" applyNumberFormat="1" applyFont="1" applyFill="1" applyBorder="1" applyAlignment="1" applyProtection="1">
      <alignment horizontal="right" vertical="center"/>
      <protection hidden="1"/>
    </xf>
    <xf numFmtId="0" fontId="24" fillId="17" borderId="0" xfId="0" applyFont="1" applyFill="1" applyAlignment="1" applyProtection="1">
      <alignment vertical="center"/>
      <protection hidden="1"/>
    </xf>
    <xf numFmtId="0" fontId="25" fillId="17" borderId="0" xfId="0" applyFont="1" applyFill="1" applyAlignment="1" applyProtection="1">
      <alignment horizontal="center" vertical="center"/>
      <protection hidden="1"/>
    </xf>
    <xf numFmtId="0" fontId="40" fillId="17" borderId="0" xfId="0" applyFont="1" applyFill="1" applyAlignment="1" applyProtection="1">
      <alignment vertical="top"/>
      <protection hidden="1"/>
    </xf>
    <xf numFmtId="0" fontId="14" fillId="17" borderId="0" xfId="0" applyNumberFormat="1" applyFont="1" applyFill="1" applyAlignment="1" applyProtection="1">
      <alignment vertical="top"/>
      <protection hidden="1"/>
    </xf>
    <xf numFmtId="0" fontId="26" fillId="17" borderId="1" xfId="0" applyFont="1" applyFill="1" applyBorder="1" applyAlignment="1" applyProtection="1">
      <alignment vertical="center"/>
      <protection hidden="1"/>
    </xf>
    <xf numFmtId="0" fontId="26" fillId="17" borderId="2" xfId="0" applyFont="1" applyFill="1" applyBorder="1" applyAlignment="1" applyProtection="1">
      <alignment vertical="center"/>
      <protection hidden="1"/>
    </xf>
    <xf numFmtId="14" fontId="26" fillId="17" borderId="3" xfId="0" applyNumberFormat="1" applyFont="1" applyFill="1" applyBorder="1" applyAlignment="1" applyProtection="1">
      <alignment horizontal="right" vertical="center"/>
      <protection hidden="1"/>
    </xf>
    <xf numFmtId="3" fontId="25" fillId="17" borderId="8" xfId="0" applyNumberFormat="1" applyFont="1" applyFill="1" applyBorder="1" applyAlignment="1" applyProtection="1">
      <alignment horizontal="right" vertical="center"/>
      <protection hidden="1"/>
    </xf>
    <xf numFmtId="3" fontId="26" fillId="17" borderId="3" xfId="0" applyNumberFormat="1" applyFont="1" applyFill="1" applyBorder="1" applyAlignment="1" applyProtection="1">
      <alignment horizontal="right" vertical="center"/>
      <protection hidden="1"/>
    </xf>
    <xf numFmtId="10" fontId="25" fillId="17" borderId="0" xfId="0" applyNumberFormat="1" applyFont="1" applyFill="1" applyBorder="1" applyAlignment="1" applyProtection="1">
      <alignment horizontal="right" vertical="center"/>
      <protection hidden="1"/>
    </xf>
    <xf numFmtId="2" fontId="25" fillId="17" borderId="0" xfId="0" applyNumberFormat="1" applyFont="1" applyFill="1" applyBorder="1" applyAlignment="1" applyProtection="1">
      <alignment horizontal="right" vertical="center"/>
      <protection hidden="1"/>
    </xf>
    <xf numFmtId="0" fontId="24" fillId="17" borderId="0" xfId="0" applyFont="1" applyFill="1" applyBorder="1" applyAlignment="1" applyProtection="1">
      <alignment vertical="center"/>
      <protection hidden="1"/>
    </xf>
    <xf numFmtId="0" fontId="30" fillId="17" borderId="0" xfId="0" applyFont="1" applyFill="1" applyAlignment="1" applyProtection="1">
      <alignment vertical="center"/>
      <protection hidden="1"/>
    </xf>
    <xf numFmtId="164" fontId="24" fillId="17" borderId="0" xfId="0" applyNumberFormat="1" applyFont="1" applyFill="1" applyBorder="1" applyAlignment="1" applyProtection="1">
      <alignment vertical="center"/>
      <protection hidden="1"/>
    </xf>
    <xf numFmtId="164" fontId="25" fillId="17" borderId="0" xfId="0" applyNumberFormat="1" applyFont="1" applyFill="1" applyBorder="1" applyAlignment="1" applyProtection="1">
      <alignment vertical="center"/>
      <protection hidden="1"/>
    </xf>
    <xf numFmtId="166" fontId="25" fillId="17" borderId="0" xfId="0" applyNumberFormat="1" applyFont="1" applyFill="1" applyBorder="1" applyAlignment="1" applyProtection="1">
      <alignment horizontal="right" vertical="center"/>
      <protection hidden="1"/>
    </xf>
    <xf numFmtId="174" fontId="25" fillId="17" borderId="0" xfId="0" applyNumberFormat="1" applyFont="1" applyFill="1" applyBorder="1" applyAlignment="1" applyProtection="1">
      <alignment horizontal="right" vertical="center"/>
      <protection hidden="1"/>
    </xf>
    <xf numFmtId="0" fontId="24" fillId="17" borderId="7" xfId="0" applyFont="1" applyFill="1" applyBorder="1" applyAlignment="1" applyProtection="1">
      <alignment vertical="center"/>
      <protection hidden="1"/>
    </xf>
    <xf numFmtId="3" fontId="25" fillId="17" borderId="5" xfId="0" applyNumberFormat="1" applyFont="1" applyFill="1" applyBorder="1" applyAlignment="1" applyProtection="1">
      <alignment horizontal="right" vertical="center"/>
      <protection hidden="1"/>
    </xf>
    <xf numFmtId="164" fontId="25" fillId="17" borderId="5" xfId="0" applyNumberFormat="1" applyFont="1" applyFill="1" applyBorder="1" applyAlignment="1" applyProtection="1">
      <alignment vertical="center"/>
      <protection hidden="1"/>
    </xf>
    <xf numFmtId="3" fontId="25" fillId="17" borderId="0" xfId="0" applyNumberFormat="1" applyFont="1" applyFill="1" applyBorder="1" applyAlignment="1" applyProtection="1">
      <alignment vertical="center"/>
      <protection hidden="1"/>
    </xf>
    <xf numFmtId="164" fontId="25" fillId="17" borderId="0" xfId="0" applyNumberFormat="1" applyFont="1" applyFill="1" applyAlignment="1" applyProtection="1">
      <alignment vertical="center"/>
      <protection hidden="1"/>
    </xf>
    <xf numFmtId="14" fontId="25" fillId="17" borderId="0" xfId="0" applyNumberFormat="1" applyFont="1" applyFill="1" applyAlignment="1" applyProtection="1">
      <alignment vertical="center"/>
      <protection hidden="1"/>
    </xf>
    <xf numFmtId="164" fontId="25" fillId="17" borderId="15" xfId="0" applyNumberFormat="1" applyFont="1" applyFill="1" applyBorder="1" applyAlignment="1" applyProtection="1">
      <alignment vertical="center"/>
      <protection hidden="1"/>
    </xf>
    <xf numFmtId="0" fontId="57" fillId="2" borderId="0" xfId="0" applyFont="1" applyFill="1" applyProtection="1">
      <protection hidden="1"/>
    </xf>
    <xf numFmtId="0" fontId="14" fillId="2" borderId="0" xfId="0" applyNumberFormat="1" applyFont="1" applyFill="1" applyProtection="1">
      <protection hidden="1"/>
    </xf>
    <xf numFmtId="164" fontId="57" fillId="2" borderId="0" xfId="0" applyNumberFormat="1" applyFont="1" applyFill="1" applyBorder="1" applyProtection="1">
      <protection hidden="1"/>
    </xf>
    <xf numFmtId="14" fontId="40" fillId="2" borderId="0" xfId="0" applyNumberFormat="1" applyFont="1" applyFill="1" applyProtection="1">
      <protection hidden="1"/>
    </xf>
    <xf numFmtId="14" fontId="57" fillId="2" borderId="0" xfId="0" applyNumberFormat="1" applyFont="1" applyFill="1" applyProtection="1">
      <protection hidden="1"/>
    </xf>
    <xf numFmtId="0" fontId="40" fillId="2" borderId="0" xfId="0" applyFont="1" applyFill="1"/>
    <xf numFmtId="0" fontId="14" fillId="2" borderId="0" xfId="0" applyNumberFormat="1" applyFont="1" applyFill="1"/>
    <xf numFmtId="0" fontId="57" fillId="2" borderId="0" xfId="0" applyFont="1" applyFill="1"/>
    <xf numFmtId="0" fontId="60" fillId="12" borderId="1" xfId="0" applyFont="1" applyFill="1" applyBorder="1" applyAlignment="1" applyProtection="1">
      <alignment vertical="center"/>
      <protection hidden="1"/>
    </xf>
    <xf numFmtId="0" fontId="53" fillId="17" borderId="0" xfId="0" applyFont="1" applyFill="1" applyBorder="1" applyProtection="1">
      <protection hidden="1"/>
    </xf>
    <xf numFmtId="164" fontId="27" fillId="3" borderId="0" xfId="0" applyNumberFormat="1" applyFont="1" applyFill="1" applyBorder="1" applyProtection="1">
      <protection hidden="1"/>
    </xf>
    <xf numFmtId="164" fontId="27" fillId="3" borderId="5" xfId="0" applyNumberFormat="1" applyFont="1" applyFill="1" applyBorder="1" applyProtection="1">
      <protection hidden="1"/>
    </xf>
    <xf numFmtId="0" fontId="53" fillId="17" borderId="56" xfId="0" applyFont="1" applyFill="1" applyBorder="1" applyProtection="1">
      <protection hidden="1"/>
    </xf>
    <xf numFmtId="0" fontId="53" fillId="17" borderId="57" xfId="0" applyFont="1" applyFill="1" applyBorder="1" applyProtection="1">
      <protection hidden="1"/>
    </xf>
    <xf numFmtId="0" fontId="53" fillId="17" borderId="53" xfId="0" applyFont="1" applyFill="1" applyBorder="1" applyProtection="1">
      <protection hidden="1"/>
    </xf>
    <xf numFmtId="0" fontId="53" fillId="17" borderId="55" xfId="0" applyFont="1" applyFill="1" applyBorder="1" applyProtection="1">
      <protection hidden="1"/>
    </xf>
    <xf numFmtId="0" fontId="53" fillId="17" borderId="54" xfId="0" applyFont="1" applyFill="1" applyBorder="1" applyProtection="1">
      <protection hidden="1"/>
    </xf>
    <xf numFmtId="175" fontId="57" fillId="2" borderId="0" xfId="0" applyNumberFormat="1" applyFont="1" applyFill="1" applyProtection="1">
      <protection hidden="1"/>
    </xf>
    <xf numFmtId="0" fontId="40" fillId="3" borderId="0" xfId="0" applyFont="1" applyFill="1" applyProtection="1">
      <protection hidden="1"/>
    </xf>
    <xf numFmtId="0" fontId="34" fillId="12" borderId="43" xfId="0" applyFont="1" applyFill="1" applyBorder="1" applyAlignment="1" applyProtection="1">
      <alignment horizontal="centerContinuous" vertical="center"/>
      <protection hidden="1"/>
    </xf>
    <xf numFmtId="0" fontId="34" fillId="12" borderId="44" xfId="0" applyFont="1" applyFill="1" applyBorder="1" applyAlignment="1" applyProtection="1">
      <alignment horizontal="centerContinuous" vertical="center"/>
      <protection hidden="1"/>
    </xf>
    <xf numFmtId="0" fontId="34" fillId="12" borderId="45" xfId="0" applyFont="1" applyFill="1" applyBorder="1" applyAlignment="1" applyProtection="1">
      <alignment horizontal="centerContinuous" vertical="center"/>
      <protection hidden="1"/>
    </xf>
    <xf numFmtId="0" fontId="25" fillId="3" borderId="46" xfId="0" applyFont="1" applyFill="1" applyBorder="1" applyProtection="1">
      <protection hidden="1"/>
    </xf>
    <xf numFmtId="0" fontId="25" fillId="3" borderId="0" xfId="0" applyFont="1" applyFill="1" applyBorder="1" applyProtection="1">
      <protection hidden="1"/>
    </xf>
    <xf numFmtId="0" fontId="25" fillId="3" borderId="47" xfId="0" applyFont="1" applyFill="1" applyBorder="1" applyProtection="1">
      <protection hidden="1"/>
    </xf>
    <xf numFmtId="0" fontId="25" fillId="3" borderId="48" xfId="0" applyFont="1" applyFill="1" applyBorder="1" applyProtection="1">
      <protection hidden="1"/>
    </xf>
    <xf numFmtId="0" fontId="33" fillId="3" borderId="49" xfId="0" applyFont="1" applyFill="1" applyBorder="1" applyAlignment="1" applyProtection="1">
      <alignment vertical="center"/>
      <protection hidden="1"/>
    </xf>
    <xf numFmtId="0" fontId="33" fillId="3" borderId="50" xfId="0" applyFont="1" applyFill="1" applyBorder="1" applyAlignment="1" applyProtection="1">
      <alignment vertical="center"/>
      <protection hidden="1"/>
    </xf>
    <xf numFmtId="175" fontId="33" fillId="22" borderId="49" xfId="0" applyNumberFormat="1" applyFont="1" applyFill="1" applyBorder="1" applyAlignment="1" applyProtection="1">
      <alignment horizontal="right" vertical="center"/>
      <protection locked="0"/>
    </xf>
    <xf numFmtId="175" fontId="33" fillId="22" borderId="51" xfId="0" applyNumberFormat="1" applyFont="1" applyFill="1" applyBorder="1" applyAlignment="1" applyProtection="1">
      <alignment horizontal="right" vertical="center"/>
      <protection locked="0"/>
    </xf>
    <xf numFmtId="175" fontId="33" fillId="3" borderId="51" xfId="0" applyNumberFormat="1" applyFont="1" applyFill="1" applyBorder="1" applyAlignment="1" applyProtection="1">
      <alignment horizontal="right" vertical="center"/>
      <protection hidden="1"/>
    </xf>
    <xf numFmtId="175" fontId="33" fillId="22" borderId="50" xfId="0" applyNumberFormat="1" applyFont="1" applyFill="1" applyBorder="1" applyAlignment="1" applyProtection="1">
      <alignment horizontal="right" vertical="center"/>
      <protection locked="0"/>
    </xf>
    <xf numFmtId="0" fontId="25" fillId="3" borderId="52" xfId="0" applyFont="1" applyFill="1" applyBorder="1" applyProtection="1">
      <protection hidden="1"/>
    </xf>
    <xf numFmtId="0" fontId="31" fillId="3" borderId="53" xfId="0" applyFont="1" applyFill="1" applyBorder="1" applyAlignment="1" applyProtection="1">
      <alignment vertical="center"/>
      <protection hidden="1"/>
    </xf>
    <xf numFmtId="0" fontId="31" fillId="3" borderId="54" xfId="0" applyFont="1" applyFill="1" applyBorder="1" applyAlignment="1" applyProtection="1">
      <alignment vertical="center"/>
      <protection hidden="1"/>
    </xf>
    <xf numFmtId="177" fontId="31" fillId="17" borderId="53" xfId="0" applyNumberFormat="1" applyFont="1" applyFill="1" applyBorder="1" applyAlignment="1" applyProtection="1">
      <alignment horizontal="right" vertical="center"/>
      <protection hidden="1"/>
    </xf>
    <xf numFmtId="177" fontId="31" fillId="17" borderId="55" xfId="0" applyNumberFormat="1" applyFont="1" applyFill="1" applyBorder="1" applyAlignment="1" applyProtection="1">
      <alignment horizontal="right" vertical="center"/>
      <protection hidden="1"/>
    </xf>
    <xf numFmtId="177" fontId="31" fillId="3" borderId="55" xfId="0" applyNumberFormat="1" applyFont="1" applyFill="1" applyBorder="1" applyAlignment="1" applyProtection="1">
      <alignment horizontal="right" vertical="center"/>
      <protection hidden="1"/>
    </xf>
    <xf numFmtId="177" fontId="31" fillId="17" borderId="54" xfId="0" applyNumberFormat="1" applyFont="1" applyFill="1" applyBorder="1" applyAlignment="1" applyProtection="1">
      <alignment horizontal="right" vertical="center"/>
      <protection hidden="1"/>
    </xf>
    <xf numFmtId="0" fontId="31" fillId="17" borderId="49" xfId="0" applyFont="1" applyFill="1" applyBorder="1" applyAlignment="1" applyProtection="1">
      <alignment vertical="center"/>
      <protection hidden="1"/>
    </xf>
    <xf numFmtId="0" fontId="31" fillId="17" borderId="50" xfId="0" applyFont="1" applyFill="1" applyBorder="1" applyAlignment="1" applyProtection="1">
      <alignment horizontal="right" vertical="center"/>
      <protection hidden="1"/>
    </xf>
    <xf numFmtId="0" fontId="31" fillId="17" borderId="56" xfId="0" applyFont="1" applyFill="1" applyBorder="1" applyAlignment="1" applyProtection="1">
      <alignment vertical="center"/>
      <protection hidden="1"/>
    </xf>
    <xf numFmtId="0" fontId="31" fillId="17" borderId="57" xfId="0" applyFont="1" applyFill="1" applyBorder="1" applyAlignment="1" applyProtection="1">
      <alignment horizontal="right" vertical="center"/>
      <protection hidden="1"/>
    </xf>
    <xf numFmtId="3" fontId="31" fillId="17" borderId="56" xfId="0" applyNumberFormat="1" applyFont="1" applyFill="1" applyBorder="1" applyAlignment="1" applyProtection="1">
      <alignment horizontal="right" vertical="center"/>
      <protection hidden="1"/>
    </xf>
    <xf numFmtId="3" fontId="31" fillId="17" borderId="57" xfId="0" applyNumberFormat="1" applyFont="1" applyFill="1" applyBorder="1" applyAlignment="1" applyProtection="1">
      <alignment horizontal="right" vertical="center"/>
      <protection hidden="1"/>
    </xf>
    <xf numFmtId="4" fontId="31" fillId="17" borderId="56" xfId="0" applyNumberFormat="1" applyFont="1" applyFill="1" applyBorder="1" applyAlignment="1" applyProtection="1">
      <alignment horizontal="right" vertical="center"/>
      <protection hidden="1"/>
    </xf>
    <xf numFmtId="4" fontId="31" fillId="17" borderId="57" xfId="0" applyNumberFormat="1" applyFont="1" applyFill="1" applyBorder="1" applyAlignment="1" applyProtection="1">
      <alignment horizontal="right" vertical="center"/>
      <protection hidden="1"/>
    </xf>
    <xf numFmtId="174" fontId="31" fillId="17" borderId="56" xfId="0" applyNumberFormat="1" applyFont="1" applyFill="1" applyBorder="1" applyAlignment="1" applyProtection="1">
      <alignment horizontal="right" vertical="center"/>
      <protection hidden="1"/>
    </xf>
    <xf numFmtId="174" fontId="31" fillId="17" borderId="57" xfId="0" applyNumberFormat="1" applyFont="1" applyFill="1" applyBorder="1" applyAlignment="1" applyProtection="1">
      <alignment horizontal="right" vertical="center"/>
      <protection hidden="1"/>
    </xf>
    <xf numFmtId="0" fontId="31" fillId="17" borderId="53" xfId="0" applyFont="1" applyFill="1" applyBorder="1" applyAlignment="1" applyProtection="1">
      <alignment vertical="center"/>
      <protection hidden="1"/>
    </xf>
    <xf numFmtId="0" fontId="31" fillId="17" borderId="54" xfId="0" applyFont="1" applyFill="1" applyBorder="1" applyAlignment="1" applyProtection="1">
      <alignment vertical="center"/>
      <protection hidden="1"/>
    </xf>
    <xf numFmtId="0" fontId="61" fillId="17" borderId="0" xfId="0" applyFont="1" applyFill="1" applyProtection="1">
      <protection hidden="1"/>
    </xf>
    <xf numFmtId="0" fontId="62" fillId="17" borderId="0" xfId="0" applyFont="1" applyFill="1" applyProtection="1">
      <protection hidden="1"/>
    </xf>
    <xf numFmtId="0" fontId="62" fillId="17" borderId="0" xfId="0" applyFont="1" applyFill="1" applyBorder="1" applyProtection="1">
      <protection hidden="1"/>
    </xf>
    <xf numFmtId="0" fontId="31" fillId="17" borderId="58" xfId="0" applyFont="1" applyFill="1" applyBorder="1" applyAlignment="1" applyProtection="1">
      <alignment vertical="center"/>
      <protection hidden="1"/>
    </xf>
    <xf numFmtId="0" fontId="31" fillId="17" borderId="59" xfId="0" applyFont="1" applyFill="1" applyBorder="1" applyAlignment="1" applyProtection="1">
      <alignment horizontal="right" vertical="center"/>
      <protection hidden="1"/>
    </xf>
    <xf numFmtId="175" fontId="33" fillId="17" borderId="58" xfId="0" applyNumberFormat="1" applyFont="1" applyFill="1" applyBorder="1" applyAlignment="1" applyProtection="1">
      <alignment horizontal="right" vertical="center"/>
      <protection hidden="1"/>
    </xf>
    <xf numFmtId="175" fontId="33" fillId="17" borderId="59" xfId="0" applyNumberFormat="1" applyFont="1" applyFill="1" applyBorder="1" applyAlignment="1" applyProtection="1">
      <alignment horizontal="right" vertical="center"/>
      <protection hidden="1"/>
    </xf>
    <xf numFmtId="175" fontId="33" fillId="17" borderId="60" xfId="0" applyNumberFormat="1" applyFont="1" applyFill="1" applyBorder="1" applyAlignment="1" applyProtection="1">
      <alignment horizontal="right" vertical="center"/>
      <protection hidden="1"/>
    </xf>
    <xf numFmtId="0" fontId="31" fillId="17" borderId="60" xfId="0" applyFont="1" applyFill="1" applyBorder="1" applyAlignment="1" applyProtection="1">
      <alignment vertical="center"/>
      <protection hidden="1"/>
    </xf>
    <xf numFmtId="166" fontId="31" fillId="17" borderId="58" xfId="0" applyNumberFormat="1" applyFont="1" applyFill="1" applyBorder="1" applyAlignment="1" applyProtection="1">
      <alignment horizontal="right" vertical="center"/>
      <protection hidden="1"/>
    </xf>
    <xf numFmtId="166" fontId="31" fillId="17" borderId="59" xfId="0" applyNumberFormat="1" applyFont="1" applyFill="1" applyBorder="1" applyAlignment="1" applyProtection="1">
      <alignment horizontal="right" vertical="center"/>
      <protection hidden="1"/>
    </xf>
    <xf numFmtId="166" fontId="31" fillId="17" borderId="60" xfId="0" applyNumberFormat="1" applyFont="1" applyFill="1" applyBorder="1" applyAlignment="1" applyProtection="1">
      <alignment horizontal="right" vertical="center"/>
      <protection hidden="1"/>
    </xf>
    <xf numFmtId="3" fontId="31" fillId="17" borderId="58" xfId="0" applyNumberFormat="1" applyFont="1" applyFill="1" applyBorder="1" applyAlignment="1" applyProtection="1">
      <alignment horizontal="right" vertical="center"/>
      <protection hidden="1"/>
    </xf>
    <xf numFmtId="3" fontId="31" fillId="17" borderId="59" xfId="0" applyNumberFormat="1" applyFont="1" applyFill="1" applyBorder="1" applyAlignment="1" applyProtection="1">
      <alignment horizontal="right" vertical="center"/>
      <protection hidden="1"/>
    </xf>
    <xf numFmtId="3" fontId="31" fillId="17" borderId="60" xfId="0" applyNumberFormat="1" applyFont="1" applyFill="1" applyBorder="1" applyAlignment="1" applyProtection="1">
      <alignment horizontal="right" vertical="center"/>
      <protection hidden="1"/>
    </xf>
    <xf numFmtId="0" fontId="25" fillId="3" borderId="61" xfId="0" applyFont="1" applyFill="1" applyBorder="1" applyProtection="1">
      <protection hidden="1"/>
    </xf>
    <xf numFmtId="0" fontId="25" fillId="3" borderId="62" xfId="0" applyFont="1" applyFill="1" applyBorder="1" applyProtection="1">
      <protection hidden="1"/>
    </xf>
    <xf numFmtId="0" fontId="25" fillId="3" borderId="63" xfId="0" applyFont="1" applyFill="1" applyBorder="1" applyProtection="1">
      <protection hidden="1"/>
    </xf>
    <xf numFmtId="164" fontId="24" fillId="3" borderId="0" xfId="0" applyNumberFormat="1" applyFont="1" applyFill="1" applyBorder="1" applyProtection="1">
      <protection hidden="1"/>
    </xf>
    <xf numFmtId="0" fontId="33" fillId="17" borderId="49" xfId="0" applyFont="1" applyFill="1" applyBorder="1" applyAlignment="1" applyProtection="1">
      <alignment vertical="center"/>
      <protection hidden="1"/>
    </xf>
    <xf numFmtId="0" fontId="33" fillId="17" borderId="51" xfId="0" applyFont="1" applyFill="1" applyBorder="1" applyAlignment="1" applyProtection="1">
      <alignment vertical="center"/>
      <protection hidden="1"/>
    </xf>
    <xf numFmtId="3" fontId="33" fillId="22" borderId="49" xfId="0" applyNumberFormat="1" applyFont="1" applyFill="1" applyBorder="1" applyAlignment="1" applyProtection="1">
      <alignment horizontal="right" vertical="center"/>
      <protection locked="0"/>
    </xf>
    <xf numFmtId="3" fontId="33" fillId="22" borderId="51" xfId="0" applyNumberFormat="1" applyFont="1" applyFill="1" applyBorder="1" applyAlignment="1" applyProtection="1">
      <alignment horizontal="right" vertical="center"/>
      <protection locked="0"/>
    </xf>
    <xf numFmtId="3" fontId="33" fillId="3" borderId="51" xfId="0" applyNumberFormat="1" applyFont="1" applyFill="1" applyBorder="1" applyAlignment="1" applyProtection="1">
      <alignment horizontal="right" vertical="center"/>
      <protection hidden="1"/>
    </xf>
    <xf numFmtId="3" fontId="33" fillId="22" borderId="50" xfId="0" applyNumberFormat="1" applyFont="1" applyFill="1" applyBorder="1" applyAlignment="1" applyProtection="1">
      <alignment horizontal="right" vertical="center"/>
      <protection locked="0"/>
    </xf>
    <xf numFmtId="0" fontId="31" fillId="17" borderId="55" xfId="0" applyFont="1" applyFill="1" applyBorder="1" applyAlignment="1" applyProtection="1">
      <alignment vertical="center"/>
      <protection hidden="1"/>
    </xf>
    <xf numFmtId="0" fontId="31" fillId="17" borderId="50" xfId="0" applyFont="1" applyFill="1" applyBorder="1" applyAlignment="1" applyProtection="1">
      <alignment vertical="center"/>
      <protection hidden="1"/>
    </xf>
    <xf numFmtId="0" fontId="31" fillId="17" borderId="57" xfId="0" applyFont="1" applyFill="1" applyBorder="1" applyAlignment="1" applyProtection="1">
      <alignment vertical="center"/>
      <protection hidden="1"/>
    </xf>
    <xf numFmtId="10" fontId="31" fillId="17" borderId="56" xfId="0" applyNumberFormat="1" applyFont="1" applyFill="1" applyBorder="1" applyAlignment="1" applyProtection="1">
      <alignment horizontal="right" vertical="center"/>
      <protection hidden="1"/>
    </xf>
    <xf numFmtId="10" fontId="31" fillId="17" borderId="57" xfId="0" applyNumberFormat="1" applyFont="1" applyFill="1" applyBorder="1" applyAlignment="1" applyProtection="1">
      <alignment horizontal="right" vertical="center"/>
      <protection hidden="1"/>
    </xf>
    <xf numFmtId="0" fontId="53" fillId="17" borderId="49" xfId="0" applyFont="1" applyFill="1" applyBorder="1" applyProtection="1">
      <protection hidden="1"/>
    </xf>
    <xf numFmtId="0" fontId="53" fillId="17" borderId="51" xfId="0" applyFont="1" applyFill="1" applyBorder="1" applyProtection="1">
      <protection hidden="1"/>
    </xf>
    <xf numFmtId="0" fontId="53" fillId="17" borderId="50" xfId="0" applyFont="1" applyFill="1" applyBorder="1" applyProtection="1">
      <protection hidden="1"/>
    </xf>
    <xf numFmtId="3" fontId="33" fillId="17" borderId="58" xfId="0" applyNumberFormat="1" applyFont="1" applyFill="1" applyBorder="1" applyAlignment="1" applyProtection="1">
      <alignment horizontal="right" vertical="center"/>
      <protection hidden="1"/>
    </xf>
    <xf numFmtId="3" fontId="33" fillId="17" borderId="59" xfId="0" applyNumberFormat="1" applyFont="1" applyFill="1" applyBorder="1" applyAlignment="1" applyProtection="1">
      <alignment horizontal="right" vertical="center"/>
      <protection hidden="1"/>
    </xf>
    <xf numFmtId="3" fontId="33" fillId="17" borderId="60" xfId="0" applyNumberFormat="1" applyFont="1" applyFill="1" applyBorder="1" applyAlignment="1" applyProtection="1">
      <alignment horizontal="right" vertical="center"/>
      <protection hidden="1"/>
    </xf>
    <xf numFmtId="173" fontId="31" fillId="17" borderId="58" xfId="0" applyNumberFormat="1" applyFont="1" applyFill="1" applyBorder="1" applyAlignment="1" applyProtection="1">
      <alignment horizontal="right" vertical="center"/>
      <protection hidden="1"/>
    </xf>
    <xf numFmtId="173" fontId="31" fillId="17" borderId="59" xfId="0" applyNumberFormat="1" applyFont="1" applyFill="1" applyBorder="1" applyAlignment="1" applyProtection="1">
      <alignment horizontal="right" vertical="center"/>
      <protection hidden="1"/>
    </xf>
    <xf numFmtId="173" fontId="31" fillId="17" borderId="60" xfId="0" applyNumberFormat="1" applyFont="1" applyFill="1" applyBorder="1" applyAlignment="1" applyProtection="1">
      <alignment horizontal="right" vertical="center"/>
      <protection hidden="1"/>
    </xf>
    <xf numFmtId="0" fontId="25" fillId="3" borderId="64" xfId="0" applyFont="1" applyFill="1" applyBorder="1" applyProtection="1">
      <protection hidden="1"/>
    </xf>
    <xf numFmtId="0" fontId="25" fillId="3" borderId="5" xfId="0" applyFont="1" applyFill="1" applyBorder="1" applyProtection="1">
      <protection hidden="1"/>
    </xf>
    <xf numFmtId="164" fontId="24" fillId="3" borderId="5" xfId="0" applyNumberFormat="1" applyFont="1" applyFill="1" applyBorder="1" applyProtection="1">
      <protection hidden="1"/>
    </xf>
    <xf numFmtId="0" fontId="25" fillId="3" borderId="65" xfId="0" applyFont="1" applyFill="1" applyBorder="1" applyProtection="1">
      <protection hidden="1"/>
    </xf>
    <xf numFmtId="0" fontId="33" fillId="17" borderId="58" xfId="0" applyFont="1" applyFill="1" applyBorder="1" applyAlignment="1" applyProtection="1">
      <alignment vertical="center"/>
      <protection hidden="1"/>
    </xf>
    <xf numFmtId="0" fontId="33" fillId="17" borderId="60" xfId="0" applyFont="1" applyFill="1" applyBorder="1" applyAlignment="1" applyProtection="1">
      <alignment vertical="center"/>
      <protection hidden="1"/>
    </xf>
    <xf numFmtId="177" fontId="33" fillId="22" borderId="58" xfId="0" applyNumberFormat="1" applyFont="1" applyFill="1" applyBorder="1" applyAlignment="1" applyProtection="1">
      <alignment horizontal="right" vertical="center"/>
      <protection locked="0"/>
    </xf>
    <xf numFmtId="177" fontId="33" fillId="22" borderId="59" xfId="0" applyNumberFormat="1" applyFont="1" applyFill="1" applyBorder="1" applyAlignment="1" applyProtection="1">
      <alignment horizontal="right" vertical="center"/>
      <protection locked="0"/>
    </xf>
    <xf numFmtId="177" fontId="33" fillId="3" borderId="59" xfId="0" applyNumberFormat="1" applyFont="1" applyFill="1" applyBorder="1" applyAlignment="1" applyProtection="1">
      <alignment horizontal="right" vertical="center"/>
      <protection hidden="1"/>
    </xf>
    <xf numFmtId="177" fontId="33" fillId="22" borderId="60" xfId="0" applyNumberFormat="1" applyFont="1" applyFill="1" applyBorder="1" applyAlignment="1" applyProtection="1">
      <alignment horizontal="right" vertical="center"/>
      <protection locked="0"/>
    </xf>
    <xf numFmtId="0" fontId="61" fillId="17" borderId="49" xfId="0" applyFont="1" applyFill="1" applyBorder="1" applyProtection="1">
      <protection hidden="1"/>
    </xf>
    <xf numFmtId="0" fontId="61" fillId="17" borderId="51" xfId="0" applyFont="1" applyFill="1" applyBorder="1" applyProtection="1">
      <protection hidden="1"/>
    </xf>
    <xf numFmtId="0" fontId="61" fillId="17" borderId="50" xfId="0" applyFont="1" applyFill="1" applyBorder="1" applyProtection="1">
      <protection hidden="1"/>
    </xf>
    <xf numFmtId="0" fontId="62" fillId="17" borderId="56" xfId="0" applyFont="1" applyFill="1" applyBorder="1" applyProtection="1">
      <protection hidden="1"/>
    </xf>
    <xf numFmtId="0" fontId="62" fillId="17" borderId="57" xfId="0" applyFont="1" applyFill="1" applyBorder="1" applyProtection="1">
      <protection hidden="1"/>
    </xf>
    <xf numFmtId="0" fontId="62" fillId="17" borderId="53" xfId="0" applyFont="1" applyFill="1" applyBorder="1" applyProtection="1">
      <protection hidden="1"/>
    </xf>
    <xf numFmtId="0" fontId="62" fillId="17" borderId="55" xfId="0" applyFont="1" applyFill="1" applyBorder="1" applyProtection="1">
      <protection hidden="1"/>
    </xf>
    <xf numFmtId="0" fontId="62" fillId="17" borderId="54" xfId="0" applyFont="1" applyFill="1" applyBorder="1" applyProtection="1">
      <protection hidden="1"/>
    </xf>
    <xf numFmtId="0" fontId="31" fillId="17" borderId="60" xfId="0" applyFont="1" applyFill="1" applyBorder="1" applyAlignment="1" applyProtection="1">
      <alignment horizontal="right" vertical="center"/>
      <protection hidden="1"/>
    </xf>
    <xf numFmtId="178" fontId="33" fillId="17" borderId="58" xfId="0" applyNumberFormat="1" applyFont="1" applyFill="1" applyBorder="1" applyAlignment="1" applyProtection="1">
      <alignment horizontal="right" vertical="center"/>
      <protection hidden="1"/>
    </xf>
    <xf numFmtId="178" fontId="33" fillId="17" borderId="59" xfId="0" applyNumberFormat="1" applyFont="1" applyFill="1" applyBorder="1" applyAlignment="1" applyProtection="1">
      <alignment horizontal="right" vertical="center"/>
      <protection hidden="1"/>
    </xf>
    <xf numFmtId="178" fontId="33" fillId="17" borderId="60" xfId="0" applyNumberFormat="1" applyFont="1" applyFill="1" applyBorder="1" applyAlignment="1" applyProtection="1">
      <alignment horizontal="right" vertical="center"/>
      <protection hidden="1"/>
    </xf>
    <xf numFmtId="177" fontId="33" fillId="17" borderId="58" xfId="0" applyNumberFormat="1" applyFont="1" applyFill="1" applyBorder="1" applyAlignment="1" applyProtection="1">
      <alignment horizontal="right" vertical="center"/>
      <protection hidden="1"/>
    </xf>
    <xf numFmtId="177" fontId="33" fillId="17" borderId="59" xfId="0" applyNumberFormat="1" applyFont="1" applyFill="1" applyBorder="1" applyAlignment="1" applyProtection="1">
      <alignment horizontal="right" vertical="center"/>
      <protection hidden="1"/>
    </xf>
    <xf numFmtId="177" fontId="33" fillId="17" borderId="60" xfId="0" applyNumberFormat="1" applyFont="1" applyFill="1" applyBorder="1" applyAlignment="1" applyProtection="1">
      <alignment horizontal="right" vertical="center"/>
      <protection hidden="1"/>
    </xf>
    <xf numFmtId="10" fontId="31" fillId="17" borderId="58" xfId="0" applyNumberFormat="1" applyFont="1" applyFill="1" applyBorder="1" applyAlignment="1" applyProtection="1">
      <alignment horizontal="right" vertical="center"/>
      <protection hidden="1"/>
    </xf>
    <xf numFmtId="10" fontId="31" fillId="17" borderId="59" xfId="0" applyNumberFormat="1" applyFont="1" applyFill="1" applyBorder="1" applyAlignment="1" applyProtection="1">
      <alignment horizontal="right" vertical="center"/>
      <protection hidden="1"/>
    </xf>
    <xf numFmtId="10" fontId="31" fillId="17" borderId="60" xfId="0" applyNumberFormat="1" applyFont="1" applyFill="1" applyBorder="1" applyAlignment="1" applyProtection="1">
      <alignment horizontal="right" vertical="center"/>
      <protection hidden="1"/>
    </xf>
    <xf numFmtId="0" fontId="31" fillId="3" borderId="58" xfId="0" applyFont="1" applyFill="1" applyBorder="1" applyAlignment="1" applyProtection="1">
      <alignment vertical="center"/>
      <protection hidden="1"/>
    </xf>
    <xf numFmtId="0" fontId="31" fillId="3" borderId="60" xfId="0" applyFont="1" applyFill="1" applyBorder="1" applyAlignment="1" applyProtection="1">
      <alignment vertical="center"/>
      <protection hidden="1"/>
    </xf>
    <xf numFmtId="0" fontId="31" fillId="17" borderId="59" xfId="0" applyFont="1" applyFill="1" applyBorder="1" applyAlignment="1" applyProtection="1">
      <alignment vertical="center"/>
      <protection hidden="1"/>
    </xf>
    <xf numFmtId="0" fontId="41" fillId="2" borderId="0" xfId="0" applyFont="1" applyFill="1" applyAlignment="1">
      <alignment horizontal="left" indent="2"/>
    </xf>
    <xf numFmtId="177" fontId="33" fillId="22" borderId="49" xfId="0" applyNumberFormat="1" applyFont="1" applyFill="1" applyBorder="1" applyAlignment="1" applyProtection="1">
      <alignment horizontal="right" vertical="center"/>
      <protection locked="0"/>
    </xf>
    <xf numFmtId="177" fontId="33" fillId="22" borderId="51" xfId="0" applyNumberFormat="1" applyFont="1" applyFill="1" applyBorder="1" applyAlignment="1" applyProtection="1">
      <alignment horizontal="right" vertical="center"/>
      <protection locked="0"/>
    </xf>
    <xf numFmtId="177" fontId="33" fillId="3" borderId="51" xfId="0" applyNumberFormat="1" applyFont="1" applyFill="1" applyBorder="1" applyAlignment="1" applyProtection="1">
      <alignment horizontal="right" vertical="center"/>
      <protection hidden="1"/>
    </xf>
    <xf numFmtId="177" fontId="33" fillId="22" borderId="50" xfId="0" applyNumberFormat="1" applyFont="1" applyFill="1" applyBorder="1" applyAlignment="1" applyProtection="1">
      <alignment horizontal="right" vertical="center"/>
      <protection locked="0"/>
    </xf>
    <xf numFmtId="0" fontId="63" fillId="17" borderId="53" xfId="0" applyFont="1" applyFill="1" applyBorder="1" applyAlignment="1" applyProtection="1">
      <alignment vertical="center"/>
      <protection hidden="1"/>
    </xf>
    <xf numFmtId="0" fontId="64" fillId="17" borderId="54" xfId="0" applyFont="1" applyFill="1" applyBorder="1" applyAlignment="1" applyProtection="1">
      <alignment horizontal="right" vertical="center"/>
      <protection hidden="1"/>
    </xf>
    <xf numFmtId="174" fontId="63" fillId="17" borderId="53" xfId="0" applyNumberFormat="1" applyFont="1" applyFill="1" applyBorder="1" applyAlignment="1" applyProtection="1">
      <alignment horizontal="right" vertical="center"/>
      <protection hidden="1"/>
    </xf>
    <xf numFmtId="174" fontId="63" fillId="17" borderId="55" xfId="0" applyNumberFormat="1" applyFont="1" applyFill="1" applyBorder="1" applyAlignment="1" applyProtection="1">
      <alignment horizontal="right" vertical="center"/>
      <protection hidden="1"/>
    </xf>
    <xf numFmtId="174" fontId="63" fillId="17" borderId="54" xfId="0" applyNumberFormat="1" applyFont="1" applyFill="1" applyBorder="1" applyAlignment="1" applyProtection="1">
      <alignment horizontal="right" vertical="center"/>
      <protection hidden="1"/>
    </xf>
    <xf numFmtId="164" fontId="40" fillId="2" borderId="0" xfId="0" applyNumberFormat="1" applyFont="1" applyFill="1"/>
    <xf numFmtId="0" fontId="33" fillId="17" borderId="50" xfId="0" applyFont="1" applyFill="1" applyBorder="1" applyAlignment="1" applyProtection="1">
      <alignment vertical="center"/>
      <protection hidden="1"/>
    </xf>
    <xf numFmtId="0" fontId="31" fillId="3" borderId="56" xfId="0" applyFont="1" applyFill="1" applyBorder="1" applyAlignment="1" applyProtection="1">
      <alignment vertical="center"/>
      <protection hidden="1"/>
    </xf>
    <xf numFmtId="0" fontId="40" fillId="17" borderId="0" xfId="0" applyFont="1" applyFill="1" applyBorder="1" applyProtection="1">
      <protection hidden="1"/>
    </xf>
    <xf numFmtId="0" fontId="40" fillId="17" borderId="0" xfId="0" quotePrefix="1" applyFont="1" applyFill="1" applyAlignment="1" applyProtection="1">
      <alignment horizontal="center"/>
      <protection hidden="1"/>
    </xf>
    <xf numFmtId="0" fontId="40" fillId="17" borderId="0" xfId="0" applyFont="1" applyFill="1"/>
    <xf numFmtId="0" fontId="31" fillId="17" borderId="0" xfId="0" quotePrefix="1" applyFont="1" applyFill="1" applyAlignment="1" applyProtection="1">
      <alignment horizontal="right"/>
      <protection hidden="1"/>
    </xf>
    <xf numFmtId="0" fontId="35" fillId="5" borderId="0" xfId="0" applyFont="1" applyFill="1" applyBorder="1" applyProtection="1">
      <protection hidden="1"/>
    </xf>
    <xf numFmtId="0" fontId="35" fillId="12" borderId="0" xfId="0" applyFont="1" applyFill="1" applyBorder="1" applyProtection="1">
      <protection hidden="1"/>
    </xf>
    <xf numFmtId="0" fontId="35" fillId="12" borderId="0" xfId="0" applyFont="1" applyFill="1" applyProtection="1">
      <protection hidden="1"/>
    </xf>
    <xf numFmtId="0" fontId="35" fillId="12" borderId="0" xfId="0" applyFont="1" applyFill="1" applyAlignment="1" applyProtection="1">
      <alignment vertical="center"/>
      <protection hidden="1"/>
    </xf>
    <xf numFmtId="0" fontId="65" fillId="17" borderId="0" xfId="0" applyFont="1" applyFill="1" applyBorder="1" applyProtection="1">
      <protection hidden="1"/>
    </xf>
    <xf numFmtId="0" fontId="36" fillId="17" borderId="0" xfId="0" applyFont="1" applyFill="1" applyAlignment="1" applyProtection="1">
      <alignment horizontal="right"/>
      <protection hidden="1"/>
    </xf>
    <xf numFmtId="0" fontId="36" fillId="17" borderId="0" xfId="0" applyFont="1" applyFill="1" applyBorder="1" applyProtection="1">
      <protection hidden="1"/>
    </xf>
    <xf numFmtId="0" fontId="21" fillId="17" borderId="15" xfId="0" applyFont="1" applyFill="1" applyBorder="1" applyProtection="1">
      <protection hidden="1"/>
    </xf>
    <xf numFmtId="0" fontId="22" fillId="17" borderId="15" xfId="0" applyFont="1" applyFill="1" applyBorder="1" applyProtection="1">
      <protection hidden="1"/>
    </xf>
    <xf numFmtId="0" fontId="22" fillId="17" borderId="15" xfId="0" applyFont="1" applyFill="1" applyBorder="1" applyAlignment="1" applyProtection="1">
      <alignment horizontal="right"/>
      <protection hidden="1"/>
    </xf>
    <xf numFmtId="0" fontId="36" fillId="17" borderId="0" xfId="0" applyFont="1" applyFill="1" applyProtection="1">
      <protection hidden="1"/>
    </xf>
    <xf numFmtId="3" fontId="40" fillId="17" borderId="0" xfId="0" applyNumberFormat="1" applyFont="1" applyFill="1" applyProtection="1">
      <protection hidden="1"/>
    </xf>
    <xf numFmtId="0" fontId="36" fillId="17" borderId="5" xfId="0" applyFont="1" applyFill="1" applyBorder="1" applyProtection="1">
      <protection hidden="1"/>
    </xf>
    <xf numFmtId="3" fontId="36" fillId="17" borderId="5" xfId="0" applyNumberFormat="1" applyFont="1" applyFill="1" applyBorder="1" applyProtection="1">
      <protection hidden="1"/>
    </xf>
    <xf numFmtId="0" fontId="66" fillId="17" borderId="0" xfId="0" applyFont="1" applyFill="1" applyBorder="1" applyAlignment="1" applyProtection="1">
      <alignment vertical="top"/>
      <protection hidden="1"/>
    </xf>
    <xf numFmtId="3" fontId="66" fillId="17" borderId="0" xfId="0" applyNumberFormat="1" applyFont="1" applyFill="1" applyBorder="1" applyAlignment="1" applyProtection="1">
      <alignment vertical="top"/>
      <protection hidden="1"/>
    </xf>
    <xf numFmtId="166" fontId="66" fillId="17" borderId="0" xfId="0" applyNumberFormat="1" applyFont="1" applyFill="1" applyBorder="1" applyAlignment="1" applyProtection="1">
      <alignment vertical="top"/>
      <protection hidden="1"/>
    </xf>
    <xf numFmtId="3" fontId="36" fillId="17" borderId="0" xfId="0" applyNumberFormat="1" applyFont="1" applyFill="1" applyBorder="1" applyProtection="1">
      <protection hidden="1"/>
    </xf>
    <xf numFmtId="3" fontId="14" fillId="17" borderId="0" xfId="0" applyNumberFormat="1" applyFont="1" applyFill="1" applyProtection="1">
      <protection hidden="1"/>
    </xf>
    <xf numFmtId="0" fontId="66" fillId="17" borderId="5" xfId="0" applyFont="1" applyFill="1" applyBorder="1" applyProtection="1">
      <protection hidden="1"/>
    </xf>
    <xf numFmtId="166" fontId="66" fillId="17" borderId="5" xfId="0" applyNumberFormat="1" applyFont="1" applyFill="1" applyBorder="1" applyAlignment="1" applyProtection="1">
      <alignment horizontal="right"/>
      <protection hidden="1"/>
    </xf>
    <xf numFmtId="0" fontId="66" fillId="17" borderId="15" xfId="0" applyFont="1" applyFill="1" applyBorder="1" applyProtection="1">
      <protection hidden="1"/>
    </xf>
    <xf numFmtId="3" fontId="66" fillId="17" borderId="15" xfId="0" applyNumberFormat="1" applyFont="1" applyFill="1" applyBorder="1" applyAlignment="1" applyProtection="1">
      <alignment horizontal="right"/>
      <protection hidden="1"/>
    </xf>
    <xf numFmtId="0" fontId="36" fillId="17" borderId="66" xfId="0" applyFont="1" applyFill="1" applyBorder="1" applyProtection="1">
      <protection hidden="1"/>
    </xf>
    <xf numFmtId="3" fontId="36" fillId="17" borderId="66" xfId="0" applyNumberFormat="1" applyFont="1" applyFill="1" applyBorder="1" applyProtection="1">
      <protection hidden="1"/>
    </xf>
    <xf numFmtId="0" fontId="40" fillId="17" borderId="5" xfId="0" applyFont="1" applyFill="1" applyBorder="1" applyProtection="1">
      <protection hidden="1"/>
    </xf>
    <xf numFmtId="3" fontId="36" fillId="17" borderId="0" xfId="0" applyNumberFormat="1" applyFont="1" applyFill="1" applyProtection="1">
      <protection hidden="1"/>
    </xf>
    <xf numFmtId="0" fontId="67" fillId="17" borderId="0" xfId="0" applyFont="1" applyFill="1" applyBorder="1" applyProtection="1">
      <protection hidden="1"/>
    </xf>
    <xf numFmtId="0" fontId="40" fillId="17" borderId="15" xfId="0" applyFont="1" applyFill="1" applyBorder="1" applyProtection="1">
      <protection hidden="1"/>
    </xf>
    <xf numFmtId="3" fontId="40" fillId="17" borderId="15" xfId="0" applyNumberFormat="1" applyFont="1" applyFill="1" applyBorder="1" applyProtection="1">
      <protection hidden="1"/>
    </xf>
    <xf numFmtId="3" fontId="14" fillId="17" borderId="15" xfId="0" applyNumberFormat="1" applyFont="1" applyFill="1" applyBorder="1" applyProtection="1">
      <protection hidden="1"/>
    </xf>
    <xf numFmtId="0" fontId="40" fillId="17" borderId="0" xfId="0" applyFont="1" applyFill="1" applyBorder="1"/>
    <xf numFmtId="168" fontId="42" fillId="13" borderId="3" xfId="0" applyNumberFormat="1" applyFont="1" applyFill="1" applyBorder="1" applyAlignment="1" applyProtection="1">
      <alignment horizontal="right"/>
      <protection hidden="1"/>
    </xf>
    <xf numFmtId="1" fontId="31" fillId="17" borderId="3" xfId="0" applyNumberFormat="1" applyFont="1" applyFill="1" applyBorder="1" applyAlignment="1" applyProtection="1">
      <alignment horizontal="right"/>
      <protection hidden="1"/>
    </xf>
    <xf numFmtId="3" fontId="33" fillId="22" borderId="3" xfId="0" applyNumberFormat="1" applyFont="1" applyFill="1" applyBorder="1" applyAlignment="1" applyProtection="1">
      <alignment vertical="center"/>
      <protection locked="0"/>
    </xf>
    <xf numFmtId="0" fontId="42" fillId="10" borderId="89" xfId="0" quotePrefix="1" applyFont="1" applyFill="1" applyBorder="1" applyAlignment="1" applyProtection="1">
      <alignment horizontal="right"/>
      <protection hidden="1"/>
    </xf>
    <xf numFmtId="168" fontId="42" fillId="13" borderId="89" xfId="0" applyNumberFormat="1" applyFont="1" applyFill="1" applyBorder="1" applyAlignment="1" applyProtection="1">
      <alignment horizontal="right"/>
      <protection hidden="1"/>
    </xf>
    <xf numFmtId="168" fontId="42" fillId="12" borderId="89" xfId="0" applyNumberFormat="1" applyFont="1" applyFill="1" applyBorder="1" applyAlignment="1" applyProtection="1">
      <alignment horizontal="right"/>
      <protection hidden="1"/>
    </xf>
    <xf numFmtId="0" fontId="31" fillId="17" borderId="89" xfId="0" quotePrefix="1" applyFont="1" applyFill="1" applyBorder="1" applyAlignment="1" applyProtection="1">
      <protection hidden="1"/>
    </xf>
    <xf numFmtId="1" fontId="31" fillId="17" borderId="89" xfId="0" applyNumberFormat="1" applyFont="1" applyFill="1" applyBorder="1" applyAlignment="1" applyProtection="1">
      <alignment horizontal="right"/>
      <protection hidden="1"/>
    </xf>
    <xf numFmtId="0" fontId="31" fillId="17" borderId="89" xfId="0" applyFont="1" applyFill="1" applyBorder="1" applyAlignment="1" applyProtection="1">
      <alignment vertical="center"/>
      <protection hidden="1"/>
    </xf>
    <xf numFmtId="3" fontId="33" fillId="22" borderId="89" xfId="0" applyNumberFormat="1" applyFont="1" applyFill="1" applyBorder="1" applyAlignment="1" applyProtection="1">
      <alignment vertical="center"/>
      <protection locked="0"/>
    </xf>
    <xf numFmtId="3" fontId="33" fillId="22" borderId="6" xfId="0" applyNumberFormat="1" applyFont="1" applyFill="1" applyBorder="1" applyAlignment="1" applyProtection="1">
      <alignment horizontal="right"/>
      <protection locked="0"/>
    </xf>
    <xf numFmtId="3" fontId="31" fillId="17" borderId="89" xfId="0" applyNumberFormat="1" applyFont="1" applyFill="1" applyBorder="1" applyAlignment="1" applyProtection="1">
      <protection hidden="1"/>
    </xf>
    <xf numFmtId="3" fontId="31" fillId="17" borderId="90" xfId="0" applyNumberFormat="1" applyFont="1" applyFill="1" applyBorder="1" applyAlignment="1" applyProtection="1">
      <protection hidden="1"/>
    </xf>
    <xf numFmtId="3" fontId="33" fillId="22" borderId="90" xfId="0" applyNumberFormat="1" applyFont="1" applyFill="1" applyBorder="1" applyAlignment="1" applyProtection="1">
      <alignment horizontal="right"/>
      <protection locked="0"/>
    </xf>
    <xf numFmtId="3" fontId="31" fillId="17" borderId="91" xfId="0" applyNumberFormat="1" applyFont="1" applyFill="1" applyBorder="1" applyAlignment="1" applyProtection="1">
      <protection hidden="1"/>
    </xf>
    <xf numFmtId="3" fontId="31" fillId="17" borderId="91" xfId="0" applyNumberFormat="1" applyFont="1" applyFill="1" applyBorder="1" applyAlignment="1" applyProtection="1">
      <alignment horizontal="right"/>
      <protection hidden="1"/>
    </xf>
    <xf numFmtId="3" fontId="31" fillId="7" borderId="16" xfId="0" applyNumberFormat="1" applyFont="1" applyFill="1" applyBorder="1" applyAlignment="1" applyProtection="1">
      <alignment horizontal="right"/>
      <protection hidden="1"/>
    </xf>
    <xf numFmtId="3" fontId="31" fillId="7" borderId="91" xfId="0" applyNumberFormat="1" applyFont="1" applyFill="1" applyBorder="1" applyAlignment="1" applyProtection="1">
      <protection hidden="1"/>
    </xf>
    <xf numFmtId="3" fontId="31" fillId="7" borderId="91" xfId="0" applyNumberFormat="1" applyFont="1" applyFill="1" applyBorder="1" applyAlignment="1" applyProtection="1">
      <alignment horizontal="right"/>
      <protection hidden="1"/>
    </xf>
    <xf numFmtId="3" fontId="33" fillId="17" borderId="6" xfId="0" applyNumberFormat="1" applyFont="1" applyFill="1" applyBorder="1" applyAlignment="1" applyProtection="1">
      <alignment horizontal="right"/>
      <protection hidden="1"/>
    </xf>
    <xf numFmtId="3" fontId="31" fillId="17" borderId="8" xfId="0" applyNumberFormat="1" applyFont="1" applyFill="1" applyBorder="1" applyAlignment="1" applyProtection="1">
      <alignment horizontal="right"/>
      <protection hidden="1"/>
    </xf>
    <xf numFmtId="3" fontId="31" fillId="7" borderId="8" xfId="0" applyNumberFormat="1" applyFont="1" applyFill="1" applyBorder="1" applyAlignment="1" applyProtection="1">
      <protection hidden="1"/>
    </xf>
    <xf numFmtId="3" fontId="31" fillId="7" borderId="8" xfId="0" applyNumberFormat="1" applyFont="1" applyFill="1" applyBorder="1" applyAlignment="1" applyProtection="1">
      <alignment horizontal="right"/>
      <protection hidden="1"/>
    </xf>
    <xf numFmtId="3" fontId="33" fillId="17" borderId="90" xfId="0" applyNumberFormat="1" applyFont="1" applyFill="1" applyBorder="1" applyAlignment="1" applyProtection="1">
      <alignment horizontal="right"/>
      <protection hidden="1"/>
    </xf>
    <xf numFmtId="3" fontId="31" fillId="17" borderId="92" xfId="0" applyNumberFormat="1" applyFont="1" applyFill="1" applyBorder="1" applyAlignment="1" applyProtection="1">
      <protection hidden="1"/>
    </xf>
    <xf numFmtId="3" fontId="31" fillId="17" borderId="92" xfId="0" applyNumberFormat="1" applyFont="1" applyFill="1" applyBorder="1" applyAlignment="1" applyProtection="1">
      <alignment horizontal="right"/>
      <protection hidden="1"/>
    </xf>
    <xf numFmtId="3" fontId="31" fillId="7" borderId="92" xfId="0" applyNumberFormat="1" applyFont="1" applyFill="1" applyBorder="1" applyAlignment="1" applyProtection="1">
      <protection hidden="1"/>
    </xf>
    <xf numFmtId="3" fontId="31" fillId="7" borderId="92" xfId="0" applyNumberFormat="1" applyFont="1" applyFill="1" applyBorder="1" applyAlignment="1" applyProtection="1">
      <alignment horizontal="right"/>
      <protection hidden="1"/>
    </xf>
    <xf numFmtId="3" fontId="47" fillId="17" borderId="16" xfId="0" applyNumberFormat="1" applyFont="1" applyFill="1" applyBorder="1" applyAlignment="1" applyProtection="1">
      <alignment horizontal="right"/>
      <protection hidden="1"/>
    </xf>
    <xf numFmtId="0" fontId="47" fillId="17" borderId="90" xfId="0" applyFont="1" applyFill="1" applyBorder="1" applyAlignment="1" applyProtection="1">
      <protection hidden="1"/>
    </xf>
    <xf numFmtId="3" fontId="47" fillId="17" borderId="90" xfId="0" applyNumberFormat="1" applyFont="1" applyFill="1" applyBorder="1" applyAlignment="1" applyProtection="1">
      <alignment horizontal="right"/>
      <protection hidden="1"/>
    </xf>
    <xf numFmtId="0" fontId="47" fillId="17" borderId="92" xfId="0" applyFont="1" applyFill="1" applyBorder="1" applyAlignment="1" applyProtection="1">
      <protection hidden="1"/>
    </xf>
    <xf numFmtId="3" fontId="47" fillId="17" borderId="92" xfId="0" applyNumberFormat="1" applyFont="1" applyFill="1" applyBorder="1" applyAlignment="1" applyProtection="1">
      <alignment horizontal="right"/>
      <protection hidden="1"/>
    </xf>
    <xf numFmtId="0" fontId="47" fillId="17" borderId="91" xfId="0" applyFont="1" applyFill="1" applyBorder="1" applyAlignment="1" applyProtection="1">
      <protection hidden="1"/>
    </xf>
    <xf numFmtId="3" fontId="47" fillId="17" borderId="91" xfId="0" applyNumberFormat="1" applyFont="1" applyFill="1" applyBorder="1" applyAlignment="1" applyProtection="1">
      <alignment horizontal="right"/>
      <protection hidden="1"/>
    </xf>
    <xf numFmtId="0" fontId="47" fillId="17" borderId="89" xfId="0" applyFont="1" applyFill="1" applyBorder="1" applyAlignment="1" applyProtection="1">
      <protection hidden="1"/>
    </xf>
    <xf numFmtId="3" fontId="47" fillId="17" borderId="89" xfId="0" applyNumberFormat="1" applyFont="1" applyFill="1" applyBorder="1" applyAlignment="1" applyProtection="1">
      <alignment horizontal="right"/>
      <protection hidden="1"/>
    </xf>
    <xf numFmtId="3" fontId="31" fillId="17" borderId="6" xfId="0" applyNumberFormat="1" applyFont="1" applyFill="1" applyBorder="1" applyAlignment="1" applyProtection="1">
      <alignment horizontal="right"/>
      <protection hidden="1"/>
    </xf>
    <xf numFmtId="3" fontId="47" fillId="17" borderId="90" xfId="0" quotePrefix="1" applyNumberFormat="1" applyFont="1" applyFill="1" applyBorder="1" applyAlignment="1" applyProtection="1">
      <protection hidden="1"/>
    </xf>
    <xf numFmtId="3" fontId="47" fillId="17" borderId="91" xfId="0" quotePrefix="1" applyNumberFormat="1" applyFont="1" applyFill="1" applyBorder="1" applyAlignment="1" applyProtection="1">
      <protection hidden="1"/>
    </xf>
    <xf numFmtId="4" fontId="31" fillId="22" borderId="91" xfId="0" applyNumberFormat="1" applyFont="1" applyFill="1" applyBorder="1" applyAlignment="1" applyProtection="1">
      <alignment horizontal="right"/>
      <protection locked="0"/>
    </xf>
    <xf numFmtId="3" fontId="31" fillId="17" borderId="90" xfId="0" quotePrefix="1" applyNumberFormat="1" applyFont="1" applyFill="1" applyBorder="1" applyAlignment="1" applyProtection="1">
      <protection hidden="1"/>
    </xf>
    <xf numFmtId="3" fontId="31" fillId="22" borderId="90" xfId="0" applyNumberFormat="1" applyFont="1" applyFill="1" applyBorder="1" applyAlignment="1" applyProtection="1">
      <protection locked="0"/>
    </xf>
    <xf numFmtId="3" fontId="31" fillId="17" borderId="92" xfId="0" quotePrefix="1" applyNumberFormat="1" applyFont="1" applyFill="1" applyBorder="1" applyAlignment="1" applyProtection="1">
      <protection hidden="1"/>
    </xf>
    <xf numFmtId="3" fontId="31" fillId="22" borderId="92" xfId="0" applyNumberFormat="1" applyFont="1" applyFill="1" applyBorder="1" applyAlignment="1" applyProtection="1">
      <alignment horizontal="right"/>
      <protection locked="0"/>
    </xf>
    <xf numFmtId="3" fontId="31" fillId="17" borderId="91" xfId="0" quotePrefix="1" applyNumberFormat="1" applyFont="1" applyFill="1" applyBorder="1" applyAlignment="1" applyProtection="1">
      <protection hidden="1"/>
    </xf>
    <xf numFmtId="3" fontId="31" fillId="22" borderId="91" xfId="0" applyNumberFormat="1" applyFont="1" applyFill="1" applyBorder="1" applyAlignment="1" applyProtection="1">
      <alignment horizontal="right"/>
      <protection locked="0"/>
    </xf>
    <xf numFmtId="3" fontId="47" fillId="17" borderId="92" xfId="0" quotePrefix="1" applyNumberFormat="1" applyFont="1" applyFill="1" applyBorder="1" applyAlignment="1" applyProtection="1">
      <protection hidden="1"/>
    </xf>
    <xf numFmtId="3" fontId="47" fillId="17" borderId="89" xfId="0" quotePrefix="1" applyNumberFormat="1" applyFont="1" applyFill="1" applyBorder="1" applyAlignment="1" applyProtection="1">
      <protection hidden="1"/>
    </xf>
    <xf numFmtId="3" fontId="47" fillId="7" borderId="92" xfId="0" applyNumberFormat="1" applyFont="1" applyFill="1" applyBorder="1" applyAlignment="1" applyProtection="1">
      <alignment horizontal="right"/>
      <protection hidden="1"/>
    </xf>
    <xf numFmtId="3" fontId="47" fillId="17" borderId="93" xfId="0" quotePrefix="1" applyNumberFormat="1" applyFont="1" applyFill="1" applyBorder="1" applyAlignment="1" applyProtection="1">
      <protection hidden="1"/>
    </xf>
    <xf numFmtId="3" fontId="31" fillId="22" borderId="93" xfId="0" applyNumberFormat="1" applyFont="1" applyFill="1" applyBorder="1" applyAlignment="1" applyProtection="1">
      <alignment horizontal="right"/>
      <protection locked="0"/>
    </xf>
    <xf numFmtId="3" fontId="47" fillId="17" borderId="92" xfId="0" quotePrefix="1" applyNumberFormat="1" applyFont="1" applyFill="1" applyBorder="1" applyAlignment="1" applyProtection="1">
      <alignment vertical="center"/>
      <protection hidden="1"/>
    </xf>
    <xf numFmtId="3" fontId="47" fillId="17" borderId="92" xfId="0" applyNumberFormat="1" applyFont="1" applyFill="1" applyBorder="1" applyAlignment="1" applyProtection="1">
      <alignment horizontal="right" vertical="center"/>
      <protection hidden="1"/>
    </xf>
    <xf numFmtId="3" fontId="47" fillId="17" borderId="94" xfId="0" quotePrefix="1" applyNumberFormat="1" applyFont="1" applyFill="1" applyBorder="1" applyAlignment="1" applyProtection="1">
      <protection hidden="1"/>
    </xf>
    <xf numFmtId="3" fontId="47" fillId="17" borderId="94" xfId="0" applyNumberFormat="1" applyFont="1" applyFill="1" applyBorder="1" applyAlignment="1" applyProtection="1">
      <alignment horizontal="right"/>
      <protection hidden="1"/>
    </xf>
    <xf numFmtId="3" fontId="47" fillId="17" borderId="93" xfId="0" applyNumberFormat="1" applyFont="1" applyFill="1" applyBorder="1" applyAlignment="1" applyProtection="1">
      <alignment horizontal="right"/>
      <protection hidden="1"/>
    </xf>
    <xf numFmtId="3" fontId="47" fillId="7" borderId="94" xfId="0" applyNumberFormat="1" applyFont="1" applyFill="1" applyBorder="1" applyAlignment="1" applyProtection="1">
      <alignment horizontal="right"/>
      <protection hidden="1"/>
    </xf>
    <xf numFmtId="1" fontId="27" fillId="17" borderId="8" xfId="0" applyNumberFormat="1" applyFont="1" applyFill="1" applyBorder="1" applyAlignment="1" applyProtection="1">
      <alignment horizontal="right"/>
      <protection hidden="1"/>
    </xf>
    <xf numFmtId="171" fontId="31" fillId="22" borderId="8" xfId="0" applyNumberFormat="1" applyFont="1" applyFill="1" applyBorder="1" applyProtection="1">
      <protection locked="0"/>
    </xf>
    <xf numFmtId="171" fontId="31" fillId="22" borderId="28" xfId="0" applyNumberFormat="1" applyFont="1" applyFill="1" applyBorder="1" applyProtection="1">
      <protection locked="0"/>
    </xf>
    <xf numFmtId="3" fontId="33" fillId="17" borderId="6" xfId="0" applyNumberFormat="1" applyFont="1" applyFill="1" applyBorder="1" applyProtection="1">
      <protection hidden="1"/>
    </xf>
    <xf numFmtId="3" fontId="50" fillId="17" borderId="8" xfId="0" applyNumberFormat="1" applyFont="1" applyFill="1" applyBorder="1" applyProtection="1">
      <protection hidden="1"/>
    </xf>
    <xf numFmtId="3" fontId="31" fillId="22" borderId="8" xfId="0" applyNumberFormat="1" applyFont="1" applyFill="1" applyBorder="1" applyProtection="1">
      <protection locked="0"/>
    </xf>
    <xf numFmtId="3" fontId="31" fillId="22" borderId="22" xfId="0" applyNumberFormat="1" applyFont="1" applyFill="1" applyBorder="1" applyProtection="1">
      <protection locked="0"/>
    </xf>
    <xf numFmtId="173" fontId="50" fillId="17" borderId="8" xfId="0" applyNumberFormat="1" applyFont="1" applyFill="1" applyBorder="1" applyProtection="1">
      <protection hidden="1"/>
    </xf>
    <xf numFmtId="3" fontId="31" fillId="22" borderId="25" xfId="0" applyNumberFormat="1" applyFont="1" applyFill="1" applyBorder="1" applyProtection="1">
      <protection locked="0"/>
    </xf>
    <xf numFmtId="3" fontId="31" fillId="17" borderId="8" xfId="0" applyNumberFormat="1" applyFont="1" applyFill="1" applyBorder="1" applyAlignment="1" applyProtection="1">
      <protection hidden="1"/>
    </xf>
    <xf numFmtId="3" fontId="27" fillId="17" borderId="8" xfId="0" applyNumberFormat="1" applyFont="1" applyFill="1" applyBorder="1" applyProtection="1">
      <protection hidden="1"/>
    </xf>
    <xf numFmtId="173" fontId="50" fillId="17" borderId="16" xfId="0" applyNumberFormat="1" applyFont="1" applyFill="1" applyBorder="1" applyProtection="1">
      <protection hidden="1"/>
    </xf>
    <xf numFmtId="0" fontId="31" fillId="17" borderId="92" xfId="0" quotePrefix="1" applyFont="1" applyFill="1" applyBorder="1" applyAlignment="1" applyProtection="1">
      <protection hidden="1"/>
    </xf>
    <xf numFmtId="1" fontId="27" fillId="17" borderId="92" xfId="0" applyNumberFormat="1" applyFont="1" applyFill="1" applyBorder="1" applyAlignment="1" applyProtection="1">
      <alignment horizontal="right"/>
      <protection hidden="1"/>
    </xf>
    <xf numFmtId="171" fontId="31" fillId="22" borderId="92" xfId="0" applyNumberFormat="1" applyFont="1" applyFill="1" applyBorder="1" applyProtection="1">
      <protection locked="0"/>
    </xf>
    <xf numFmtId="171" fontId="31" fillId="17" borderId="92" xfId="0" applyNumberFormat="1" applyFont="1" applyFill="1" applyBorder="1" applyProtection="1">
      <protection hidden="1"/>
    </xf>
    <xf numFmtId="171" fontId="31" fillId="22" borderId="95" xfId="0" applyNumberFormat="1" applyFont="1" applyFill="1" applyBorder="1" applyProtection="1">
      <protection locked="0"/>
    </xf>
    <xf numFmtId="3" fontId="33" fillId="17" borderId="90" xfId="0" applyNumberFormat="1" applyFont="1" applyFill="1" applyBorder="1" applyProtection="1">
      <protection hidden="1"/>
    </xf>
    <xf numFmtId="3" fontId="50" fillId="17" borderId="92" xfId="0" applyNumberFormat="1" applyFont="1" applyFill="1" applyBorder="1" applyProtection="1">
      <protection hidden="1"/>
    </xf>
    <xf numFmtId="172" fontId="50" fillId="17" borderId="92" xfId="0" applyNumberFormat="1" applyFont="1" applyFill="1" applyBorder="1" applyProtection="1">
      <protection hidden="1"/>
    </xf>
    <xf numFmtId="3" fontId="31" fillId="22" borderId="92" xfId="0" applyNumberFormat="1" applyFont="1" applyFill="1" applyBorder="1" applyProtection="1">
      <protection locked="0"/>
    </xf>
    <xf numFmtId="3" fontId="31" fillId="17" borderId="92" xfId="0" applyNumberFormat="1" applyFont="1" applyFill="1" applyBorder="1" applyProtection="1">
      <protection hidden="1"/>
    </xf>
    <xf numFmtId="3" fontId="31" fillId="17" borderId="94" xfId="0" applyNumberFormat="1" applyFont="1" applyFill="1" applyBorder="1" applyProtection="1">
      <protection hidden="1"/>
    </xf>
    <xf numFmtId="3" fontId="31" fillId="22" borderId="93" xfId="0" applyNumberFormat="1" applyFont="1" applyFill="1" applyBorder="1" applyProtection="1">
      <protection locked="0"/>
    </xf>
    <xf numFmtId="3" fontId="31" fillId="17" borderId="93" xfId="0" applyNumberFormat="1" applyFont="1" applyFill="1" applyBorder="1" applyProtection="1">
      <protection hidden="1"/>
    </xf>
    <xf numFmtId="3" fontId="31" fillId="22" borderId="91" xfId="0" applyNumberFormat="1" applyFont="1" applyFill="1" applyBorder="1" applyProtection="1">
      <protection locked="0"/>
    </xf>
    <xf numFmtId="173" fontId="50" fillId="17" borderId="92" xfId="0" applyNumberFormat="1" applyFont="1" applyFill="1" applyBorder="1" applyProtection="1">
      <protection hidden="1"/>
    </xf>
    <xf numFmtId="3" fontId="31" fillId="22" borderId="94" xfId="0" applyNumberFormat="1" applyFont="1" applyFill="1" applyBorder="1" applyProtection="1">
      <protection locked="0"/>
    </xf>
    <xf numFmtId="3" fontId="31" fillId="22" borderId="92" xfId="0" applyNumberFormat="1" applyFont="1" applyFill="1" applyBorder="1" applyAlignment="1" applyProtection="1">
      <protection locked="0"/>
    </xf>
    <xf numFmtId="3" fontId="31" fillId="0" borderId="92" xfId="0" applyNumberFormat="1" applyFont="1" applyFill="1" applyBorder="1" applyAlignment="1" applyProtection="1">
      <protection hidden="1"/>
    </xf>
    <xf numFmtId="3" fontId="52" fillId="17" borderId="92" xfId="0" applyNumberFormat="1" applyFont="1" applyFill="1" applyBorder="1" applyProtection="1">
      <protection hidden="1"/>
    </xf>
    <xf numFmtId="3" fontId="27" fillId="17" borderId="92" xfId="0" applyNumberFormat="1" applyFont="1" applyFill="1" applyBorder="1" applyProtection="1">
      <protection hidden="1"/>
    </xf>
    <xf numFmtId="173" fontId="50" fillId="17" borderId="91" xfId="0" applyNumberFormat="1" applyFont="1" applyFill="1" applyBorder="1" applyProtection="1">
      <protection hidden="1"/>
    </xf>
    <xf numFmtId="3" fontId="52" fillId="17" borderId="91" xfId="0" applyNumberFormat="1" applyFont="1" applyFill="1" applyBorder="1" applyProtection="1">
      <protection hidden="1"/>
    </xf>
    <xf numFmtId="173" fontId="33" fillId="17" borderId="6" xfId="0" applyNumberFormat="1" applyFont="1" applyFill="1" applyBorder="1" applyAlignment="1" applyProtection="1">
      <alignment horizontal="right"/>
      <protection hidden="1"/>
    </xf>
    <xf numFmtId="3" fontId="33" fillId="17" borderId="16" xfId="0" applyNumberFormat="1" applyFont="1" applyFill="1" applyBorder="1" applyAlignment="1" applyProtection="1">
      <alignment horizontal="right"/>
      <protection hidden="1"/>
    </xf>
    <xf numFmtId="173" fontId="33" fillId="17" borderId="90" xfId="0" applyNumberFormat="1" applyFont="1" applyFill="1" applyBorder="1" applyAlignment="1" applyProtection="1">
      <alignment horizontal="right"/>
      <protection hidden="1"/>
    </xf>
    <xf numFmtId="173" fontId="31" fillId="17" borderId="90" xfId="0" applyNumberFormat="1" applyFont="1" applyFill="1" applyBorder="1" applyAlignment="1" applyProtection="1">
      <alignment horizontal="right"/>
      <protection hidden="1"/>
    </xf>
    <xf numFmtId="3" fontId="33" fillId="17" borderId="91" xfId="0" applyNumberFormat="1" applyFont="1" applyFill="1" applyBorder="1" applyAlignment="1" applyProtection="1">
      <alignment horizontal="right"/>
      <protection hidden="1"/>
    </xf>
    <xf numFmtId="3" fontId="46" fillId="17" borderId="92" xfId="0" applyNumberFormat="1" applyFont="1" applyFill="1" applyBorder="1" applyAlignment="1" applyProtection="1">
      <alignment horizontal="right"/>
      <protection hidden="1"/>
    </xf>
    <xf numFmtId="3" fontId="31" fillId="17" borderId="90" xfId="0" applyNumberFormat="1" applyFont="1" applyFill="1" applyBorder="1" applyAlignment="1" applyProtection="1">
      <alignment horizontal="right"/>
      <protection hidden="1"/>
    </xf>
    <xf numFmtId="173" fontId="46" fillId="17" borderId="6" xfId="0" applyNumberFormat="1" applyFont="1" applyFill="1" applyBorder="1" applyAlignment="1" applyProtection="1">
      <alignment horizontal="right"/>
      <protection hidden="1"/>
    </xf>
    <xf numFmtId="3" fontId="46" fillId="17" borderId="16" xfId="0" applyNumberFormat="1" applyFont="1" applyFill="1" applyBorder="1" applyAlignment="1" applyProtection="1">
      <alignment horizontal="right"/>
      <protection hidden="1"/>
    </xf>
    <xf numFmtId="173" fontId="47" fillId="17" borderId="90" xfId="0" applyNumberFormat="1" applyFont="1" applyFill="1" applyBorder="1" applyAlignment="1" applyProtection="1">
      <alignment horizontal="right"/>
      <protection hidden="1"/>
    </xf>
    <xf numFmtId="173" fontId="46" fillId="17" borderId="90" xfId="0" applyNumberFormat="1" applyFont="1" applyFill="1" applyBorder="1" applyAlignment="1" applyProtection="1">
      <alignment horizontal="right"/>
      <protection hidden="1"/>
    </xf>
    <xf numFmtId="3" fontId="46" fillId="17" borderId="91" xfId="0" applyNumberFormat="1" applyFont="1" applyFill="1" applyBorder="1" applyAlignment="1" applyProtection="1">
      <alignment horizontal="right"/>
      <protection hidden="1"/>
    </xf>
    <xf numFmtId="3" fontId="27" fillId="17" borderId="6" xfId="0" applyNumberFormat="1" applyFont="1" applyFill="1" applyBorder="1" applyProtection="1">
      <protection hidden="1"/>
    </xf>
    <xf numFmtId="3" fontId="31" fillId="17" borderId="16" xfId="0" applyNumberFormat="1" applyFont="1" applyFill="1" applyBorder="1" applyProtection="1">
      <protection hidden="1"/>
    </xf>
    <xf numFmtId="3" fontId="27" fillId="17" borderId="90" xfId="0" applyNumberFormat="1" applyFont="1" applyFill="1" applyBorder="1" applyProtection="1">
      <protection hidden="1"/>
    </xf>
    <xf numFmtId="3" fontId="31" fillId="17" borderId="90" xfId="0" applyNumberFormat="1" applyFont="1" applyFill="1" applyBorder="1" applyProtection="1">
      <protection hidden="1"/>
    </xf>
    <xf numFmtId="3" fontId="31" fillId="22" borderId="90" xfId="0" applyNumberFormat="1" applyFont="1" applyFill="1" applyBorder="1" applyProtection="1">
      <protection locked="0"/>
    </xf>
    <xf numFmtId="3" fontId="31" fillId="17" borderId="89" xfId="0" applyNumberFormat="1" applyFont="1" applyFill="1" applyBorder="1" applyProtection="1">
      <protection hidden="1"/>
    </xf>
    <xf numFmtId="3" fontId="31" fillId="17" borderId="91" xfId="0" applyNumberFormat="1" applyFont="1" applyFill="1" applyBorder="1" applyProtection="1">
      <protection hidden="1"/>
    </xf>
    <xf numFmtId="3" fontId="33" fillId="17" borderId="89" xfId="0" applyNumberFormat="1" applyFont="1" applyFill="1" applyBorder="1" applyProtection="1">
      <protection hidden="1"/>
    </xf>
    <xf numFmtId="1" fontId="31" fillId="17" borderId="92" xfId="0" applyNumberFormat="1" applyFont="1" applyFill="1" applyBorder="1" applyAlignment="1" applyProtection="1">
      <alignment horizontal="right"/>
      <protection hidden="1"/>
    </xf>
    <xf numFmtId="3" fontId="47" fillId="17" borderId="92" xfId="0" applyNumberFormat="1" applyFont="1" applyFill="1" applyBorder="1" applyAlignment="1" applyProtection="1">
      <protection hidden="1"/>
    </xf>
    <xf numFmtId="3" fontId="47" fillId="17" borderId="92" xfId="0" applyNumberFormat="1" applyFont="1" applyFill="1" applyBorder="1" applyProtection="1">
      <protection hidden="1"/>
    </xf>
    <xf numFmtId="3" fontId="31" fillId="17" borderId="97" xfId="0" applyNumberFormat="1" applyFont="1" applyFill="1" applyBorder="1" applyAlignment="1" applyProtection="1">
      <protection hidden="1"/>
    </xf>
    <xf numFmtId="3" fontId="33" fillId="17" borderId="97" xfId="0" applyNumberFormat="1" applyFont="1" applyFill="1" applyBorder="1" applyProtection="1">
      <protection hidden="1"/>
    </xf>
    <xf numFmtId="3" fontId="33" fillId="17" borderId="89" xfId="0" applyNumberFormat="1" applyFont="1" applyFill="1" applyBorder="1" applyAlignment="1" applyProtection="1">
      <protection hidden="1"/>
    </xf>
    <xf numFmtId="3" fontId="31" fillId="17" borderId="89" xfId="0" applyNumberFormat="1" applyFont="1" applyFill="1" applyBorder="1" applyProtection="1">
      <protection locked="0"/>
    </xf>
    <xf numFmtId="3" fontId="31" fillId="22" borderId="89" xfId="0" applyNumberFormat="1" applyFont="1" applyFill="1" applyBorder="1" applyProtection="1">
      <protection locked="0"/>
    </xf>
    <xf numFmtId="3" fontId="44" fillId="17" borderId="90" xfId="0" applyNumberFormat="1" applyFont="1" applyFill="1" applyBorder="1" applyAlignment="1" applyProtection="1">
      <protection hidden="1"/>
    </xf>
    <xf numFmtId="3" fontId="44" fillId="17" borderId="91" xfId="0" applyNumberFormat="1" applyFont="1" applyFill="1" applyBorder="1" applyAlignment="1" applyProtection="1">
      <protection hidden="1"/>
    </xf>
    <xf numFmtId="3" fontId="33" fillId="17" borderId="97" xfId="0" applyNumberFormat="1" applyFont="1" applyFill="1" applyBorder="1" applyAlignment="1" applyProtection="1">
      <protection hidden="1"/>
    </xf>
    <xf numFmtId="3" fontId="33" fillId="17" borderId="92" xfId="0" applyNumberFormat="1" applyFont="1" applyFill="1" applyBorder="1" applyAlignment="1" applyProtection="1">
      <protection hidden="1"/>
    </xf>
    <xf numFmtId="3" fontId="33" fillId="17" borderId="91" xfId="0" applyNumberFormat="1" applyFont="1" applyFill="1" applyBorder="1" applyAlignment="1" applyProtection="1">
      <protection hidden="1"/>
    </xf>
    <xf numFmtId="3" fontId="27" fillId="17" borderId="92" xfId="0" applyNumberFormat="1" applyFont="1" applyFill="1" applyBorder="1" applyAlignment="1" applyProtection="1">
      <protection hidden="1"/>
    </xf>
    <xf numFmtId="0" fontId="31" fillId="17" borderId="90" xfId="0" quotePrefix="1" applyFont="1" applyFill="1" applyBorder="1" applyAlignment="1" applyProtection="1">
      <protection hidden="1"/>
    </xf>
    <xf numFmtId="1" fontId="31" fillId="17" borderId="90" xfId="0" applyNumberFormat="1" applyFont="1" applyFill="1" applyBorder="1" applyAlignment="1" applyProtection="1">
      <alignment horizontal="right"/>
      <protection hidden="1"/>
    </xf>
    <xf numFmtId="3" fontId="31" fillId="7" borderId="92" xfId="0" applyNumberFormat="1" applyFont="1" applyFill="1" applyBorder="1" applyProtection="1">
      <protection hidden="1"/>
    </xf>
    <xf numFmtId="3" fontId="31" fillId="17" borderId="90" xfId="0" applyNumberFormat="1" applyFont="1" applyFill="1" applyBorder="1" applyAlignment="1" applyProtection="1">
      <alignment vertical="center"/>
      <protection hidden="1"/>
    </xf>
    <xf numFmtId="3" fontId="31" fillId="22" borderId="92" xfId="0" applyNumberFormat="1" applyFont="1" applyFill="1" applyBorder="1" applyAlignment="1" applyProtection="1">
      <alignment vertical="center"/>
      <protection locked="0"/>
    </xf>
    <xf numFmtId="3" fontId="31" fillId="17" borderId="92" xfId="0" applyNumberFormat="1" applyFont="1" applyFill="1" applyBorder="1" applyAlignment="1" applyProtection="1">
      <alignment vertical="center"/>
      <protection hidden="1"/>
    </xf>
    <xf numFmtId="3" fontId="31" fillId="17" borderId="91" xfId="0" applyNumberFormat="1" applyFont="1" applyFill="1" applyBorder="1" applyAlignment="1" applyProtection="1">
      <alignment vertical="center"/>
      <protection hidden="1"/>
    </xf>
    <xf numFmtId="3" fontId="47" fillId="17" borderId="90" xfId="0" applyNumberFormat="1" applyFont="1" applyFill="1" applyBorder="1" applyProtection="1">
      <protection hidden="1"/>
    </xf>
    <xf numFmtId="3" fontId="47" fillId="17" borderId="92" xfId="0" applyNumberFormat="1" applyFont="1" applyFill="1" applyBorder="1" applyAlignment="1" applyProtection="1">
      <alignment vertical="center"/>
      <protection hidden="1"/>
    </xf>
    <xf numFmtId="3" fontId="47" fillId="17" borderId="91" xfId="0" applyNumberFormat="1" applyFont="1" applyFill="1" applyBorder="1" applyAlignment="1" applyProtection="1">
      <alignment vertical="center"/>
      <protection hidden="1"/>
    </xf>
    <xf numFmtId="3" fontId="46" fillId="17" borderId="89" xfId="0" applyNumberFormat="1" applyFont="1" applyFill="1" applyBorder="1" applyProtection="1">
      <protection hidden="1"/>
    </xf>
    <xf numFmtId="3" fontId="46" fillId="2" borderId="89" xfId="0" applyNumberFormat="1" applyFont="1" applyFill="1" applyBorder="1" applyProtection="1">
      <protection hidden="1"/>
    </xf>
    <xf numFmtId="3" fontId="47" fillId="0" borderId="16" xfId="0" applyNumberFormat="1" applyFont="1" applyFill="1" applyBorder="1" applyAlignment="1" applyProtection="1">
      <alignment vertical="center"/>
      <protection hidden="1"/>
    </xf>
    <xf numFmtId="3" fontId="47" fillId="17" borderId="90" xfId="0" applyNumberFormat="1" applyFont="1" applyFill="1" applyBorder="1" applyAlignment="1" applyProtection="1">
      <alignment vertical="center"/>
      <protection hidden="1"/>
    </xf>
    <xf numFmtId="3" fontId="47" fillId="0" borderId="90" xfId="0" applyNumberFormat="1" applyFont="1" applyFill="1" applyBorder="1" applyAlignment="1" applyProtection="1">
      <alignment vertical="center"/>
      <protection hidden="1"/>
    </xf>
    <xf numFmtId="3" fontId="47" fillId="0" borderId="92" xfId="0" applyNumberFormat="1" applyFont="1" applyFill="1" applyBorder="1" applyAlignment="1" applyProtection="1">
      <alignment vertical="center"/>
      <protection hidden="1"/>
    </xf>
    <xf numFmtId="3" fontId="47" fillId="0" borderId="91" xfId="0" applyNumberFormat="1" applyFont="1" applyFill="1" applyBorder="1" applyAlignment="1" applyProtection="1">
      <alignment vertical="center"/>
      <protection hidden="1"/>
    </xf>
    <xf numFmtId="3" fontId="31" fillId="0" borderId="3" xfId="0" applyNumberFormat="1" applyFont="1" applyFill="1" applyBorder="1" applyProtection="1">
      <protection hidden="1"/>
    </xf>
    <xf numFmtId="166" fontId="33" fillId="17" borderId="89" xfId="0" applyNumberFormat="1" applyFont="1" applyFill="1" applyBorder="1" applyProtection="1">
      <protection hidden="1"/>
    </xf>
    <xf numFmtId="3" fontId="31" fillId="0" borderId="89" xfId="0" applyNumberFormat="1" applyFont="1" applyFill="1" applyBorder="1" applyProtection="1">
      <protection hidden="1"/>
    </xf>
    <xf numFmtId="3" fontId="31" fillId="22" borderId="35" xfId="0" applyNumberFormat="1" applyFont="1" applyFill="1" applyBorder="1" applyAlignment="1" applyProtection="1">
      <alignment horizontal="right" vertical="center"/>
      <protection locked="0"/>
    </xf>
    <xf numFmtId="3" fontId="31" fillId="22" borderId="38" xfId="0" applyNumberFormat="1" applyFont="1" applyFill="1" applyBorder="1" applyAlignment="1" applyProtection="1">
      <alignment horizontal="right" vertical="center"/>
      <protection locked="0"/>
    </xf>
    <xf numFmtId="3" fontId="31" fillId="22" borderId="25" xfId="0" applyNumberFormat="1" applyFont="1" applyFill="1" applyBorder="1" applyAlignment="1" applyProtection="1">
      <alignment horizontal="right" vertical="center"/>
      <protection locked="0"/>
    </xf>
    <xf numFmtId="3" fontId="31" fillId="22" borderId="16" xfId="0" applyNumberFormat="1" applyFont="1" applyFill="1" applyBorder="1" applyAlignment="1" applyProtection="1">
      <alignment horizontal="right" vertical="center"/>
      <protection locked="0"/>
    </xf>
    <xf numFmtId="3" fontId="31" fillId="22" borderId="98" xfId="0" applyNumberFormat="1" applyFont="1" applyFill="1" applyBorder="1" applyAlignment="1" applyProtection="1">
      <alignment horizontal="right" vertical="center"/>
      <protection locked="0"/>
    </xf>
    <xf numFmtId="3" fontId="31" fillId="22" borderId="99" xfId="0" applyNumberFormat="1" applyFont="1" applyFill="1" applyBorder="1" applyAlignment="1" applyProtection="1">
      <alignment horizontal="right" vertical="center"/>
      <protection locked="0"/>
    </xf>
    <xf numFmtId="3" fontId="31" fillId="22" borderId="94" xfId="0" applyNumberFormat="1" applyFont="1" applyFill="1" applyBorder="1" applyAlignment="1" applyProtection="1">
      <alignment horizontal="right" vertical="center"/>
      <protection locked="0"/>
    </xf>
    <xf numFmtId="3" fontId="31" fillId="22" borderId="91" xfId="0" applyNumberFormat="1" applyFont="1" applyFill="1" applyBorder="1" applyAlignment="1" applyProtection="1">
      <alignment horizontal="right" vertical="center"/>
      <protection locked="0"/>
    </xf>
    <xf numFmtId="0" fontId="27" fillId="12" borderId="100" xfId="0" applyFont="1" applyFill="1" applyBorder="1" applyAlignment="1" applyProtection="1">
      <alignment horizontal="center"/>
      <protection hidden="1"/>
    </xf>
    <xf numFmtId="0" fontId="31" fillId="17" borderId="100" xfId="0" applyFont="1" applyFill="1" applyBorder="1" applyAlignment="1" applyProtection="1">
      <alignment horizontal="right"/>
      <protection hidden="1"/>
    </xf>
    <xf numFmtId="0" fontId="31" fillId="22" borderId="101" xfId="0" applyFont="1" applyFill="1" applyBorder="1" applyAlignment="1" applyProtection="1">
      <alignment horizontal="left" vertical="center"/>
      <protection locked="0"/>
    </xf>
    <xf numFmtId="0" fontId="31" fillId="22" borderId="102" xfId="0" applyFont="1" applyFill="1" applyBorder="1" applyAlignment="1" applyProtection="1">
      <alignment horizontal="left" vertical="center"/>
      <protection locked="0"/>
    </xf>
    <xf numFmtId="0" fontId="31" fillId="22" borderId="103" xfId="0" applyFont="1" applyFill="1" applyBorder="1" applyAlignment="1" applyProtection="1">
      <alignment horizontal="left" vertical="center"/>
      <protection locked="0"/>
    </xf>
    <xf numFmtId="0" fontId="31" fillId="22" borderId="104" xfId="0" applyFont="1" applyFill="1" applyBorder="1" applyAlignment="1" applyProtection="1">
      <alignment horizontal="left" vertical="center"/>
      <protection locked="0"/>
    </xf>
    <xf numFmtId="0" fontId="31" fillId="0" borderId="100" xfId="0" applyFont="1" applyFill="1" applyBorder="1" applyProtection="1">
      <protection hidden="1"/>
    </xf>
    <xf numFmtId="3" fontId="31" fillId="0" borderId="100" xfId="0" applyNumberFormat="1" applyFont="1" applyFill="1" applyBorder="1" applyAlignment="1" applyProtection="1">
      <alignment vertical="center"/>
      <protection hidden="1"/>
    </xf>
    <xf numFmtId="3" fontId="47" fillId="0" borderId="105" xfId="0" applyNumberFormat="1" applyFont="1" applyFill="1" applyBorder="1" applyAlignment="1" applyProtection="1">
      <alignment vertical="center"/>
      <protection hidden="1"/>
    </xf>
    <xf numFmtId="3" fontId="47" fillId="0" borderId="106" xfId="0" applyNumberFormat="1" applyFont="1" applyFill="1" applyBorder="1" applyAlignment="1" applyProtection="1">
      <alignment vertical="center"/>
      <protection hidden="1"/>
    </xf>
    <xf numFmtId="170" fontId="47" fillId="0" borderId="106" xfId="0" applyNumberFormat="1" applyFont="1" applyFill="1" applyBorder="1" applyAlignment="1" applyProtection="1">
      <alignment vertical="center"/>
      <protection hidden="1"/>
    </xf>
    <xf numFmtId="170" fontId="47" fillId="0" borderId="104" xfId="0" applyNumberFormat="1" applyFont="1" applyFill="1" applyBorder="1" applyAlignment="1" applyProtection="1">
      <alignment vertical="center"/>
      <protection hidden="1"/>
    </xf>
    <xf numFmtId="3" fontId="46" fillId="2" borderId="104" xfId="0" applyNumberFormat="1" applyFont="1" applyFill="1" applyBorder="1" applyProtection="1">
      <protection hidden="1"/>
    </xf>
    <xf numFmtId="0" fontId="31" fillId="17" borderId="105" xfId="0" applyFont="1" applyFill="1" applyBorder="1" applyProtection="1">
      <protection hidden="1"/>
    </xf>
    <xf numFmtId="0" fontId="31" fillId="17" borderId="106" xfId="0" applyFont="1" applyFill="1" applyBorder="1" applyProtection="1">
      <protection hidden="1"/>
    </xf>
    <xf numFmtId="3" fontId="31" fillId="17" borderId="106" xfId="0" applyNumberFormat="1" applyFont="1" applyFill="1" applyBorder="1" applyAlignment="1" applyProtection="1">
      <alignment vertical="center"/>
      <protection hidden="1"/>
    </xf>
    <xf numFmtId="3" fontId="31" fillId="17" borderId="104" xfId="0" applyNumberFormat="1" applyFont="1" applyFill="1" applyBorder="1" applyAlignment="1" applyProtection="1">
      <alignment vertical="center"/>
      <protection hidden="1"/>
    </xf>
    <xf numFmtId="3" fontId="31" fillId="17" borderId="105" xfId="0" applyNumberFormat="1" applyFont="1" applyFill="1" applyBorder="1" applyProtection="1">
      <protection hidden="1"/>
    </xf>
    <xf numFmtId="3" fontId="31" fillId="17" borderId="105" xfId="0" applyNumberFormat="1" applyFont="1" applyFill="1" applyBorder="1" applyAlignment="1" applyProtection="1">
      <alignment vertical="center"/>
      <protection hidden="1"/>
    </xf>
    <xf numFmtId="3" fontId="31" fillId="17" borderId="106" xfId="0" applyNumberFormat="1" applyFont="1" applyFill="1" applyBorder="1" applyProtection="1">
      <protection hidden="1"/>
    </xf>
    <xf numFmtId="3" fontId="31" fillId="17" borderId="103" xfId="0" applyNumberFormat="1" applyFont="1" applyFill="1" applyBorder="1" applyProtection="1">
      <protection hidden="1"/>
    </xf>
    <xf numFmtId="0" fontId="31" fillId="17" borderId="104" xfId="0" applyFont="1" applyFill="1" applyBorder="1" applyProtection="1">
      <protection hidden="1"/>
    </xf>
    <xf numFmtId="3" fontId="31" fillId="17" borderId="100" xfId="0" applyNumberFormat="1" applyFont="1" applyFill="1" applyBorder="1" applyProtection="1">
      <protection hidden="1"/>
    </xf>
    <xf numFmtId="3" fontId="33" fillId="17" borderId="100" xfId="0" applyNumberFormat="1" applyFont="1" applyFill="1" applyBorder="1" applyProtection="1">
      <protection hidden="1"/>
    </xf>
    <xf numFmtId="0" fontId="27" fillId="17" borderId="105" xfId="0" applyFont="1" applyFill="1" applyBorder="1" applyAlignment="1" applyProtection="1">
      <alignment horizontal="right"/>
      <protection hidden="1"/>
    </xf>
    <xf numFmtId="3" fontId="31" fillId="7" borderId="106" xfId="0" applyNumberFormat="1" applyFont="1" applyFill="1" applyBorder="1" applyProtection="1">
      <protection hidden="1"/>
    </xf>
    <xf numFmtId="0" fontId="31" fillId="17" borderId="105" xfId="0" applyFont="1" applyFill="1" applyBorder="1" applyAlignment="1" applyProtection="1">
      <alignment vertical="center"/>
      <protection hidden="1"/>
    </xf>
    <xf numFmtId="170" fontId="31" fillId="22" borderId="104" xfId="0" applyNumberFormat="1" applyFont="1" applyFill="1" applyBorder="1" applyAlignment="1" applyProtection="1">
      <alignment vertical="center"/>
      <protection locked="0"/>
    </xf>
    <xf numFmtId="3" fontId="47" fillId="17" borderId="105" xfId="0" applyNumberFormat="1" applyFont="1" applyFill="1" applyBorder="1" applyProtection="1">
      <protection hidden="1"/>
    </xf>
    <xf numFmtId="3" fontId="47" fillId="17" borderId="106" xfId="0" applyNumberFormat="1" applyFont="1" applyFill="1" applyBorder="1" applyProtection="1">
      <protection hidden="1"/>
    </xf>
    <xf numFmtId="3" fontId="47" fillId="17" borderId="106" xfId="0" applyNumberFormat="1" applyFont="1" applyFill="1" applyBorder="1" applyAlignment="1" applyProtection="1">
      <alignment vertical="center"/>
      <protection hidden="1"/>
    </xf>
    <xf numFmtId="3" fontId="47" fillId="17" borderId="104" xfId="0" applyNumberFormat="1" applyFont="1" applyFill="1" applyBorder="1" applyAlignment="1" applyProtection="1">
      <alignment vertical="center"/>
      <protection hidden="1"/>
    </xf>
    <xf numFmtId="3" fontId="46" fillId="2" borderId="100" xfId="0" applyNumberFormat="1" applyFont="1" applyFill="1" applyBorder="1" applyProtection="1">
      <protection hidden="1"/>
    </xf>
    <xf numFmtId="0" fontId="31" fillId="17" borderId="106" xfId="0" applyFont="1" applyFill="1" applyBorder="1" applyAlignment="1" applyProtection="1">
      <alignment horizontal="right"/>
      <protection hidden="1"/>
    </xf>
    <xf numFmtId="0" fontId="33" fillId="17" borderId="100" xfId="0" applyFont="1" applyFill="1" applyBorder="1" applyProtection="1">
      <protection hidden="1"/>
    </xf>
    <xf numFmtId="0" fontId="47" fillId="17" borderId="106" xfId="0" applyFont="1" applyFill="1" applyBorder="1" applyProtection="1">
      <protection hidden="1"/>
    </xf>
    <xf numFmtId="0" fontId="33" fillId="17" borderId="107" xfId="0" applyFont="1" applyFill="1" applyBorder="1" applyProtection="1">
      <protection hidden="1"/>
    </xf>
    <xf numFmtId="0" fontId="31" fillId="22" borderId="100" xfId="0" applyFont="1" applyFill="1" applyBorder="1" applyProtection="1">
      <protection locked="0"/>
    </xf>
    <xf numFmtId="0" fontId="33" fillId="17" borderId="106" xfId="0" applyFont="1" applyFill="1" applyBorder="1" applyProtection="1">
      <protection hidden="1"/>
    </xf>
    <xf numFmtId="0" fontId="33" fillId="17" borderId="104" xfId="0" applyFont="1" applyFill="1" applyBorder="1" applyProtection="1">
      <protection hidden="1"/>
    </xf>
    <xf numFmtId="0" fontId="31" fillId="17" borderId="100" xfId="0" applyFont="1" applyFill="1" applyBorder="1" applyProtection="1">
      <protection hidden="1"/>
    </xf>
    <xf numFmtId="0" fontId="31" fillId="17" borderId="108" xfId="0" applyFont="1" applyFill="1" applyBorder="1" applyProtection="1">
      <protection hidden="1"/>
    </xf>
    <xf numFmtId="0" fontId="47" fillId="17" borderId="100" xfId="0" applyNumberFormat="1" applyFont="1" applyFill="1" applyBorder="1" applyProtection="1">
      <protection hidden="1"/>
    </xf>
    <xf numFmtId="0" fontId="47" fillId="17" borderId="105" xfId="0" applyNumberFormat="1" applyFont="1" applyFill="1" applyBorder="1" applyProtection="1">
      <protection hidden="1"/>
    </xf>
    <xf numFmtId="0" fontId="47" fillId="17" borderId="106" xfId="0" applyNumberFormat="1" applyFont="1" applyFill="1" applyBorder="1" applyProtection="1">
      <protection hidden="1"/>
    </xf>
    <xf numFmtId="0" fontId="47" fillId="17" borderId="104" xfId="0" applyNumberFormat="1" applyFont="1" applyFill="1" applyBorder="1" applyProtection="1">
      <protection hidden="1"/>
    </xf>
    <xf numFmtId="0" fontId="47" fillId="17" borderId="105" xfId="0" applyFont="1" applyFill="1" applyBorder="1" applyProtection="1">
      <protection hidden="1"/>
    </xf>
    <xf numFmtId="0" fontId="31" fillId="17" borderId="105" xfId="0" applyNumberFormat="1" applyFont="1" applyFill="1" applyBorder="1" applyProtection="1">
      <protection hidden="1"/>
    </xf>
    <xf numFmtId="0" fontId="31" fillId="17" borderId="104" xfId="0" applyNumberFormat="1" applyFont="1" applyFill="1" applyBorder="1" applyProtection="1">
      <protection hidden="1"/>
    </xf>
    <xf numFmtId="0" fontId="33" fillId="17" borderId="106" xfId="0" applyNumberFormat="1" applyFont="1" applyFill="1" applyBorder="1" applyProtection="1">
      <protection hidden="1"/>
    </xf>
    <xf numFmtId="0" fontId="31" fillId="17" borderId="106" xfId="0" applyNumberFormat="1" applyFont="1" applyFill="1" applyBorder="1" applyProtection="1">
      <protection hidden="1"/>
    </xf>
    <xf numFmtId="0" fontId="31" fillId="17" borderId="106" xfId="0" quotePrefix="1" applyFont="1" applyFill="1" applyBorder="1" applyAlignment="1" applyProtection="1">
      <alignment horizontal="right"/>
      <protection hidden="1"/>
    </xf>
    <xf numFmtId="0" fontId="31" fillId="22" borderId="106" xfId="0" applyNumberFormat="1" applyFont="1" applyFill="1" applyBorder="1" applyProtection="1">
      <protection locked="0"/>
    </xf>
    <xf numFmtId="0" fontId="31" fillId="22" borderId="109" xfId="0" applyNumberFormat="1" applyFont="1" applyFill="1" applyBorder="1" applyProtection="1">
      <protection locked="0"/>
    </xf>
    <xf numFmtId="0" fontId="33" fillId="17" borderId="105" xfId="0" applyFont="1" applyFill="1" applyBorder="1" applyProtection="1">
      <protection hidden="1"/>
    </xf>
    <xf numFmtId="0" fontId="50" fillId="17" borderId="106" xfId="0" applyFont="1" applyFill="1" applyBorder="1" applyProtection="1">
      <protection hidden="1"/>
    </xf>
    <xf numFmtId="0" fontId="31" fillId="17" borderId="103" xfId="0" applyFont="1" applyFill="1" applyBorder="1" applyProtection="1">
      <protection hidden="1"/>
    </xf>
    <xf numFmtId="0" fontId="31" fillId="22" borderId="110" xfId="0" applyFont="1" applyFill="1" applyBorder="1" applyProtection="1">
      <protection locked="0"/>
    </xf>
    <xf numFmtId="0" fontId="31" fillId="22" borderId="106" xfId="0" applyFont="1" applyFill="1" applyBorder="1" applyProtection="1">
      <protection locked="0"/>
    </xf>
    <xf numFmtId="0" fontId="31" fillId="22" borderId="103" xfId="0" applyFont="1" applyFill="1" applyBorder="1" applyProtection="1">
      <protection locked="0"/>
    </xf>
    <xf numFmtId="0" fontId="40" fillId="17" borderId="105" xfId="0" applyFont="1" applyFill="1" applyBorder="1" applyProtection="1">
      <protection hidden="1"/>
    </xf>
    <xf numFmtId="0" fontId="51" fillId="17" borderId="106" xfId="0" applyFont="1" applyFill="1" applyBorder="1" applyProtection="1">
      <protection hidden="1"/>
    </xf>
    <xf numFmtId="0" fontId="31" fillId="0" borderId="106" xfId="0" applyFont="1" applyFill="1" applyBorder="1" applyProtection="1">
      <protection hidden="1"/>
    </xf>
    <xf numFmtId="0" fontId="52" fillId="17" borderId="106" xfId="0" applyFont="1" applyFill="1" applyBorder="1" applyProtection="1">
      <protection hidden="1"/>
    </xf>
    <xf numFmtId="0" fontId="52" fillId="17" borderId="104" xfId="0" applyFont="1" applyFill="1" applyBorder="1" applyProtection="1">
      <protection hidden="1"/>
    </xf>
    <xf numFmtId="0" fontId="47" fillId="17" borderId="105" xfId="0" applyFont="1" applyFill="1" applyBorder="1" applyAlignment="1" applyProtection="1">
      <alignment horizontal="right"/>
      <protection hidden="1"/>
    </xf>
    <xf numFmtId="0" fontId="47" fillId="17" borderId="104" xfId="0" applyFont="1" applyFill="1" applyBorder="1" applyAlignment="1" applyProtection="1">
      <alignment horizontal="right"/>
      <protection hidden="1"/>
    </xf>
    <xf numFmtId="0" fontId="31" fillId="17" borderId="105" xfId="0" applyFont="1" applyFill="1" applyBorder="1" applyAlignment="1" applyProtection="1">
      <alignment horizontal="right"/>
      <protection hidden="1"/>
    </xf>
    <xf numFmtId="0" fontId="31" fillId="17" borderId="104" xfId="0" applyFont="1" applyFill="1" applyBorder="1" applyAlignment="1" applyProtection="1">
      <alignment horizontal="right"/>
      <protection hidden="1"/>
    </xf>
    <xf numFmtId="0" fontId="47" fillId="17" borderId="106" xfId="0" applyFont="1" applyFill="1" applyBorder="1" applyAlignment="1" applyProtection="1">
      <alignment horizontal="right"/>
      <protection hidden="1"/>
    </xf>
    <xf numFmtId="0" fontId="47" fillId="17" borderId="100" xfId="0" applyFont="1" applyFill="1" applyBorder="1" applyAlignment="1" applyProtection="1">
      <alignment horizontal="right"/>
      <protection hidden="1"/>
    </xf>
    <xf numFmtId="0" fontId="47" fillId="7" borderId="106" xfId="0" applyFont="1" applyFill="1" applyBorder="1" applyAlignment="1" applyProtection="1">
      <alignment horizontal="right"/>
      <protection hidden="1"/>
    </xf>
    <xf numFmtId="0" fontId="47" fillId="17" borderId="110" xfId="0" applyFont="1" applyFill="1" applyBorder="1" applyAlignment="1" applyProtection="1">
      <alignment horizontal="right"/>
      <protection hidden="1"/>
    </xf>
    <xf numFmtId="170" fontId="31" fillId="22" borderId="111" xfId="0" applyNumberFormat="1" applyFont="1" applyFill="1" applyBorder="1" applyAlignment="1" applyProtection="1">
      <alignment vertical="center"/>
      <protection locked="0"/>
    </xf>
    <xf numFmtId="0" fontId="47" fillId="17" borderId="103" xfId="0" applyFont="1" applyFill="1" applyBorder="1" applyAlignment="1" applyProtection="1">
      <alignment horizontal="right"/>
      <protection hidden="1"/>
    </xf>
    <xf numFmtId="0" fontId="47" fillId="7" borderId="103" xfId="0" applyFont="1" applyFill="1" applyBorder="1" applyAlignment="1" applyProtection="1">
      <alignment horizontal="right"/>
      <protection hidden="1"/>
    </xf>
    <xf numFmtId="0" fontId="31" fillId="17" borderId="6" xfId="0" applyFont="1" applyFill="1" applyBorder="1" applyAlignment="1" applyProtection="1">
      <protection hidden="1"/>
    </xf>
    <xf numFmtId="0" fontId="31" fillId="17" borderId="6" xfId="0" applyNumberFormat="1" applyFont="1" applyFill="1" applyBorder="1" applyAlignment="1" applyProtection="1">
      <protection hidden="1"/>
    </xf>
    <xf numFmtId="0" fontId="31" fillId="17" borderId="8" xfId="0" applyNumberFormat="1" applyFont="1" applyFill="1" applyBorder="1" applyAlignment="1" applyProtection="1">
      <protection hidden="1"/>
    </xf>
    <xf numFmtId="0" fontId="31" fillId="17" borderId="16" xfId="0" applyNumberFormat="1" applyFont="1" applyFill="1" applyBorder="1" applyAlignment="1" applyProtection="1">
      <protection hidden="1"/>
    </xf>
    <xf numFmtId="0" fontId="31" fillId="17" borderId="100" xfId="0" applyFont="1" applyFill="1" applyBorder="1" applyAlignment="1" applyProtection="1">
      <alignment horizontal="center"/>
      <protection hidden="1"/>
    </xf>
    <xf numFmtId="0" fontId="33" fillId="17" borderId="105" xfId="0" applyFont="1" applyFill="1" applyBorder="1" applyAlignment="1" applyProtection="1">
      <alignment horizontal="left"/>
      <protection hidden="1"/>
    </xf>
    <xf numFmtId="169" fontId="33" fillId="22" borderId="111" xfId="0" applyNumberFormat="1" applyFont="1" applyFill="1" applyBorder="1" applyAlignment="1" applyProtection="1">
      <alignment horizontal="center"/>
      <protection locked="0"/>
    </xf>
    <xf numFmtId="164" fontId="27" fillId="17" borderId="104" xfId="0" applyNumberFormat="1" applyFont="1" applyFill="1" applyBorder="1" applyAlignment="1" applyProtection="1">
      <alignment horizontal="center"/>
      <protection hidden="1"/>
    </xf>
    <xf numFmtId="164" fontId="27" fillId="17" borderId="105" xfId="0" applyNumberFormat="1" applyFont="1" applyFill="1" applyBorder="1" applyAlignment="1" applyProtection="1">
      <alignment horizontal="center"/>
      <protection hidden="1"/>
    </xf>
    <xf numFmtId="164" fontId="27" fillId="17" borderId="106" xfId="0" applyNumberFormat="1" applyFont="1" applyFill="1" applyBorder="1" applyAlignment="1" applyProtection="1">
      <alignment horizontal="center"/>
      <protection hidden="1"/>
    </xf>
    <xf numFmtId="164" fontId="27" fillId="7" borderId="104" xfId="0" applyNumberFormat="1" applyFont="1" applyFill="1" applyBorder="1" applyAlignment="1" applyProtection="1">
      <alignment horizontal="center"/>
      <protection hidden="1"/>
    </xf>
    <xf numFmtId="0" fontId="33" fillId="17" borderId="105" xfId="0" applyFont="1" applyFill="1" applyBorder="1" applyAlignment="1" applyProtection="1">
      <alignment horizontal="right"/>
      <protection hidden="1"/>
    </xf>
    <xf numFmtId="0" fontId="31" fillId="7" borderId="106" xfId="0" applyFont="1" applyFill="1" applyBorder="1" applyAlignment="1" applyProtection="1">
      <alignment horizontal="right"/>
      <protection hidden="1"/>
    </xf>
    <xf numFmtId="0" fontId="31" fillId="7" borderId="104" xfId="0" applyFont="1" applyFill="1" applyBorder="1" applyAlignment="1" applyProtection="1">
      <alignment horizontal="right"/>
      <protection hidden="1"/>
    </xf>
    <xf numFmtId="0" fontId="68" fillId="14" borderId="0" xfId="0" applyFont="1" applyFill="1" applyAlignment="1">
      <alignment horizontal="left" vertical="top" wrapText="1"/>
    </xf>
    <xf numFmtId="0" fontId="41" fillId="18" borderId="13" xfId="0" applyFont="1" applyFill="1" applyBorder="1" applyProtection="1">
      <protection hidden="1"/>
    </xf>
    <xf numFmtId="0" fontId="0" fillId="14" borderId="4" xfId="0" applyFill="1" applyBorder="1"/>
    <xf numFmtId="0" fontId="0" fillId="14" borderId="86" xfId="0" applyFill="1" applyBorder="1" applyAlignment="1">
      <alignment horizontal="right"/>
    </xf>
    <xf numFmtId="0" fontId="0" fillId="21" borderId="9" xfId="0" applyFill="1" applyBorder="1"/>
    <xf numFmtId="0" fontId="0" fillId="0" borderId="4" xfId="0" applyBorder="1"/>
    <xf numFmtId="0" fontId="0" fillId="0" borderId="86" xfId="0" applyBorder="1"/>
    <xf numFmtId="0" fontId="0" fillId="0" borderId="9" xfId="0" applyBorder="1"/>
    <xf numFmtId="0" fontId="0" fillId="0" borderId="7" xfId="0" applyBorder="1"/>
    <xf numFmtId="0" fontId="0" fillId="0" borderId="0" xfId="0" applyBorder="1"/>
    <xf numFmtId="0" fontId="0" fillId="0" borderId="17" xfId="0" applyBorder="1"/>
    <xf numFmtId="0" fontId="0" fillId="0" borderId="14" xfId="0" applyBorder="1"/>
    <xf numFmtId="0" fontId="0" fillId="0" borderId="15" xfId="0" applyBorder="1"/>
    <xf numFmtId="0" fontId="0" fillId="0" borderId="18" xfId="0" applyBorder="1"/>
    <xf numFmtId="0" fontId="0" fillId="11" borderId="7" xfId="0" applyFill="1" applyBorder="1"/>
    <xf numFmtId="0" fontId="0" fillId="11" borderId="0" xfId="0" applyFill="1" applyBorder="1"/>
    <xf numFmtId="0" fontId="0" fillId="24" borderId="7" xfId="0" applyFill="1" applyBorder="1"/>
    <xf numFmtId="0" fontId="0" fillId="24" borderId="0" xfId="0" applyFill="1" applyBorder="1"/>
    <xf numFmtId="0" fontId="0" fillId="21" borderId="17" xfId="0" applyFill="1" applyBorder="1"/>
    <xf numFmtId="0" fontId="0" fillId="21" borderId="18" xfId="0" applyFill="1" applyBorder="1"/>
    <xf numFmtId="0" fontId="0" fillId="20" borderId="7" xfId="0" applyFill="1" applyBorder="1"/>
    <xf numFmtId="0" fontId="0" fillId="20" borderId="0" xfId="0" applyFill="1" applyBorder="1"/>
    <xf numFmtId="0" fontId="3" fillId="21" borderId="13" xfId="0" applyFont="1" applyFill="1" applyBorder="1" applyAlignment="1" applyProtection="1">
      <alignment horizontal="center"/>
      <protection locked="0"/>
    </xf>
    <xf numFmtId="175" fontId="33" fillId="17" borderId="51" xfId="0" applyNumberFormat="1" applyFont="1" applyFill="1" applyBorder="1" applyAlignment="1" applyProtection="1">
      <alignment horizontal="right" vertical="center"/>
      <protection hidden="1"/>
    </xf>
    <xf numFmtId="0" fontId="18" fillId="21" borderId="9" xfId="0" applyFont="1" applyFill="1" applyBorder="1" applyAlignment="1" applyProtection="1">
      <protection hidden="1"/>
    </xf>
    <xf numFmtId="0" fontId="18" fillId="21" borderId="17" xfId="0" applyFont="1" applyFill="1" applyBorder="1" applyAlignment="1" applyProtection="1">
      <protection hidden="1"/>
    </xf>
    <xf numFmtId="0" fontId="18" fillId="21" borderId="17" xfId="0" applyFont="1" applyFill="1" applyBorder="1" applyProtection="1">
      <protection hidden="1"/>
    </xf>
    <xf numFmtId="0" fontId="18" fillId="21" borderId="18" xfId="0" applyFont="1" applyFill="1" applyBorder="1" applyProtection="1">
      <protection hidden="1"/>
    </xf>
    <xf numFmtId="0" fontId="68" fillId="21" borderId="13" xfId="0" applyFont="1" applyFill="1" applyBorder="1" applyAlignment="1">
      <alignment horizontal="left" vertical="top" wrapText="1"/>
    </xf>
    <xf numFmtId="0" fontId="0" fillId="21" borderId="0" xfId="0" applyFill="1" applyBorder="1"/>
    <xf numFmtId="3" fontId="53" fillId="25" borderId="49" xfId="0" applyNumberFormat="1" applyFont="1" applyFill="1" applyBorder="1" applyAlignment="1" applyProtection="1">
      <alignment horizontal="right" vertical="center"/>
      <protection hidden="1"/>
    </xf>
    <xf numFmtId="3" fontId="53" fillId="26" borderId="51" xfId="0" applyNumberFormat="1" applyFont="1" applyFill="1" applyBorder="1" applyAlignment="1" applyProtection="1">
      <alignment horizontal="right" vertical="center"/>
      <protection hidden="1"/>
    </xf>
    <xf numFmtId="3" fontId="53" fillId="27" borderId="51" xfId="0" applyNumberFormat="1" applyFont="1" applyFill="1" applyBorder="1" applyAlignment="1" applyProtection="1">
      <alignment horizontal="right" vertical="center"/>
      <protection hidden="1"/>
    </xf>
    <xf numFmtId="3" fontId="53" fillId="28" borderId="51" xfId="0" applyNumberFormat="1" applyFont="1" applyFill="1" applyBorder="1" applyAlignment="1" applyProtection="1">
      <alignment horizontal="right" vertical="center"/>
      <protection hidden="1"/>
    </xf>
    <xf numFmtId="3" fontId="53" fillId="29" borderId="50" xfId="0" applyNumberFormat="1" applyFont="1" applyFill="1" applyBorder="1" applyAlignment="1" applyProtection="1">
      <alignment horizontal="right" vertical="center"/>
      <protection hidden="1"/>
    </xf>
    <xf numFmtId="0" fontId="69" fillId="23" borderId="0" xfId="0" applyFont="1" applyFill="1" applyProtection="1">
      <protection hidden="1"/>
    </xf>
    <xf numFmtId="0" fontId="70" fillId="23" borderId="0" xfId="0" applyNumberFormat="1" applyFont="1" applyFill="1" applyBorder="1" applyProtection="1">
      <protection hidden="1"/>
    </xf>
    <xf numFmtId="0" fontId="70" fillId="23" borderId="0" xfId="0" applyNumberFormat="1" applyFont="1" applyFill="1" applyProtection="1">
      <protection hidden="1"/>
    </xf>
    <xf numFmtId="0" fontId="69" fillId="23" borderId="0" xfId="0" applyFont="1" applyFill="1"/>
    <xf numFmtId="3" fontId="71" fillId="23" borderId="0" xfId="0" applyNumberFormat="1" applyFont="1" applyFill="1" applyProtection="1">
      <protection hidden="1"/>
    </xf>
    <xf numFmtId="3" fontId="72" fillId="23" borderId="0" xfId="0" applyNumberFormat="1" applyFont="1" applyFill="1" applyProtection="1">
      <protection hidden="1"/>
    </xf>
    <xf numFmtId="0" fontId="3" fillId="30" borderId="13" xfId="0" applyFont="1" applyFill="1" applyBorder="1" applyProtection="1">
      <protection locked="0"/>
    </xf>
    <xf numFmtId="0" fontId="0" fillId="31" borderId="13" xfId="0" applyFill="1" applyBorder="1"/>
    <xf numFmtId="49" fontId="3" fillId="31" borderId="13" xfId="0" applyNumberFormat="1" applyFont="1" applyFill="1" applyBorder="1" applyProtection="1">
      <protection locked="0"/>
    </xf>
    <xf numFmtId="0" fontId="0" fillId="32" borderId="0" xfId="0" applyFill="1"/>
    <xf numFmtId="0" fontId="0" fillId="33" borderId="0" xfId="0" applyFill="1"/>
    <xf numFmtId="0" fontId="0" fillId="33" borderId="13" xfId="0" applyFill="1" applyBorder="1"/>
    <xf numFmtId="0" fontId="73" fillId="32" borderId="112" xfId="0" applyFont="1" applyFill="1" applyBorder="1" applyProtection="1">
      <protection locked="0"/>
    </xf>
    <xf numFmtId="0" fontId="3" fillId="32" borderId="0" xfId="0" applyFont="1" applyFill="1" applyBorder="1" applyProtection="1">
      <protection locked="0"/>
    </xf>
    <xf numFmtId="10" fontId="3" fillId="32" borderId="13" xfId="0" applyNumberFormat="1" applyFont="1" applyFill="1" applyBorder="1" applyProtection="1">
      <protection locked="0"/>
    </xf>
    <xf numFmtId="175" fontId="74" fillId="17" borderId="0" xfId="0" applyNumberFormat="1" applyFont="1" applyFill="1" applyBorder="1" applyAlignment="1" applyProtection="1">
      <alignment horizontal="left" vertical="center"/>
      <protection hidden="1"/>
    </xf>
    <xf numFmtId="0" fontId="22" fillId="17" borderId="0" xfId="0" applyNumberFormat="1" applyFont="1" applyFill="1" applyBorder="1" applyAlignment="1" applyProtection="1">
      <alignment horizontal="right" vertical="center"/>
      <protection hidden="1"/>
    </xf>
    <xf numFmtId="0" fontId="3" fillId="32" borderId="8" xfId="0" applyFont="1" applyFill="1" applyBorder="1" applyProtection="1">
      <protection locked="0"/>
    </xf>
    <xf numFmtId="0" fontId="3" fillId="32" borderId="6" xfId="0" applyFont="1" applyFill="1" applyBorder="1" applyProtection="1">
      <protection locked="0"/>
    </xf>
    <xf numFmtId="0" fontId="3" fillId="34" borderId="0" xfId="0" applyFont="1" applyFill="1"/>
    <xf numFmtId="0" fontId="31" fillId="34" borderId="0" xfId="0" applyFont="1" applyFill="1" applyBorder="1" applyAlignment="1" applyProtection="1">
      <protection hidden="1"/>
    </xf>
    <xf numFmtId="0" fontId="31" fillId="34" borderId="86" xfId="0" applyFont="1" applyFill="1" applyBorder="1" applyAlignment="1" applyProtection="1">
      <protection hidden="1"/>
    </xf>
    <xf numFmtId="0" fontId="14" fillId="23" borderId="0" xfId="0" applyFont="1" applyFill="1"/>
    <xf numFmtId="0" fontId="31" fillId="34" borderId="0" xfId="0" applyFont="1" applyFill="1" applyBorder="1" applyProtection="1">
      <protection hidden="1"/>
    </xf>
    <xf numFmtId="0" fontId="31" fillId="34" borderId="92" xfId="0" applyFont="1" applyFill="1" applyBorder="1" applyProtection="1">
      <protection hidden="1"/>
    </xf>
    <xf numFmtId="3" fontId="31" fillId="17" borderId="113" xfId="0" applyNumberFormat="1" applyFont="1" applyFill="1" applyBorder="1" applyProtection="1">
      <protection hidden="1"/>
    </xf>
    <xf numFmtId="3" fontId="44" fillId="17" borderId="92" xfId="0" applyNumberFormat="1" applyFont="1" applyFill="1" applyBorder="1" applyAlignment="1" applyProtection="1">
      <protection hidden="1"/>
    </xf>
    <xf numFmtId="3" fontId="31" fillId="17" borderId="114" xfId="0" applyNumberFormat="1" applyFont="1" applyFill="1" applyBorder="1" applyProtection="1">
      <protection hidden="1"/>
    </xf>
    <xf numFmtId="168" fontId="42" fillId="13" borderId="115" xfId="0" applyNumberFormat="1" applyFont="1" applyFill="1" applyBorder="1" applyAlignment="1" applyProtection="1">
      <alignment horizontal="right"/>
      <protection hidden="1"/>
    </xf>
    <xf numFmtId="1" fontId="31" fillId="17" borderId="115" xfId="0" applyNumberFormat="1" applyFont="1" applyFill="1" applyBorder="1" applyAlignment="1" applyProtection="1">
      <alignment horizontal="right"/>
      <protection hidden="1"/>
    </xf>
    <xf numFmtId="1" fontId="31" fillId="17" borderId="113" xfId="0" applyNumberFormat="1" applyFont="1" applyFill="1" applyBorder="1" applyAlignment="1" applyProtection="1">
      <alignment horizontal="right"/>
      <protection hidden="1"/>
    </xf>
    <xf numFmtId="3" fontId="31" fillId="17" borderId="116" xfId="0" applyNumberFormat="1" applyFont="1" applyFill="1" applyBorder="1" applyProtection="1">
      <protection hidden="1"/>
    </xf>
    <xf numFmtId="3" fontId="33" fillId="17" borderId="115" xfId="0" applyNumberFormat="1" applyFont="1" applyFill="1" applyBorder="1" applyProtection="1">
      <protection hidden="1"/>
    </xf>
    <xf numFmtId="3" fontId="27" fillId="17" borderId="113" xfId="0" applyNumberFormat="1" applyFont="1" applyFill="1" applyBorder="1" applyProtection="1">
      <protection hidden="1"/>
    </xf>
    <xf numFmtId="3" fontId="47" fillId="17" borderId="113" xfId="0" applyNumberFormat="1" applyFont="1" applyFill="1" applyBorder="1" applyProtection="1">
      <protection hidden="1"/>
    </xf>
    <xf numFmtId="3" fontId="33" fillId="17" borderId="117" xfId="0" applyNumberFormat="1" applyFont="1" applyFill="1" applyBorder="1" applyProtection="1">
      <protection hidden="1"/>
    </xf>
    <xf numFmtId="3" fontId="31" fillId="22" borderId="115" xfId="0" applyNumberFormat="1" applyFont="1" applyFill="1" applyBorder="1" applyProtection="1">
      <protection locked="0"/>
    </xf>
    <xf numFmtId="3" fontId="50" fillId="17" borderId="114" xfId="0" applyNumberFormat="1" applyFont="1" applyFill="1" applyBorder="1" applyProtection="1">
      <protection hidden="1"/>
    </xf>
    <xf numFmtId="3" fontId="27" fillId="17" borderId="116" xfId="0" applyNumberFormat="1" applyFont="1" applyFill="1" applyBorder="1" applyProtection="1">
      <protection hidden="1"/>
    </xf>
    <xf numFmtId="3" fontId="31" fillId="22" borderId="113" xfId="0" applyNumberFormat="1" applyFont="1" applyFill="1" applyBorder="1" applyProtection="1">
      <protection locked="0"/>
    </xf>
    <xf numFmtId="3" fontId="31" fillId="22" borderId="114" xfId="0" applyNumberFormat="1" applyFont="1" applyFill="1" applyBorder="1" applyProtection="1">
      <protection locked="0"/>
    </xf>
    <xf numFmtId="3" fontId="31" fillId="22" borderId="116" xfId="0" applyNumberFormat="1" applyFont="1" applyFill="1" applyBorder="1" applyProtection="1">
      <protection locked="0"/>
    </xf>
    <xf numFmtId="3" fontId="31" fillId="17" borderId="115" xfId="0" applyNumberFormat="1" applyFont="1" applyFill="1" applyBorder="1" applyProtection="1">
      <protection hidden="1"/>
    </xf>
    <xf numFmtId="0" fontId="31" fillId="17" borderId="16" xfId="0" applyNumberFormat="1" applyFont="1" applyFill="1" applyBorder="1" applyProtection="1">
      <protection hidden="1"/>
    </xf>
    <xf numFmtId="3" fontId="31" fillId="17" borderId="118" xfId="0" applyNumberFormat="1" applyFont="1" applyFill="1" applyBorder="1" applyProtection="1">
      <protection hidden="1"/>
    </xf>
    <xf numFmtId="164" fontId="75" fillId="23" borderId="0" xfId="0" applyNumberFormat="1" applyFont="1" applyFill="1" applyProtection="1">
      <protection hidden="1"/>
    </xf>
    <xf numFmtId="0" fontId="75" fillId="23" borderId="0" xfId="0" applyNumberFormat="1" applyFont="1" applyFill="1" applyProtection="1">
      <protection hidden="1"/>
    </xf>
    <xf numFmtId="0" fontId="75" fillId="23" borderId="0" xfId="0" applyNumberFormat="1" applyFont="1" applyFill="1" applyBorder="1" applyAlignment="1" applyProtection="1">
      <alignment horizontal="right"/>
      <protection hidden="1"/>
    </xf>
    <xf numFmtId="0" fontId="76" fillId="23" borderId="0" xfId="0" applyNumberFormat="1" applyFont="1" applyFill="1" applyBorder="1" applyAlignment="1" applyProtection="1">
      <alignment horizontal="center"/>
      <protection hidden="1"/>
    </xf>
    <xf numFmtId="0" fontId="77" fillId="23" borderId="0" xfId="0" applyFont="1" applyFill="1"/>
    <xf numFmtId="0" fontId="75" fillId="23" borderId="0" xfId="0" applyNumberFormat="1" applyFont="1" applyFill="1" applyBorder="1" applyAlignment="1" applyProtection="1">
      <protection hidden="1"/>
    </xf>
    <xf numFmtId="164" fontId="75" fillId="23" borderId="0" xfId="0" quotePrefix="1" applyNumberFormat="1" applyFont="1" applyFill="1" applyAlignment="1" applyProtection="1">
      <alignment horizontal="right"/>
      <protection hidden="1"/>
    </xf>
    <xf numFmtId="164" fontId="75" fillId="23" borderId="0" xfId="0" applyNumberFormat="1" applyFont="1" applyFill="1" applyAlignment="1" applyProtection="1">
      <alignment horizontal="right"/>
      <protection hidden="1"/>
    </xf>
    <xf numFmtId="10" fontId="75" fillId="23" borderId="0" xfId="0" applyNumberFormat="1" applyFont="1" applyFill="1" applyBorder="1" applyAlignment="1" applyProtection="1">
      <protection hidden="1"/>
    </xf>
    <xf numFmtId="3" fontId="75" fillId="23" borderId="0" xfId="0" applyNumberFormat="1" applyFont="1" applyFill="1" applyBorder="1" applyAlignment="1" applyProtection="1">
      <protection hidden="1"/>
    </xf>
    <xf numFmtId="0" fontId="75" fillId="23" borderId="0" xfId="0" quotePrefix="1" applyNumberFormat="1" applyFont="1" applyFill="1" applyBorder="1" applyAlignment="1" applyProtection="1">
      <protection hidden="1"/>
    </xf>
    <xf numFmtId="164" fontId="77" fillId="23" borderId="0" xfId="0" applyNumberFormat="1" applyFont="1" applyFill="1" applyProtection="1">
      <protection hidden="1"/>
    </xf>
    <xf numFmtId="0" fontId="75" fillId="23" borderId="0" xfId="0" applyNumberFormat="1" applyFont="1" applyFill="1" applyBorder="1" applyProtection="1">
      <protection hidden="1"/>
    </xf>
    <xf numFmtId="0" fontId="75" fillId="23" borderId="0" xfId="0" quotePrefix="1" applyNumberFormat="1" applyFont="1" applyFill="1" applyBorder="1" applyProtection="1">
      <protection hidden="1"/>
    </xf>
    <xf numFmtId="1" fontId="75" fillId="23" borderId="0" xfId="0" quotePrefix="1" applyNumberFormat="1" applyFont="1" applyFill="1" applyBorder="1" applyProtection="1">
      <protection hidden="1"/>
    </xf>
    <xf numFmtId="0" fontId="75" fillId="23" borderId="0" xfId="0" applyNumberFormat="1" applyFont="1" applyFill="1" applyAlignment="1" applyProtection="1">
      <alignment horizontal="right"/>
      <protection hidden="1"/>
    </xf>
    <xf numFmtId="0" fontId="75" fillId="34" borderId="0" xfId="0" applyNumberFormat="1" applyFont="1" applyFill="1" applyProtection="1">
      <protection hidden="1"/>
    </xf>
    <xf numFmtId="164" fontId="75" fillId="23" borderId="0" xfId="0" applyNumberFormat="1" applyFont="1" applyFill="1" applyProtection="1"/>
    <xf numFmtId="0" fontId="75" fillId="23" borderId="0" xfId="0" applyNumberFormat="1" applyFont="1" applyFill="1" applyProtection="1"/>
    <xf numFmtId="0" fontId="75" fillId="23" borderId="0" xfId="0" applyNumberFormat="1" applyFont="1" applyFill="1" applyBorder="1" applyProtection="1"/>
    <xf numFmtId="0" fontId="76" fillId="23" borderId="0" xfId="0" applyNumberFormat="1" applyFont="1" applyFill="1" applyAlignment="1" applyProtection="1">
      <alignment horizontal="center"/>
    </xf>
    <xf numFmtId="0" fontId="0" fillId="34" borderId="0" xfId="0" applyFill="1"/>
    <xf numFmtId="0" fontId="41" fillId="34" borderId="0" xfId="0" applyFont="1" applyFill="1"/>
    <xf numFmtId="0" fontId="41" fillId="0" borderId="0" xfId="0" applyFont="1" applyFill="1"/>
    <xf numFmtId="0" fontId="41" fillId="9" borderId="0" xfId="0" applyFont="1" applyFill="1"/>
    <xf numFmtId="0" fontId="41" fillId="21" borderId="0" xfId="0" applyFont="1" applyFill="1"/>
    <xf numFmtId="0" fontId="41" fillId="0" borderId="0" xfId="0" applyFont="1"/>
    <xf numFmtId="0" fontId="41" fillId="9" borderId="0" xfId="0" quotePrefix="1" applyFont="1" applyFill="1"/>
    <xf numFmtId="0" fontId="0" fillId="0" borderId="0" xfId="0" applyFont="1" applyFill="1"/>
    <xf numFmtId="0" fontId="0" fillId="0" borderId="0" xfId="0" applyFont="1" applyFill="1" applyBorder="1" applyProtection="1">
      <protection hidden="1"/>
    </xf>
    <xf numFmtId="3" fontId="0" fillId="0" borderId="0" xfId="0" applyNumberFormat="1" applyFont="1" applyFill="1" applyBorder="1" applyAlignment="1" applyProtection="1">
      <alignment horizontal="right"/>
      <protection hidden="1"/>
    </xf>
    <xf numFmtId="0" fontId="0" fillId="0" borderId="0" xfId="0" applyFont="1" applyFill="1" applyBorder="1" applyAlignment="1" applyProtection="1">
      <alignment vertical="center"/>
      <protection hidden="1"/>
    </xf>
    <xf numFmtId="3" fontId="0" fillId="0" borderId="0" xfId="0" applyNumberFormat="1" applyFont="1" applyFill="1" applyBorder="1" applyAlignment="1" applyProtection="1">
      <alignment horizontal="right" vertical="center"/>
      <protection hidden="1"/>
    </xf>
    <xf numFmtId="0" fontId="0" fillId="0" borderId="0" xfId="0" applyFont="1" applyFill="1" applyProtection="1">
      <protection hidden="1"/>
    </xf>
    <xf numFmtId="0" fontId="78" fillId="33" borderId="0" xfId="0" applyFont="1" applyFill="1" applyAlignment="1">
      <alignment horizontal="left" vertical="top" wrapText="1"/>
    </xf>
    <xf numFmtId="0" fontId="13" fillId="33" borderId="0" xfId="0" applyFont="1" applyFill="1" applyAlignment="1">
      <alignment horizontal="left" vertical="top" wrapText="1"/>
    </xf>
    <xf numFmtId="0" fontId="13" fillId="33" borderId="0" xfId="0" applyFont="1" applyFill="1"/>
    <xf numFmtId="0" fontId="78" fillId="33" borderId="0" xfId="0" applyFont="1" applyFill="1" applyAlignment="1">
      <alignment horizontal="left" vertical="top"/>
    </xf>
    <xf numFmtId="0" fontId="13" fillId="33" borderId="0" xfId="0" applyFont="1" applyFill="1" applyAlignment="1">
      <alignment horizontal="left" vertical="top"/>
    </xf>
    <xf numFmtId="0" fontId="0" fillId="11" borderId="0" xfId="0" applyFont="1" applyFill="1"/>
    <xf numFmtId="0" fontId="28" fillId="0" borderId="0" xfId="0" applyFont="1" applyFill="1"/>
    <xf numFmtId="0" fontId="28" fillId="0" borderId="0" xfId="0" quotePrefix="1" applyFont="1" applyFill="1" applyBorder="1" applyProtection="1">
      <protection hidden="1"/>
    </xf>
    <xf numFmtId="0" fontId="28" fillId="0" borderId="0" xfId="0" applyFont="1" applyFill="1" applyBorder="1" applyProtection="1">
      <protection hidden="1"/>
    </xf>
    <xf numFmtId="0" fontId="28" fillId="0" borderId="0" xfId="0" applyFont="1" applyFill="1" applyBorder="1" applyAlignment="1" applyProtection="1">
      <alignment vertical="center"/>
      <protection hidden="1"/>
    </xf>
    <xf numFmtId="0" fontId="0" fillId="30" borderId="0" xfId="0" applyFill="1"/>
    <xf numFmtId="0" fontId="3" fillId="30" borderId="0" xfId="0" applyFont="1" applyFill="1"/>
    <xf numFmtId="0" fontId="13" fillId="16" borderId="0" xfId="0" applyFont="1" applyFill="1" applyAlignment="1">
      <alignment horizontal="left" vertical="top" wrapText="1"/>
    </xf>
    <xf numFmtId="0" fontId="8" fillId="30" borderId="0" xfId="0" applyFont="1" applyFill="1" applyBorder="1" applyAlignment="1" applyProtection="1">
      <alignment vertical="center"/>
      <protection hidden="1"/>
    </xf>
    <xf numFmtId="0" fontId="8" fillId="30" borderId="0" xfId="0" applyFont="1" applyFill="1" applyBorder="1" applyProtection="1">
      <protection hidden="1"/>
    </xf>
    <xf numFmtId="0" fontId="13" fillId="20" borderId="0" xfId="0" applyFont="1" applyFill="1" applyAlignment="1">
      <alignment horizontal="left" vertical="top" wrapText="1"/>
    </xf>
    <xf numFmtId="0" fontId="13" fillId="33" borderId="13" xfId="0" applyFont="1" applyFill="1" applyBorder="1" applyProtection="1">
      <protection locked="0"/>
    </xf>
    <xf numFmtId="0" fontId="80" fillId="17" borderId="0" xfId="0" applyFont="1" applyFill="1" applyAlignment="1" applyProtection="1">
      <alignment vertical="center"/>
      <protection hidden="1"/>
    </xf>
    <xf numFmtId="0" fontId="0" fillId="17" borderId="0" xfId="0" applyFill="1" applyAlignment="1" applyProtection="1">
      <alignment vertical="center"/>
      <protection hidden="1"/>
    </xf>
    <xf numFmtId="0" fontId="0" fillId="17" borderId="0" xfId="0" applyFill="1" applyAlignment="1" applyProtection="1">
      <alignment horizontal="right" vertical="center"/>
      <protection hidden="1"/>
    </xf>
    <xf numFmtId="3" fontId="26" fillId="17" borderId="13" xfId="0" applyNumberFormat="1" applyFont="1" applyFill="1" applyBorder="1" applyAlignment="1" applyProtection="1">
      <alignment horizontal="center" vertical="center"/>
      <protection hidden="1"/>
    </xf>
    <xf numFmtId="3" fontId="25" fillId="17" borderId="13" xfId="0" applyNumberFormat="1" applyFont="1" applyFill="1" applyBorder="1" applyAlignment="1" applyProtection="1">
      <alignment vertical="center"/>
      <protection hidden="1"/>
    </xf>
    <xf numFmtId="173" fontId="25" fillId="17" borderId="13" xfId="2" applyNumberFormat="1" applyFont="1" applyFill="1" applyBorder="1" applyAlignment="1" applyProtection="1">
      <alignment vertical="center"/>
      <protection hidden="1"/>
    </xf>
    <xf numFmtId="174" fontId="25" fillId="17" borderId="13" xfId="0" applyNumberFormat="1" applyFont="1" applyFill="1" applyBorder="1" applyAlignment="1" applyProtection="1">
      <alignment vertical="center"/>
      <protection hidden="1"/>
    </xf>
    <xf numFmtId="180" fontId="26" fillId="17" borderId="13" xfId="0" applyNumberFormat="1" applyFont="1" applyFill="1" applyBorder="1" applyAlignment="1" applyProtection="1">
      <alignment horizontal="center" vertical="center"/>
      <protection hidden="1"/>
    </xf>
    <xf numFmtId="0" fontId="0" fillId="17" borderId="0" xfId="0" applyFill="1" applyAlignment="1" applyProtection="1">
      <alignment horizontal="left"/>
      <protection locked="0" hidden="1"/>
    </xf>
    <xf numFmtId="0" fontId="25" fillId="35" borderId="4" xfId="0" applyFont="1" applyFill="1" applyBorder="1" applyAlignment="1" applyProtection="1">
      <alignment vertical="center"/>
      <protection hidden="1"/>
    </xf>
    <xf numFmtId="0" fontId="81" fillId="35" borderId="86" xfId="0" applyFont="1" applyFill="1" applyBorder="1" applyAlignment="1" applyProtection="1">
      <alignment vertical="center"/>
      <protection hidden="1"/>
    </xf>
    <xf numFmtId="0" fontId="26" fillId="35" borderId="86" xfId="0" applyFont="1" applyFill="1" applyBorder="1" applyAlignment="1" applyProtection="1">
      <alignment vertical="center"/>
      <protection hidden="1"/>
    </xf>
    <xf numFmtId="0" fontId="25" fillId="35" borderId="86" xfId="0" applyFont="1" applyFill="1" applyBorder="1" applyAlignment="1" applyProtection="1">
      <alignment vertical="center"/>
      <protection hidden="1"/>
    </xf>
    <xf numFmtId="180" fontId="25" fillId="35" borderId="86" xfId="0" applyNumberFormat="1" applyFont="1" applyFill="1" applyBorder="1" applyAlignment="1" applyProtection="1">
      <alignment vertical="center"/>
      <protection hidden="1"/>
    </xf>
    <xf numFmtId="0" fontId="25" fillId="35" borderId="6" xfId="0" applyFont="1" applyFill="1" applyBorder="1" applyAlignment="1" applyProtection="1">
      <alignment vertical="center"/>
      <protection hidden="1"/>
    </xf>
    <xf numFmtId="0" fontId="25" fillId="35" borderId="7" xfId="0" applyFont="1" applyFill="1" applyBorder="1" applyAlignment="1" applyProtection="1">
      <alignment vertical="center"/>
      <protection hidden="1"/>
    </xf>
    <xf numFmtId="0" fontId="82" fillId="35" borderId="119" xfId="0" applyFont="1" applyFill="1" applyBorder="1" applyAlignment="1" applyProtection="1">
      <alignment vertical="center"/>
      <protection hidden="1"/>
    </xf>
    <xf numFmtId="0" fontId="26" fillId="35" borderId="119" xfId="0" applyFont="1" applyFill="1" applyBorder="1" applyAlignment="1" applyProtection="1">
      <alignment vertical="center"/>
      <protection hidden="1"/>
    </xf>
    <xf numFmtId="0" fontId="25" fillId="35" borderId="0" xfId="0" applyFont="1" applyFill="1" applyBorder="1" applyAlignment="1" applyProtection="1">
      <alignment vertical="center"/>
      <protection hidden="1"/>
    </xf>
    <xf numFmtId="180" fontId="25" fillId="35" borderId="119" xfId="0" applyNumberFormat="1" applyFont="1" applyFill="1" applyBorder="1" applyAlignment="1" applyProtection="1">
      <alignment vertical="center"/>
      <protection hidden="1"/>
    </xf>
    <xf numFmtId="0" fontId="25" fillId="35" borderId="8" xfId="0" applyFont="1" applyFill="1" applyBorder="1" applyAlignment="1" applyProtection="1">
      <alignment vertical="center"/>
      <protection hidden="1"/>
    </xf>
    <xf numFmtId="0" fontId="26" fillId="35" borderId="0" xfId="0" applyFont="1" applyFill="1" applyBorder="1" applyAlignment="1" applyProtection="1">
      <alignment horizontal="center" vertical="center"/>
      <protection hidden="1"/>
    </xf>
    <xf numFmtId="180" fontId="25" fillId="35" borderId="0" xfId="0" applyNumberFormat="1" applyFont="1" applyFill="1" applyBorder="1" applyAlignment="1" applyProtection="1">
      <alignment vertical="center"/>
      <protection hidden="1"/>
    </xf>
    <xf numFmtId="0" fontId="83" fillId="35" borderId="0" xfId="0" applyFont="1" applyFill="1" applyBorder="1" applyAlignment="1" applyProtection="1">
      <alignment vertical="center"/>
      <protection hidden="1"/>
    </xf>
    <xf numFmtId="0" fontId="84" fillId="35" borderId="0" xfId="0" applyFont="1" applyFill="1" applyBorder="1" applyAlignment="1" applyProtection="1">
      <alignment horizontal="right" vertical="center"/>
      <protection hidden="1"/>
    </xf>
    <xf numFmtId="180" fontId="25" fillId="35" borderId="14" xfId="0" applyNumberFormat="1" applyFont="1" applyFill="1" applyBorder="1" applyAlignment="1" applyProtection="1">
      <alignment vertical="center"/>
      <protection hidden="1"/>
    </xf>
    <xf numFmtId="180" fontId="25" fillId="35" borderId="6" xfId="0" applyNumberFormat="1" applyFont="1" applyFill="1" applyBorder="1" applyAlignment="1" applyProtection="1">
      <alignment vertical="center"/>
      <protection hidden="1"/>
    </xf>
    <xf numFmtId="180" fontId="26" fillId="35" borderId="0" xfId="0" applyNumberFormat="1" applyFont="1" applyFill="1" applyBorder="1" applyAlignment="1" applyProtection="1">
      <alignment horizontal="center" vertical="center"/>
      <protection hidden="1"/>
    </xf>
    <xf numFmtId="180" fontId="25" fillId="35" borderId="8" xfId="0" applyNumberFormat="1" applyFont="1" applyFill="1" applyBorder="1" applyAlignment="1" applyProtection="1">
      <alignment vertical="center"/>
      <protection hidden="1"/>
    </xf>
    <xf numFmtId="180" fontId="85" fillId="35" borderId="0" xfId="0" quotePrefix="1" applyNumberFormat="1" applyFont="1" applyFill="1" applyBorder="1" applyAlignment="1" applyProtection="1">
      <alignment horizontal="center" vertical="center"/>
      <protection hidden="1"/>
    </xf>
    <xf numFmtId="180" fontId="25" fillId="35" borderId="18" xfId="0" applyNumberFormat="1" applyFont="1" applyFill="1" applyBorder="1" applyAlignment="1" applyProtection="1">
      <alignment vertical="center"/>
      <protection hidden="1"/>
    </xf>
    <xf numFmtId="180" fontId="25" fillId="35" borderId="0" xfId="0" applyNumberFormat="1" applyFont="1" applyFill="1" applyBorder="1" applyAlignment="1" applyProtection="1">
      <alignment horizontal="fill" vertical="center"/>
      <protection hidden="1"/>
    </xf>
    <xf numFmtId="0" fontId="25" fillId="35" borderId="14" xfId="0" applyFont="1" applyFill="1" applyBorder="1" applyAlignment="1" applyProtection="1">
      <alignment vertical="center"/>
      <protection hidden="1"/>
    </xf>
    <xf numFmtId="0" fontId="26" fillId="35" borderId="0" xfId="0" applyFont="1" applyFill="1" applyBorder="1" applyAlignment="1" applyProtection="1">
      <alignment horizontal="center"/>
      <protection hidden="1"/>
    </xf>
    <xf numFmtId="0" fontId="26" fillId="35" borderId="15" xfId="0" applyFont="1" applyFill="1" applyBorder="1" applyAlignment="1" applyProtection="1">
      <alignment horizontal="center" vertical="center"/>
      <protection hidden="1"/>
    </xf>
    <xf numFmtId="0" fontId="25" fillId="35" borderId="16" xfId="0" applyFont="1" applyFill="1" applyBorder="1" applyAlignment="1" applyProtection="1">
      <alignment vertical="center"/>
      <protection hidden="1"/>
    </xf>
    <xf numFmtId="180" fontId="82" fillId="35" borderId="119" xfId="0" applyNumberFormat="1" applyFont="1" applyFill="1" applyBorder="1" applyAlignment="1" applyProtection="1">
      <alignment vertical="center"/>
      <protection hidden="1"/>
    </xf>
    <xf numFmtId="0" fontId="25" fillId="35" borderId="18" xfId="0" applyFont="1" applyFill="1" applyBorder="1" applyAlignment="1" applyProtection="1">
      <alignment vertical="center"/>
      <protection hidden="1"/>
    </xf>
    <xf numFmtId="180" fontId="25" fillId="35" borderId="0" xfId="0" quotePrefix="1" applyNumberFormat="1" applyFont="1" applyFill="1" applyBorder="1" applyAlignment="1" applyProtection="1">
      <alignment vertical="center"/>
      <protection hidden="1"/>
    </xf>
    <xf numFmtId="180" fontId="26" fillId="35" borderId="0" xfId="0" applyNumberFormat="1" applyFont="1" applyFill="1" applyBorder="1" applyAlignment="1" applyProtection="1">
      <alignment horizontal="center"/>
      <protection hidden="1"/>
    </xf>
    <xf numFmtId="180" fontId="25" fillId="35" borderId="15" xfId="0" applyNumberFormat="1" applyFont="1" applyFill="1" applyBorder="1" applyAlignment="1" applyProtection="1">
      <alignment vertical="center"/>
      <protection hidden="1"/>
    </xf>
    <xf numFmtId="180" fontId="25" fillId="35" borderId="16" xfId="0" applyNumberFormat="1" applyFont="1" applyFill="1" applyBorder="1" applyAlignment="1" applyProtection="1">
      <alignment vertical="center"/>
      <protection hidden="1"/>
    </xf>
    <xf numFmtId="180" fontId="25" fillId="35" borderId="14" xfId="0" quotePrefix="1" applyNumberFormat="1" applyFont="1" applyFill="1" applyBorder="1" applyAlignment="1" applyProtection="1">
      <alignment horizontal="right" vertical="center"/>
      <protection hidden="1"/>
    </xf>
    <xf numFmtId="0" fontId="25" fillId="35" borderId="0" xfId="0" applyFont="1" applyFill="1" applyBorder="1" applyAlignment="1" applyProtection="1">
      <alignment horizontal="center" vertical="center"/>
      <protection hidden="1"/>
    </xf>
    <xf numFmtId="0" fontId="25" fillId="35" borderId="15" xfId="0" applyFont="1" applyFill="1" applyBorder="1" applyAlignment="1" applyProtection="1">
      <alignment vertical="center"/>
      <protection hidden="1"/>
    </xf>
    <xf numFmtId="0" fontId="0" fillId="0" borderId="0" xfId="0" applyFill="1" applyAlignment="1"/>
    <xf numFmtId="0" fontId="28" fillId="0" borderId="0" xfId="0" applyFont="1" applyFill="1" applyAlignment="1"/>
    <xf numFmtId="0" fontId="28" fillId="0" borderId="0" xfId="0" applyFont="1" applyFill="1" applyBorder="1"/>
    <xf numFmtId="0" fontId="28" fillId="14" borderId="0" xfId="0" applyFont="1" applyFill="1"/>
    <xf numFmtId="0" fontId="28" fillId="14" borderId="0" xfId="0" applyFont="1" applyFill="1" applyBorder="1" applyAlignment="1" applyProtection="1">
      <alignment vertical="center"/>
      <protection hidden="1"/>
    </xf>
    <xf numFmtId="3" fontId="47" fillId="22" borderId="91" xfId="0" applyNumberFormat="1" applyFont="1" applyFill="1" applyBorder="1" applyAlignment="1" applyProtection="1">
      <alignment horizontal="right"/>
      <protection locked="0"/>
    </xf>
    <xf numFmtId="3" fontId="47" fillId="22" borderId="16" xfId="0" applyNumberFormat="1" applyFont="1" applyFill="1" applyBorder="1" applyAlignment="1" applyProtection="1">
      <alignment horizontal="right"/>
      <protection locked="0"/>
    </xf>
    <xf numFmtId="3" fontId="47" fillId="22" borderId="92" xfId="0" applyNumberFormat="1" applyFont="1" applyFill="1" applyBorder="1" applyProtection="1">
      <protection locked="0"/>
    </xf>
    <xf numFmtId="3" fontId="47" fillId="22" borderId="113" xfId="0" applyNumberFormat="1" applyFont="1" applyFill="1" applyBorder="1" applyProtection="1">
      <protection locked="0"/>
    </xf>
    <xf numFmtId="3" fontId="45" fillId="3" borderId="90" xfId="0" applyNumberFormat="1" applyFont="1" applyFill="1" applyBorder="1" applyAlignment="1" applyProtection="1">
      <protection hidden="1"/>
    </xf>
    <xf numFmtId="3" fontId="31" fillId="3" borderId="92" xfId="0" applyNumberFormat="1" applyFont="1" applyFill="1" applyBorder="1" applyProtection="1">
      <protection hidden="1"/>
    </xf>
    <xf numFmtId="164" fontId="53" fillId="3" borderId="92" xfId="0" applyNumberFormat="1" applyFont="1" applyFill="1" applyBorder="1" applyAlignment="1" applyProtection="1">
      <protection hidden="1"/>
    </xf>
    <xf numFmtId="3" fontId="31" fillId="3" borderId="92" xfId="0" applyNumberFormat="1" applyFont="1" applyFill="1" applyBorder="1" applyAlignment="1" applyProtection="1">
      <protection hidden="1"/>
    </xf>
    <xf numFmtId="3" fontId="31" fillId="3" borderId="90" xfId="0" applyNumberFormat="1" applyFont="1" applyFill="1" applyBorder="1" applyProtection="1">
      <protection hidden="1"/>
    </xf>
    <xf numFmtId="3" fontId="31" fillId="3" borderId="90" xfId="0" applyNumberFormat="1" applyFont="1" applyFill="1" applyBorder="1" applyAlignment="1" applyProtection="1">
      <protection hidden="1"/>
    </xf>
    <xf numFmtId="3" fontId="31" fillId="3" borderId="91" xfId="0" applyNumberFormat="1" applyFont="1" applyFill="1" applyBorder="1" applyAlignment="1" applyProtection="1">
      <protection hidden="1"/>
    </xf>
    <xf numFmtId="3" fontId="31" fillId="3" borderId="89" xfId="0" applyNumberFormat="1" applyFont="1" applyFill="1" applyBorder="1" applyProtection="1">
      <protection hidden="1"/>
    </xf>
    <xf numFmtId="3" fontId="27" fillId="3" borderId="0" xfId="0" applyNumberFormat="1" applyFont="1" applyFill="1" applyBorder="1" applyProtection="1">
      <protection hidden="1"/>
    </xf>
    <xf numFmtId="3" fontId="27" fillId="3" borderId="92" xfId="0" applyNumberFormat="1" applyFont="1" applyFill="1" applyBorder="1" applyProtection="1">
      <protection hidden="1"/>
    </xf>
    <xf numFmtId="164" fontId="53" fillId="3" borderId="92" xfId="0" applyNumberFormat="1" applyFont="1" applyFill="1" applyBorder="1" applyProtection="1">
      <protection hidden="1"/>
    </xf>
    <xf numFmtId="3" fontId="31" fillId="3" borderId="89" xfId="0" applyNumberFormat="1" applyFont="1" applyFill="1" applyBorder="1" applyAlignment="1" applyProtection="1">
      <protection hidden="1"/>
    </xf>
    <xf numFmtId="3" fontId="27" fillId="3" borderId="92" xfId="0" applyNumberFormat="1" applyFont="1" applyFill="1" applyBorder="1" applyAlignment="1" applyProtection="1">
      <protection hidden="1"/>
    </xf>
    <xf numFmtId="3" fontId="31" fillId="3" borderId="96" xfId="0" applyNumberFormat="1" applyFont="1" applyFill="1" applyBorder="1" applyAlignment="1" applyProtection="1">
      <protection hidden="1"/>
    </xf>
    <xf numFmtId="0" fontId="27" fillId="3" borderId="0" xfId="0" applyFont="1" applyFill="1" applyBorder="1" applyProtection="1">
      <protection hidden="1"/>
    </xf>
    <xf numFmtId="169" fontId="33" fillId="3" borderId="89" xfId="0" applyNumberFormat="1" applyFont="1" applyFill="1" applyBorder="1" applyProtection="1">
      <protection hidden="1"/>
    </xf>
    <xf numFmtId="169" fontId="33" fillId="3" borderId="115" xfId="0" applyNumberFormat="1" applyFont="1" applyFill="1" applyBorder="1" applyProtection="1">
      <protection hidden="1"/>
    </xf>
    <xf numFmtId="0" fontId="36" fillId="22" borderId="13" xfId="0" quotePrefix="1" applyNumberFormat="1" applyFont="1" applyFill="1" applyBorder="1" applyAlignment="1" applyProtection="1">
      <alignment horizontal="center" vertical="center"/>
      <protection locked="0"/>
    </xf>
    <xf numFmtId="0" fontId="31" fillId="2" borderId="4" xfId="0" applyFont="1" applyFill="1" applyBorder="1" applyAlignment="1" applyProtection="1">
      <alignment horizontal="right"/>
      <protection hidden="1"/>
    </xf>
    <xf numFmtId="164" fontId="27" fillId="2" borderId="7" xfId="0" applyNumberFormat="1" applyFont="1" applyFill="1" applyBorder="1" applyAlignment="1" applyProtection="1">
      <alignment horizontal="left"/>
      <protection hidden="1"/>
    </xf>
    <xf numFmtId="164" fontId="27" fillId="2" borderId="14" xfId="0" applyNumberFormat="1" applyFont="1" applyFill="1" applyBorder="1" applyAlignment="1" applyProtection="1">
      <alignment horizontal="left"/>
      <protection hidden="1"/>
    </xf>
    <xf numFmtId="164" fontId="27" fillId="2" borderId="4" xfId="0" applyNumberFormat="1" applyFont="1" applyFill="1" applyBorder="1" applyAlignment="1" applyProtection="1">
      <alignment horizontal="left"/>
      <protection hidden="1"/>
    </xf>
    <xf numFmtId="49" fontId="33" fillId="2" borderId="1" xfId="0" applyNumberFormat="1" applyFont="1" applyFill="1" applyBorder="1" applyAlignment="1" applyProtection="1">
      <alignment horizontal="left"/>
      <protection hidden="1"/>
    </xf>
    <xf numFmtId="3" fontId="33" fillId="0" borderId="90" xfId="0" applyNumberFormat="1" applyFont="1" applyFill="1" applyBorder="1" applyAlignment="1" applyProtection="1">
      <alignment horizontal="right"/>
    </xf>
    <xf numFmtId="3" fontId="33" fillId="0" borderId="6" xfId="0" applyNumberFormat="1" applyFont="1" applyFill="1" applyBorder="1" applyAlignment="1" applyProtection="1">
      <alignment horizontal="right"/>
    </xf>
    <xf numFmtId="3" fontId="31" fillId="0" borderId="91" xfId="0" applyNumberFormat="1" applyFont="1" applyFill="1" applyBorder="1" applyAlignment="1" applyProtection="1">
      <alignment horizontal="right"/>
    </xf>
    <xf numFmtId="3" fontId="31" fillId="0" borderId="16" xfId="0" applyNumberFormat="1" applyFont="1" applyFill="1" applyBorder="1" applyAlignment="1" applyProtection="1">
      <alignment horizontal="right"/>
    </xf>
    <xf numFmtId="0" fontId="44" fillId="0" borderId="5" xfId="0" applyNumberFormat="1" applyFont="1" applyFill="1" applyBorder="1" applyAlignment="1" applyProtection="1">
      <alignment horizontal="right"/>
    </xf>
    <xf numFmtId="0" fontId="44" fillId="0" borderId="0" xfId="0" applyNumberFormat="1" applyFont="1" applyFill="1" applyBorder="1" applyAlignment="1" applyProtection="1">
      <alignment horizontal="right"/>
    </xf>
    <xf numFmtId="169" fontId="33" fillId="36" borderId="104" xfId="0" applyNumberFormat="1" applyFont="1" applyFill="1" applyBorder="1" applyAlignment="1" applyProtection="1">
      <alignment horizontal="center"/>
    </xf>
    <xf numFmtId="3" fontId="25" fillId="22" borderId="40" xfId="0" applyNumberFormat="1" applyFont="1" applyFill="1" applyBorder="1" applyAlignment="1" applyProtection="1">
      <alignment horizontal="right" vertical="center"/>
      <protection locked="0"/>
    </xf>
    <xf numFmtId="0" fontId="25" fillId="37" borderId="33" xfId="0" quotePrefix="1" applyFont="1" applyFill="1" applyBorder="1" applyAlignment="1" applyProtection="1">
      <alignment vertical="center"/>
      <protection locked="0"/>
    </xf>
    <xf numFmtId="0" fontId="25" fillId="37" borderId="34" xfId="0" applyFont="1" applyFill="1" applyBorder="1" applyAlignment="1" applyProtection="1">
      <alignment vertical="center"/>
      <protection locked="0"/>
    </xf>
    <xf numFmtId="0" fontId="25" fillId="37" borderId="37" xfId="0" quotePrefix="1" applyFont="1" applyFill="1" applyBorder="1" applyAlignment="1" applyProtection="1">
      <alignment vertical="center"/>
      <protection locked="0"/>
    </xf>
    <xf numFmtId="0" fontId="25" fillId="37" borderId="36" xfId="0" applyFont="1" applyFill="1" applyBorder="1" applyAlignment="1" applyProtection="1">
      <alignment vertical="center"/>
      <protection locked="0"/>
    </xf>
    <xf numFmtId="0" fontId="25" fillId="37" borderId="37" xfId="0" applyFont="1" applyFill="1" applyBorder="1" applyAlignment="1" applyProtection="1">
      <alignment vertical="center"/>
      <protection locked="0"/>
    </xf>
    <xf numFmtId="0" fontId="0" fillId="3" borderId="120" xfId="0" applyFont="1" applyFill="1" applyBorder="1" applyAlignment="1" applyProtection="1">
      <alignment horizontal="center" vertical="center"/>
      <protection hidden="1"/>
    </xf>
    <xf numFmtId="3" fontId="0" fillId="0" borderId="0" xfId="0" applyNumberFormat="1" applyFill="1"/>
    <xf numFmtId="3" fontId="44" fillId="0" borderId="5" xfId="0" applyNumberFormat="1" applyFont="1" applyFill="1" applyBorder="1" applyAlignment="1" applyProtection="1">
      <alignment horizontal="right"/>
    </xf>
    <xf numFmtId="3" fontId="44" fillId="0" borderId="0" xfId="0" applyNumberFormat="1" applyFont="1" applyFill="1" applyBorder="1" applyAlignment="1" applyProtection="1">
      <alignment horizontal="right"/>
    </xf>
    <xf numFmtId="3" fontId="75" fillId="23" borderId="0" xfId="0" applyNumberFormat="1" applyFont="1" applyFill="1" applyBorder="1" applyProtection="1">
      <protection hidden="1"/>
    </xf>
    <xf numFmtId="0" fontId="86" fillId="3" borderId="0" xfId="0" applyFont="1" applyFill="1" applyAlignment="1">
      <alignment vertical="top"/>
    </xf>
    <xf numFmtId="0" fontId="86" fillId="3" borderId="0" xfId="0" applyFont="1" applyFill="1" applyAlignment="1" applyProtection="1">
      <alignment vertical="top"/>
      <protection hidden="1"/>
    </xf>
    <xf numFmtId="0" fontId="88" fillId="3" borderId="0" xfId="0" applyFont="1" applyFill="1" applyAlignment="1">
      <alignment vertical="top"/>
    </xf>
    <xf numFmtId="0" fontId="86" fillId="3" borderId="15" xfId="0" applyFont="1" applyFill="1" applyBorder="1" applyAlignment="1">
      <alignment vertical="top"/>
    </xf>
    <xf numFmtId="0" fontId="86" fillId="3" borderId="121" xfId="0" applyFont="1" applyFill="1" applyBorder="1" applyAlignment="1" applyProtection="1">
      <alignment vertical="top"/>
    </xf>
    <xf numFmtId="0" fontId="88" fillId="3" borderId="121" xfId="0" applyFont="1" applyFill="1" applyBorder="1" applyAlignment="1" applyProtection="1">
      <alignment vertical="top"/>
    </xf>
    <xf numFmtId="0" fontId="88" fillId="3" borderId="0" xfId="0" applyFont="1" applyFill="1" applyAlignment="1" applyProtection="1">
      <alignment vertical="top"/>
      <protection hidden="1"/>
    </xf>
    <xf numFmtId="49" fontId="86" fillId="22" borderId="0" xfId="0" applyNumberFormat="1" applyFont="1" applyFill="1" applyAlignment="1" applyProtection="1">
      <alignment vertical="top"/>
      <protection locked="0"/>
    </xf>
    <xf numFmtId="49" fontId="88" fillId="3" borderId="0" xfId="0" applyNumberFormat="1" applyFont="1" applyFill="1" applyAlignment="1">
      <alignment vertical="top"/>
    </xf>
    <xf numFmtId="49" fontId="86" fillId="3" borderId="0" xfId="0" applyNumberFormat="1" applyFont="1" applyFill="1" applyAlignment="1">
      <alignment vertical="top"/>
    </xf>
    <xf numFmtId="0" fontId="86" fillId="3" borderId="0" xfId="0" applyFont="1" applyFill="1" applyAlignment="1">
      <alignment vertical="top" wrapText="1"/>
    </xf>
    <xf numFmtId="0" fontId="88" fillId="3" borderId="0" xfId="0" applyFont="1" applyFill="1" applyAlignment="1" applyProtection="1">
      <alignment vertical="top" wrapText="1"/>
      <protection hidden="1"/>
    </xf>
    <xf numFmtId="49" fontId="86" fillId="22" borderId="0" xfId="0" applyNumberFormat="1" applyFont="1" applyFill="1" applyAlignment="1" applyProtection="1">
      <alignment vertical="top" wrapText="1"/>
      <protection locked="0"/>
    </xf>
    <xf numFmtId="0" fontId="86" fillId="22" borderId="0" xfId="0" applyFont="1" applyFill="1" applyAlignment="1" applyProtection="1">
      <alignment vertical="top" wrapText="1"/>
      <protection locked="0"/>
    </xf>
    <xf numFmtId="0" fontId="86" fillId="22" borderId="15" xfId="0" applyFont="1" applyFill="1" applyBorder="1" applyAlignment="1" applyProtection="1">
      <alignment vertical="top" wrapText="1"/>
      <protection locked="0"/>
    </xf>
    <xf numFmtId="0" fontId="86" fillId="36" borderId="121" xfId="0" applyFont="1" applyFill="1" applyBorder="1" applyAlignment="1" applyProtection="1">
      <alignment vertical="top" wrapText="1"/>
    </xf>
    <xf numFmtId="49" fontId="86" fillId="22" borderId="15" xfId="0" applyNumberFormat="1" applyFont="1" applyFill="1" applyBorder="1" applyAlignment="1" applyProtection="1">
      <alignment vertical="top"/>
      <protection locked="0"/>
    </xf>
    <xf numFmtId="49" fontId="86" fillId="36" borderId="121" xfId="0" applyNumberFormat="1" applyFont="1" applyFill="1" applyBorder="1" applyAlignment="1" applyProtection="1">
      <alignment vertical="top"/>
    </xf>
    <xf numFmtId="49" fontId="86" fillId="3" borderId="0" xfId="0" applyNumberFormat="1" applyFont="1" applyFill="1" applyAlignment="1">
      <alignment vertical="top" wrapText="1"/>
    </xf>
    <xf numFmtId="49" fontId="88" fillId="3" borderId="0" xfId="0" applyNumberFormat="1" applyFont="1" applyFill="1" applyAlignment="1" applyProtection="1">
      <alignment vertical="top" wrapText="1"/>
      <protection hidden="1"/>
    </xf>
    <xf numFmtId="49" fontId="86" fillId="22" borderId="15" xfId="0" applyNumberFormat="1" applyFont="1" applyFill="1" applyBorder="1" applyAlignment="1" applyProtection="1">
      <alignment vertical="top" wrapText="1"/>
      <protection locked="0"/>
    </xf>
    <xf numFmtId="49" fontId="86" fillId="36" borderId="121" xfId="0" applyNumberFormat="1" applyFont="1" applyFill="1" applyBorder="1" applyAlignment="1" applyProtection="1">
      <alignment vertical="top" wrapText="1"/>
    </xf>
    <xf numFmtId="3" fontId="86" fillId="3" borderId="0" xfId="0" applyNumberFormat="1" applyFont="1" applyFill="1" applyAlignment="1">
      <alignment vertical="top"/>
    </xf>
    <xf numFmtId="3" fontId="88" fillId="3" borderId="0" xfId="0" applyNumberFormat="1" applyFont="1" applyFill="1" applyAlignment="1" applyProtection="1">
      <alignment horizontal="right" vertical="top"/>
      <protection hidden="1"/>
    </xf>
    <xf numFmtId="3" fontId="88" fillId="3" borderId="0" xfId="0" applyNumberFormat="1" applyFont="1" applyFill="1" applyAlignment="1" applyProtection="1">
      <alignment vertical="top"/>
    </xf>
    <xf numFmtId="3" fontId="86" fillId="3" borderId="15" xfId="0" applyNumberFormat="1" applyFont="1" applyFill="1" applyBorder="1" applyAlignment="1">
      <alignment vertical="top"/>
    </xf>
    <xf numFmtId="3" fontId="88" fillId="3" borderId="121" xfId="0" applyNumberFormat="1" applyFont="1" applyFill="1" applyBorder="1" applyAlignment="1" applyProtection="1">
      <alignment vertical="top"/>
    </xf>
    <xf numFmtId="49" fontId="88" fillId="3" borderId="0" xfId="0" applyNumberFormat="1" applyFont="1" applyFill="1" applyAlignment="1" applyProtection="1">
      <alignment horizontal="right" vertical="top"/>
      <protection hidden="1"/>
    </xf>
    <xf numFmtId="49" fontId="88" fillId="3" borderId="0" xfId="0" applyNumberFormat="1" applyFont="1" applyFill="1" applyAlignment="1" applyProtection="1">
      <alignment horizontal="right" vertical="top" wrapText="1"/>
      <protection hidden="1"/>
    </xf>
    <xf numFmtId="3" fontId="88" fillId="3" borderId="0" xfId="0" applyNumberFormat="1" applyFont="1" applyFill="1" applyAlignment="1">
      <alignment vertical="top"/>
    </xf>
    <xf numFmtId="3" fontId="86" fillId="3" borderId="0" xfId="0" applyNumberFormat="1" applyFont="1" applyFill="1" applyAlignment="1" applyProtection="1">
      <alignment vertical="top"/>
    </xf>
    <xf numFmtId="3" fontId="86" fillId="3" borderId="121" xfId="0" applyNumberFormat="1" applyFont="1" applyFill="1" applyBorder="1" applyAlignment="1" applyProtection="1">
      <alignment vertical="top"/>
    </xf>
    <xf numFmtId="3" fontId="86" fillId="22" borderId="0" xfId="0" applyNumberFormat="1" applyFont="1" applyFill="1" applyAlignment="1" applyProtection="1">
      <alignment vertical="top"/>
      <protection locked="0"/>
    </xf>
    <xf numFmtId="3" fontId="88" fillId="22" borderId="0" xfId="0" applyNumberFormat="1" applyFont="1" applyFill="1" applyAlignment="1" applyProtection="1">
      <alignment vertical="top"/>
      <protection locked="0"/>
    </xf>
    <xf numFmtId="3" fontId="86" fillId="22" borderId="15" xfId="0" applyNumberFormat="1" applyFont="1" applyFill="1" applyBorder="1" applyAlignment="1" applyProtection="1">
      <alignment vertical="top"/>
      <protection locked="0"/>
    </xf>
    <xf numFmtId="3" fontId="88" fillId="36" borderId="121" xfId="0" applyNumberFormat="1" applyFont="1" applyFill="1" applyBorder="1" applyAlignment="1" applyProtection="1">
      <alignment vertical="top"/>
    </xf>
    <xf numFmtId="164" fontId="87" fillId="3" borderId="0" xfId="0" applyNumberFormat="1" applyFont="1" applyFill="1" applyAlignment="1" applyProtection="1">
      <alignment vertical="top" wrapText="1"/>
      <protection hidden="1"/>
    </xf>
    <xf numFmtId="0" fontId="0" fillId="0" borderId="0" xfId="0" applyAlignment="1">
      <alignment vertical="top"/>
    </xf>
    <xf numFmtId="0" fontId="0" fillId="0" borderId="0" xfId="0" applyAlignment="1">
      <alignment horizontal="left" vertical="top" wrapText="1"/>
    </xf>
    <xf numFmtId="3" fontId="0" fillId="0" borderId="0" xfId="0" applyNumberFormat="1" applyAlignment="1">
      <alignment vertical="top"/>
    </xf>
    <xf numFmtId="4" fontId="0" fillId="0" borderId="0" xfId="0" applyNumberFormat="1" applyAlignment="1">
      <alignment vertical="top"/>
    </xf>
    <xf numFmtId="0" fontId="86" fillId="0" borderId="0" xfId="0" applyFont="1" applyAlignment="1">
      <alignment horizontal="left" vertical="top" wrapText="1"/>
    </xf>
    <xf numFmtId="0" fontId="86" fillId="0" borderId="0" xfId="0" applyFont="1" applyAlignment="1">
      <alignment vertical="top"/>
    </xf>
    <xf numFmtId="3" fontId="86" fillId="0" borderId="0" xfId="0" applyNumberFormat="1" applyFont="1" applyAlignment="1">
      <alignment vertical="top"/>
    </xf>
    <xf numFmtId="4" fontId="86" fillId="0" borderId="0" xfId="0" applyNumberFormat="1" applyFont="1" applyAlignment="1">
      <alignment vertical="top"/>
    </xf>
    <xf numFmtId="0" fontId="90" fillId="0" borderId="0" xfId="3" applyFont="1" applyAlignment="1">
      <alignment horizontal="left" vertical="top" wrapText="1"/>
    </xf>
    <xf numFmtId="0" fontId="86" fillId="0" borderId="0" xfId="0" quotePrefix="1" applyFont="1" applyAlignment="1">
      <alignment vertical="top"/>
    </xf>
    <xf numFmtId="0" fontId="26" fillId="22" borderId="7" xfId="0" applyFont="1" applyFill="1" applyBorder="1" applyAlignment="1" applyProtection="1">
      <alignment horizontal="left" vertical="center"/>
      <protection locked="0"/>
    </xf>
    <xf numFmtId="0" fontId="26" fillId="22" borderId="0" xfId="0" applyFont="1" applyFill="1" applyAlignment="1" applyProtection="1">
      <alignment horizontal="left" vertical="center"/>
      <protection locked="0"/>
    </xf>
    <xf numFmtId="0" fontId="26" fillId="22" borderId="8" xfId="0" applyFont="1" applyFill="1" applyBorder="1" applyAlignment="1" applyProtection="1">
      <alignment horizontal="left" vertical="center"/>
      <protection locked="0"/>
    </xf>
    <xf numFmtId="0" fontId="28" fillId="17" borderId="0" xfId="0" applyFont="1" applyFill="1" applyAlignment="1" applyProtection="1">
      <alignment vertical="center" shrinkToFit="1"/>
      <protection hidden="1"/>
    </xf>
    <xf numFmtId="0" fontId="26" fillId="22" borderId="14" xfId="0" applyFont="1" applyFill="1" applyBorder="1" applyAlignment="1" applyProtection="1">
      <alignment horizontal="left" vertical="center"/>
      <protection locked="0"/>
    </xf>
    <xf numFmtId="0" fontId="26" fillId="22" borderId="15" xfId="0" applyFont="1" applyFill="1" applyBorder="1" applyAlignment="1" applyProtection="1">
      <alignment horizontal="left" vertical="center"/>
      <protection locked="0"/>
    </xf>
    <xf numFmtId="0" fontId="26" fillId="22" borderId="16" xfId="0" applyFont="1" applyFill="1" applyBorder="1" applyAlignment="1" applyProtection="1">
      <alignment horizontal="left" vertical="center"/>
      <protection locked="0"/>
    </xf>
    <xf numFmtId="49" fontId="36" fillId="22" borderId="1" xfId="0" applyNumberFormat="1" applyFont="1" applyFill="1" applyBorder="1" applyAlignment="1" applyProtection="1">
      <alignment horizontal="left" vertical="center" shrinkToFit="1"/>
      <protection locked="0"/>
    </xf>
    <xf numFmtId="49" fontId="36" fillId="22" borderId="2" xfId="0" applyNumberFormat="1" applyFont="1" applyFill="1" applyBorder="1" applyAlignment="1" applyProtection="1">
      <alignment horizontal="left" vertical="center" shrinkToFit="1"/>
      <protection locked="0"/>
    </xf>
    <xf numFmtId="49" fontId="36" fillId="22" borderId="3" xfId="0" applyNumberFormat="1" applyFont="1" applyFill="1" applyBorder="1" applyAlignment="1" applyProtection="1">
      <alignment horizontal="left" vertical="center" shrinkToFit="1"/>
      <protection locked="0"/>
    </xf>
    <xf numFmtId="0" fontId="26" fillId="22" borderId="1" xfId="0" applyFont="1" applyFill="1" applyBorder="1" applyAlignment="1" applyProtection="1">
      <alignment horizontal="left" vertical="center"/>
      <protection locked="0"/>
    </xf>
    <xf numFmtId="0" fontId="25" fillId="22" borderId="2" xfId="0" applyFont="1" applyFill="1" applyBorder="1" applyAlignment="1" applyProtection="1">
      <alignment horizontal="left" vertical="center"/>
      <protection locked="0"/>
    </xf>
    <xf numFmtId="0" fontId="25" fillId="22" borderId="3" xfId="0" applyFont="1" applyFill="1" applyBorder="1" applyAlignment="1" applyProtection="1">
      <alignment horizontal="left" vertical="center"/>
      <protection locked="0"/>
    </xf>
    <xf numFmtId="3" fontId="26" fillId="22" borderId="4" xfId="0" applyNumberFormat="1" applyFont="1" applyFill="1" applyBorder="1" applyAlignment="1" applyProtection="1">
      <alignment horizontal="left" vertical="center"/>
      <protection locked="0"/>
    </xf>
    <xf numFmtId="0" fontId="26" fillId="22" borderId="5" xfId="0" applyFont="1" applyFill="1" applyBorder="1" applyAlignment="1" applyProtection="1">
      <alignment horizontal="left" vertical="center"/>
      <protection locked="0"/>
    </xf>
    <xf numFmtId="0" fontId="26" fillId="22" borderId="6" xfId="0" applyFont="1" applyFill="1" applyBorder="1" applyAlignment="1" applyProtection="1">
      <alignment horizontal="left" vertical="center"/>
      <protection locked="0"/>
    </xf>
    <xf numFmtId="0" fontId="26" fillId="22" borderId="4" xfId="0" applyFont="1" applyFill="1" applyBorder="1" applyAlignment="1" applyProtection="1">
      <alignment horizontal="left" vertical="center"/>
      <protection locked="0"/>
    </xf>
    <xf numFmtId="0" fontId="25" fillId="22" borderId="0" xfId="0" applyFont="1" applyFill="1" applyBorder="1" applyAlignment="1" applyProtection="1">
      <alignment horizontal="left" vertical="center"/>
      <protection locked="0"/>
    </xf>
    <xf numFmtId="0" fontId="25" fillId="17" borderId="0" xfId="0" applyFont="1" applyFill="1" applyAlignment="1" applyProtection="1">
      <alignment horizontal="left" vertical="center" shrinkToFit="1"/>
      <protection hidden="1"/>
    </xf>
    <xf numFmtId="0" fontId="31" fillId="17" borderId="0" xfId="0" applyFont="1" applyFill="1" applyAlignment="1" applyProtection="1">
      <alignment horizontal="left" vertical="center" shrinkToFit="1"/>
      <protection hidden="1"/>
    </xf>
    <xf numFmtId="0" fontId="25" fillId="22" borderId="0" xfId="0" applyFont="1" applyFill="1" applyAlignment="1" applyProtection="1">
      <alignment horizontal="left" vertical="center"/>
      <protection locked="0"/>
    </xf>
    <xf numFmtId="0" fontId="26" fillId="17" borderId="15" xfId="0" applyFont="1" applyFill="1" applyBorder="1" applyAlignment="1" applyProtection="1">
      <alignment horizontal="left" vertical="center" shrinkToFit="1"/>
      <protection hidden="1"/>
    </xf>
    <xf numFmtId="0" fontId="25" fillId="17" borderId="15" xfId="0" applyFont="1" applyFill="1" applyBorder="1" applyAlignment="1" applyProtection="1">
      <alignment horizontal="left" vertical="center" shrinkToFit="1"/>
      <protection hidden="1"/>
    </xf>
  </cellXfs>
  <cellStyles count="4">
    <cellStyle name="Hyperlink" xfId="3" builtinId="8"/>
    <cellStyle name="Normal" xfId="0" builtinId="0"/>
    <cellStyle name="Normal 2" xfId="1" xr:uid="{00000000-0005-0000-0000-000001000000}"/>
    <cellStyle name="Percent" xfId="2" builtinId="5"/>
  </cellStyles>
  <dxfs count="4">
    <dxf>
      <font>
        <condense val="0"/>
        <extend val="0"/>
        <color indexed="9"/>
      </font>
    </dxf>
    <dxf>
      <font>
        <condense val="0"/>
        <extend val="0"/>
        <color indexed="10"/>
      </font>
    </dxf>
    <dxf>
      <font>
        <condense val="0"/>
        <extend val="0"/>
        <color indexed="9"/>
      </font>
      <fill>
        <patternFill>
          <bgColor indexed="29"/>
        </patternFill>
      </fill>
    </dxf>
    <dxf>
      <font>
        <condense val="0"/>
        <extend val="0"/>
        <color indexed="1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76FF"/>
      <rgbColor rgb="00FFFF00"/>
      <rgbColor rgb="00FF00FF"/>
      <rgbColor rgb="00C2E2F6"/>
      <rgbColor rgb="00800000"/>
      <rgbColor rgb="00008000"/>
      <rgbColor rgb="00003FBE"/>
      <rgbColor rgb="00808000"/>
      <rgbColor rgb="00800080"/>
      <rgbColor rgb="00008080"/>
      <rgbColor rgb="00F5F5F5"/>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EEEC2"/>
      <rgbColor rgb="00DBE9F9"/>
      <rgbColor rgb="00CC99CC"/>
      <rgbColor rgb="00CC99FF"/>
      <rgbColor rgb="00E9E9E9"/>
      <rgbColor rgb="004277CC"/>
      <rgbColor rgb="0033CCCC"/>
      <rgbColor rgb="00A1E9E7"/>
      <rgbColor rgb="00999933"/>
      <rgbColor rgb="00FFE395"/>
      <rgbColor rgb="00996666"/>
      <rgbColor rgb="007F9DB9"/>
      <rgbColor rgb="00969696"/>
      <rgbColor rgb="003333CC"/>
      <rgbColor rgb="00336666"/>
      <rgbColor rgb="00000099"/>
      <rgbColor rgb="00333300"/>
      <rgbColor rgb="00663300"/>
      <rgbColor rgb="00993366"/>
      <rgbColor rgb="00333399"/>
      <rgbColor rgb="00424242"/>
    </indexedColors>
    <mruColors>
      <color rgb="FFFDFDFD"/>
      <color rgb="FFFAFAFF"/>
      <color rgb="FFF9F9F9"/>
      <color rgb="FFFBFBFB"/>
      <color rgb="FFF7F9FB"/>
      <color rgb="FFF4F7FA"/>
      <color rgb="FFF4F7F7"/>
      <color rgb="FF4BACC6"/>
      <color rgb="FF8064A2"/>
      <color rgb="FF9BBB5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latin typeface="+mn-lt"/>
              </a:defRPr>
            </a:pPr>
            <a:r>
              <a:rPr lang="fi-FI" sz="1200" b="1" i="0" baseline="0">
                <a:latin typeface="+mn-lt"/>
              </a:rPr>
              <a:t>Cumulative Discounted Free Cash Flow
</a:t>
            </a:r>
            <a:r>
              <a:rPr lang="fi-FI" sz="1200" b="0" i="0" baseline="0">
                <a:latin typeface="+mn-lt"/>
              </a:rPr>
              <a:t>(Payback time (NPV=0) = 0,0 Based on discounted FCF)</a:t>
            </a:r>
            <a:endParaRPr lang="fi-FI" sz="1200" b="0">
              <a:latin typeface="+mn-lt"/>
            </a:endParaRPr>
          </a:p>
        </c:rich>
      </c:tx>
      <c:overlay val="0"/>
    </c:title>
    <c:autoTitleDeleted val="0"/>
    <c:plotArea>
      <c:layout/>
      <c:barChart>
        <c:barDir val="col"/>
        <c:grouping val="stacked"/>
        <c:varyColors val="0"/>
        <c:ser>
          <c:idx val="0"/>
          <c:order val="0"/>
          <c:spPr>
            <a:solidFill>
              <a:schemeClr val="accent2"/>
            </a:solidFill>
          </c:spPr>
          <c:invertIfNegative val="0"/>
          <c:cat>
            <c:strRef>
              <c:f>[0]!FinYearsR</c:f>
              <c:strCache>
                <c:ptCount val="6"/>
                <c:pt idx="0">
                  <c:v>12/2019</c:v>
                </c:pt>
                <c:pt idx="1">
                  <c:v>12/2020</c:v>
                </c:pt>
                <c:pt idx="2">
                  <c:v>12/2021</c:v>
                </c:pt>
                <c:pt idx="3">
                  <c:v>12/2022</c:v>
                </c:pt>
                <c:pt idx="4">
                  <c:v>12/2023</c:v>
                </c:pt>
                <c:pt idx="5">
                  <c:v>12/2024</c:v>
                </c:pt>
              </c:strCache>
            </c:strRef>
          </c:cat>
          <c:val>
            <c:numRef>
              <c:f>[0]!FinYearsNeg</c:f>
              <c:numCache>
                <c:formatCode>#,##0</c:formatCode>
                <c:ptCount val="6"/>
                <c:pt idx="0">
                  <c:v>-23377288.617723797</c:v>
                </c:pt>
                <c:pt idx="1">
                  <c:v>-7617622.9661464524</c:v>
                </c:pt>
                <c:pt idx="2">
                  <c:v>-2225035.2909782305</c:v>
                </c:pt>
                <c:pt idx="3">
                  <c:v>#N/A</c:v>
                </c:pt>
                <c:pt idx="4">
                  <c:v>#N/A</c:v>
                </c:pt>
                <c:pt idx="5">
                  <c:v>#N/A</c:v>
                </c:pt>
              </c:numCache>
            </c:numRef>
          </c:val>
          <c:extLst>
            <c:ext xmlns:c16="http://schemas.microsoft.com/office/drawing/2014/chart" uri="{C3380CC4-5D6E-409C-BE32-E72D297353CC}">
              <c16:uniqueId val="{00000000-AF4E-4EE9-B325-69320298C44E}"/>
            </c:ext>
          </c:extLst>
        </c:ser>
        <c:ser>
          <c:idx val="1"/>
          <c:order val="1"/>
          <c:spPr>
            <a:solidFill>
              <a:schemeClr val="accent3"/>
            </a:solidFill>
          </c:spPr>
          <c:invertIfNegative val="0"/>
          <c:cat>
            <c:strRef>
              <c:f>[0]!FinYearsR</c:f>
              <c:strCache>
                <c:ptCount val="6"/>
                <c:pt idx="0">
                  <c:v>12/2019</c:v>
                </c:pt>
                <c:pt idx="1">
                  <c:v>12/2020</c:v>
                </c:pt>
                <c:pt idx="2">
                  <c:v>12/2021</c:v>
                </c:pt>
                <c:pt idx="3">
                  <c:v>12/2022</c:v>
                </c:pt>
                <c:pt idx="4">
                  <c:v>12/2023</c:v>
                </c:pt>
                <c:pt idx="5">
                  <c:v>12/2024</c:v>
                </c:pt>
              </c:strCache>
            </c:strRef>
          </c:cat>
          <c:val>
            <c:numRef>
              <c:f>[0]!FinYearsPos</c:f>
              <c:numCache>
                <c:formatCode>#,##0</c:formatCode>
                <c:ptCount val="6"/>
                <c:pt idx="0">
                  <c:v>#N/A</c:v>
                </c:pt>
                <c:pt idx="1">
                  <c:v>#N/A</c:v>
                </c:pt>
                <c:pt idx="2">
                  <c:v>#N/A</c:v>
                </c:pt>
                <c:pt idx="3">
                  <c:v>5492090.9052077318</c:v>
                </c:pt>
                <c:pt idx="4">
                  <c:v>15555990.509564087</c:v>
                </c:pt>
                <c:pt idx="5">
                  <c:v>28655912.497846983</c:v>
                </c:pt>
              </c:numCache>
            </c:numRef>
          </c:val>
          <c:extLst>
            <c:ext xmlns:c16="http://schemas.microsoft.com/office/drawing/2014/chart" uri="{C3380CC4-5D6E-409C-BE32-E72D297353CC}">
              <c16:uniqueId val="{00000001-AF4E-4EE9-B325-69320298C44E}"/>
            </c:ext>
          </c:extLst>
        </c:ser>
        <c:dLbls>
          <c:showLegendKey val="0"/>
          <c:showVal val="0"/>
          <c:showCatName val="0"/>
          <c:showSerName val="0"/>
          <c:showPercent val="0"/>
          <c:showBubbleSize val="0"/>
        </c:dLbls>
        <c:gapWidth val="50"/>
        <c:overlap val="100"/>
        <c:axId val="238061824"/>
        <c:axId val="238084096"/>
      </c:barChart>
      <c:catAx>
        <c:axId val="238061824"/>
        <c:scaling>
          <c:orientation val="minMax"/>
        </c:scaling>
        <c:delete val="0"/>
        <c:axPos val="b"/>
        <c:numFmt formatCode="General" sourceLinked="0"/>
        <c:majorTickMark val="none"/>
        <c:minorTickMark val="none"/>
        <c:tickLblPos val="low"/>
        <c:crossAx val="238084096"/>
        <c:crosses val="autoZero"/>
        <c:auto val="1"/>
        <c:lblAlgn val="ctr"/>
        <c:lblOffset val="100"/>
        <c:noMultiLvlLbl val="0"/>
      </c:catAx>
      <c:valAx>
        <c:axId val="238084096"/>
        <c:scaling>
          <c:orientation val="minMax"/>
        </c:scaling>
        <c:delete val="0"/>
        <c:axPos val="l"/>
        <c:majorGridlines/>
        <c:numFmt formatCode="#,##0" sourceLinked="1"/>
        <c:majorTickMark val="out"/>
        <c:minorTickMark val="none"/>
        <c:tickLblPos val="low"/>
        <c:crossAx val="238061824"/>
        <c:crosses val="autoZero"/>
        <c:crossBetween val="between"/>
      </c:valAx>
    </c:plotArea>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050"/>
          </a:pPr>
          <a:endParaRPr lang="en-US"/>
        </a:p>
      </c:txPr>
    </c:title>
    <c:autoTitleDeleted val="0"/>
    <c:plotArea>
      <c:layout/>
      <c:barChart>
        <c:barDir val="col"/>
        <c:grouping val="clustered"/>
        <c:varyColors val="1"/>
        <c:ser>
          <c:idx val="0"/>
          <c:order val="0"/>
          <c:tx>
            <c:strRef>
              <c:f>Analysis!$D$364</c:f>
              <c:strCache>
                <c:ptCount val="1"/>
                <c:pt idx="0">
                  <c:v> Net Present Value (NPV)</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Analysis!$F$362:$J$362</c:f>
              <c:numCache>
                <c:formatCode>\+0.0" %";\-0.0" %";0.0" %"</c:formatCode>
                <c:ptCount val="5"/>
                <c:pt idx="0">
                  <c:v>-20</c:v>
                </c:pt>
                <c:pt idx="1">
                  <c:v>-10</c:v>
                </c:pt>
                <c:pt idx="2">
                  <c:v>0</c:v>
                </c:pt>
                <c:pt idx="3">
                  <c:v>10</c:v>
                </c:pt>
                <c:pt idx="4">
                  <c:v>20</c:v>
                </c:pt>
              </c:numCache>
            </c:numRef>
          </c:cat>
          <c:val>
            <c:numRef>
              <c:f>Analysis!$F$364:$J$364</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0-336C-4E5B-813B-567CE45820F3}"/>
            </c:ext>
          </c:extLst>
        </c:ser>
        <c:dLbls>
          <c:showLegendKey val="0"/>
          <c:showVal val="1"/>
          <c:showCatName val="0"/>
          <c:showSerName val="0"/>
          <c:showPercent val="0"/>
          <c:showBubbleSize val="0"/>
        </c:dLbls>
        <c:gapWidth val="50"/>
        <c:axId val="238863104"/>
        <c:axId val="238864640"/>
      </c:barChart>
      <c:catAx>
        <c:axId val="238863104"/>
        <c:scaling>
          <c:orientation val="minMax"/>
        </c:scaling>
        <c:delete val="0"/>
        <c:axPos val="b"/>
        <c:numFmt formatCode="\+0.0&quot; %&quot;;\-0.0&quot; %&quot;;0.0&quot; %&quot;" sourceLinked="1"/>
        <c:majorTickMark val="none"/>
        <c:minorTickMark val="none"/>
        <c:tickLblPos val="low"/>
        <c:crossAx val="238864640"/>
        <c:crosses val="autoZero"/>
        <c:auto val="1"/>
        <c:lblAlgn val="ctr"/>
        <c:lblOffset val="100"/>
        <c:noMultiLvlLbl val="0"/>
      </c:catAx>
      <c:valAx>
        <c:axId val="238864640"/>
        <c:scaling>
          <c:orientation val="minMax"/>
        </c:scaling>
        <c:delete val="0"/>
        <c:axPos val="l"/>
        <c:majorGridlines>
          <c:spPr>
            <a:ln>
              <a:solidFill>
                <a:srgbClr val="7A9DB9"/>
              </a:solidFill>
            </a:ln>
          </c:spPr>
        </c:majorGridlines>
        <c:numFmt formatCode="#,##0" sourceLinked="1"/>
        <c:majorTickMark val="out"/>
        <c:minorTickMark val="none"/>
        <c:tickLblPos val="nextTo"/>
        <c:crossAx val="238863104"/>
        <c:crosses val="autoZero"/>
        <c:crossBetween val="between"/>
      </c:valAx>
    </c:plotArea>
    <c:plotVisOnly val="1"/>
    <c:dispBlanksAs val="gap"/>
    <c:showDLblsOverMax val="0"/>
  </c:chart>
  <c:spPr>
    <a:ln w="3175">
      <a:solidFill>
        <a:srgbClr val="7A9DB9"/>
      </a:solidFill>
    </a:ln>
  </c:spPr>
  <c:printSettings>
    <c:headerFooter/>
    <c:pageMargins b="0.75000000000001465" l="0.70000000000000062" r="0.70000000000000062" t="0.75000000000001465"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050"/>
          </a:pPr>
          <a:endParaRPr lang="en-US"/>
        </a:p>
      </c:txPr>
    </c:title>
    <c:autoTitleDeleted val="0"/>
    <c:plotArea>
      <c:layout/>
      <c:barChart>
        <c:barDir val="col"/>
        <c:grouping val="clustered"/>
        <c:varyColors val="1"/>
        <c:ser>
          <c:idx val="0"/>
          <c:order val="0"/>
          <c:tx>
            <c:strRef>
              <c:f>Analysis!$D$410</c:f>
              <c:strCache>
                <c:ptCount val="1"/>
                <c:pt idx="0">
                  <c:v> Net Present Value (NPV)</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Analysis!$F$408:$J$408</c:f>
              <c:numCache>
                <c:formatCode>\+0.0" %";\-0.0" %";0.0" %"</c:formatCode>
                <c:ptCount val="5"/>
                <c:pt idx="0">
                  <c:v>-20</c:v>
                </c:pt>
                <c:pt idx="1">
                  <c:v>-10</c:v>
                </c:pt>
                <c:pt idx="2">
                  <c:v>0</c:v>
                </c:pt>
                <c:pt idx="3">
                  <c:v>10</c:v>
                </c:pt>
                <c:pt idx="4">
                  <c:v>20</c:v>
                </c:pt>
              </c:numCache>
            </c:numRef>
          </c:cat>
          <c:val>
            <c:numRef>
              <c:f>Analysis!$F$410:$J$410</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0-EE55-48DC-86EE-AAF593B4B661}"/>
            </c:ext>
          </c:extLst>
        </c:ser>
        <c:dLbls>
          <c:showLegendKey val="0"/>
          <c:showVal val="1"/>
          <c:showCatName val="0"/>
          <c:showSerName val="0"/>
          <c:showPercent val="0"/>
          <c:showBubbleSize val="0"/>
        </c:dLbls>
        <c:gapWidth val="50"/>
        <c:axId val="238438656"/>
        <c:axId val="238444544"/>
      </c:barChart>
      <c:catAx>
        <c:axId val="238438656"/>
        <c:scaling>
          <c:orientation val="minMax"/>
        </c:scaling>
        <c:delete val="0"/>
        <c:axPos val="b"/>
        <c:numFmt formatCode="\+0.0&quot; %&quot;;\-0.0&quot; %&quot;;0.0&quot; %&quot;" sourceLinked="1"/>
        <c:majorTickMark val="none"/>
        <c:minorTickMark val="none"/>
        <c:tickLblPos val="low"/>
        <c:crossAx val="238444544"/>
        <c:crosses val="autoZero"/>
        <c:auto val="1"/>
        <c:lblAlgn val="ctr"/>
        <c:lblOffset val="100"/>
        <c:noMultiLvlLbl val="0"/>
      </c:catAx>
      <c:valAx>
        <c:axId val="238444544"/>
        <c:scaling>
          <c:orientation val="minMax"/>
        </c:scaling>
        <c:delete val="0"/>
        <c:axPos val="l"/>
        <c:majorGridlines>
          <c:spPr>
            <a:ln>
              <a:solidFill>
                <a:srgbClr val="7A9DB9"/>
              </a:solidFill>
            </a:ln>
          </c:spPr>
        </c:majorGridlines>
        <c:numFmt formatCode="#,##0" sourceLinked="1"/>
        <c:majorTickMark val="out"/>
        <c:minorTickMark val="none"/>
        <c:tickLblPos val="nextTo"/>
        <c:crossAx val="238438656"/>
        <c:crosses val="autoZero"/>
        <c:crossBetween val="between"/>
      </c:valAx>
    </c:plotArea>
    <c:plotVisOnly val="1"/>
    <c:dispBlanksAs val="gap"/>
    <c:showDLblsOverMax val="0"/>
  </c:chart>
  <c:spPr>
    <a:ln w="3175">
      <a:solidFill>
        <a:srgbClr val="7A9DB9"/>
      </a:solidFill>
    </a:ln>
  </c:spPr>
  <c:printSettings>
    <c:headerFooter/>
    <c:pageMargins b="0.75000000000001465" l="0.70000000000000062" r="0.70000000000000062" t="0.75000000000001465"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050"/>
          </a:pPr>
          <a:endParaRPr lang="en-US"/>
        </a:p>
      </c:txPr>
    </c:title>
    <c:autoTitleDeleted val="0"/>
    <c:plotArea>
      <c:layout>
        <c:manualLayout>
          <c:layoutTarget val="inner"/>
          <c:xMode val="edge"/>
          <c:yMode val="edge"/>
          <c:x val="4.3909061130391884E-2"/>
          <c:y val="0.15847187563484869"/>
          <c:w val="0.93292084934883956"/>
          <c:h val="0.72094250203912968"/>
        </c:manualLayout>
      </c:layout>
      <c:barChart>
        <c:barDir val="col"/>
        <c:grouping val="clustered"/>
        <c:varyColors val="1"/>
        <c:ser>
          <c:idx val="0"/>
          <c:order val="0"/>
          <c:tx>
            <c:strRef>
              <c:f>Analysis!$D$456</c:f>
              <c:strCache>
                <c:ptCount val="1"/>
                <c:pt idx="0">
                  <c:v> Net Present Value (NPV)</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Analysis!$F$454:$J$454</c:f>
              <c:numCache>
                <c:formatCode>\+0.0" %";\-0.0" %";0.0" %"</c:formatCode>
                <c:ptCount val="5"/>
                <c:pt idx="0">
                  <c:v>-20</c:v>
                </c:pt>
                <c:pt idx="1">
                  <c:v>-10</c:v>
                </c:pt>
                <c:pt idx="2">
                  <c:v>0</c:v>
                </c:pt>
                <c:pt idx="3">
                  <c:v>10</c:v>
                </c:pt>
                <c:pt idx="4">
                  <c:v>20</c:v>
                </c:pt>
              </c:numCache>
            </c:numRef>
          </c:cat>
          <c:val>
            <c:numRef>
              <c:f>Analysis!$F$456:$J$456</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0-EF76-412D-AE70-EF2AB6590BF8}"/>
            </c:ext>
          </c:extLst>
        </c:ser>
        <c:dLbls>
          <c:showLegendKey val="0"/>
          <c:showVal val="1"/>
          <c:showCatName val="0"/>
          <c:showSerName val="0"/>
          <c:showPercent val="0"/>
          <c:showBubbleSize val="0"/>
        </c:dLbls>
        <c:gapWidth val="50"/>
        <c:axId val="238477312"/>
        <c:axId val="238478848"/>
      </c:barChart>
      <c:catAx>
        <c:axId val="238477312"/>
        <c:scaling>
          <c:orientation val="minMax"/>
        </c:scaling>
        <c:delete val="0"/>
        <c:axPos val="b"/>
        <c:numFmt formatCode="\+0.0&quot; %&quot;;\-0.0&quot; %&quot;;0.0&quot; %&quot;" sourceLinked="1"/>
        <c:majorTickMark val="none"/>
        <c:minorTickMark val="none"/>
        <c:tickLblPos val="low"/>
        <c:crossAx val="238478848"/>
        <c:crosses val="autoZero"/>
        <c:auto val="1"/>
        <c:lblAlgn val="ctr"/>
        <c:lblOffset val="100"/>
        <c:noMultiLvlLbl val="0"/>
      </c:catAx>
      <c:valAx>
        <c:axId val="238478848"/>
        <c:scaling>
          <c:orientation val="minMax"/>
        </c:scaling>
        <c:delete val="0"/>
        <c:axPos val="l"/>
        <c:majorGridlines>
          <c:spPr>
            <a:ln>
              <a:solidFill>
                <a:srgbClr val="7A9DB9"/>
              </a:solidFill>
            </a:ln>
          </c:spPr>
        </c:majorGridlines>
        <c:numFmt formatCode="#,##0" sourceLinked="1"/>
        <c:majorTickMark val="out"/>
        <c:minorTickMark val="none"/>
        <c:tickLblPos val="nextTo"/>
        <c:crossAx val="238477312"/>
        <c:crosses val="autoZero"/>
        <c:crossBetween val="between"/>
      </c:valAx>
    </c:plotArea>
    <c:plotVisOnly val="1"/>
    <c:dispBlanksAs val="gap"/>
    <c:showDLblsOverMax val="0"/>
  </c:chart>
  <c:spPr>
    <a:ln w="3175">
      <a:solidFill>
        <a:srgbClr val="7A9DB9"/>
      </a:solid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050"/>
          </a:pPr>
          <a:endParaRPr lang="en-US"/>
        </a:p>
      </c:txPr>
    </c:title>
    <c:autoTitleDeleted val="0"/>
    <c:plotArea>
      <c:layout/>
      <c:barChart>
        <c:barDir val="col"/>
        <c:grouping val="clustered"/>
        <c:varyColors val="1"/>
        <c:ser>
          <c:idx val="1"/>
          <c:order val="0"/>
          <c:tx>
            <c:strRef>
              <c:f>Analysis!$D$9</c:f>
              <c:strCache>
                <c:ptCount val="1"/>
                <c:pt idx="0">
                  <c:v> Net Present Value (NPV)</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Analysis!$F$1:$J$1</c:f>
              <c:numCache>
                <c:formatCode>0.00" %"</c:formatCode>
                <c:ptCount val="5"/>
                <c:pt idx="0">
                  <c:v>2.2000000000000002</c:v>
                </c:pt>
                <c:pt idx="1">
                  <c:v>2.4750000000000001</c:v>
                </c:pt>
                <c:pt idx="2">
                  <c:v>2.75</c:v>
                </c:pt>
                <c:pt idx="3">
                  <c:v>3.0249999999999999</c:v>
                </c:pt>
                <c:pt idx="4">
                  <c:v>3.3</c:v>
                </c:pt>
              </c:numCache>
            </c:numRef>
          </c:cat>
          <c:val>
            <c:numRef>
              <c:f>Analysis!$F$9:$J$9</c:f>
              <c:numCache>
                <c:formatCode>#,##0</c:formatCode>
                <c:ptCount val="5"/>
                <c:pt idx="0">
                  <c:v>41118006.046516784</c:v>
                </c:pt>
                <c:pt idx="1">
                  <c:v>40502364.552645579</c:v>
                </c:pt>
                <c:pt idx="2">
                  <c:v>39895817.305392884</c:v>
                </c:pt>
                <c:pt idx="3">
                  <c:v>39298201.20435638</c:v>
                </c:pt>
                <c:pt idx="4">
                  <c:v>38709356.556832239</c:v>
                </c:pt>
              </c:numCache>
            </c:numRef>
          </c:val>
          <c:extLst>
            <c:ext xmlns:c16="http://schemas.microsoft.com/office/drawing/2014/chart" uri="{C3380CC4-5D6E-409C-BE32-E72D297353CC}">
              <c16:uniqueId val="{00000000-3884-493F-AC16-AD67F5854C43}"/>
            </c:ext>
          </c:extLst>
        </c:ser>
        <c:dLbls>
          <c:showLegendKey val="0"/>
          <c:showVal val="1"/>
          <c:showCatName val="0"/>
          <c:showSerName val="0"/>
          <c:showPercent val="0"/>
          <c:showBubbleSize val="0"/>
        </c:dLbls>
        <c:gapWidth val="50"/>
        <c:axId val="238526464"/>
        <c:axId val="238528000"/>
      </c:barChart>
      <c:catAx>
        <c:axId val="238526464"/>
        <c:scaling>
          <c:orientation val="minMax"/>
        </c:scaling>
        <c:delete val="0"/>
        <c:axPos val="b"/>
        <c:numFmt formatCode="0.00&quot; %&quot;" sourceLinked="1"/>
        <c:majorTickMark val="none"/>
        <c:minorTickMark val="none"/>
        <c:tickLblPos val="low"/>
        <c:crossAx val="238528000"/>
        <c:crosses val="autoZero"/>
        <c:auto val="1"/>
        <c:lblAlgn val="ctr"/>
        <c:lblOffset val="100"/>
        <c:noMultiLvlLbl val="0"/>
      </c:catAx>
      <c:valAx>
        <c:axId val="238528000"/>
        <c:scaling>
          <c:orientation val="minMax"/>
        </c:scaling>
        <c:delete val="0"/>
        <c:axPos val="l"/>
        <c:majorGridlines>
          <c:spPr>
            <a:ln>
              <a:solidFill>
                <a:srgbClr val="7A9DB9"/>
              </a:solidFill>
            </a:ln>
          </c:spPr>
        </c:majorGridlines>
        <c:numFmt formatCode="#,##0" sourceLinked="1"/>
        <c:majorTickMark val="out"/>
        <c:minorTickMark val="none"/>
        <c:tickLblPos val="nextTo"/>
        <c:crossAx val="238526464"/>
        <c:crosses val="autoZero"/>
        <c:crossBetween val="between"/>
      </c:valAx>
    </c:plotArea>
    <c:plotVisOnly val="1"/>
    <c:dispBlanksAs val="gap"/>
    <c:showDLblsOverMax val="0"/>
  </c:chart>
  <c:spPr>
    <a:ln w="3175">
      <a:solidFill>
        <a:srgbClr val="7A9DB9"/>
      </a:solidFill>
    </a:ln>
  </c:spPr>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050"/>
          </a:pPr>
          <a:endParaRPr lang="en-US"/>
        </a:p>
      </c:txPr>
    </c:title>
    <c:autoTitleDeleted val="0"/>
    <c:plotArea>
      <c:layout/>
      <c:barChart>
        <c:barDir val="col"/>
        <c:grouping val="clustered"/>
        <c:varyColors val="1"/>
        <c:ser>
          <c:idx val="1"/>
          <c:order val="0"/>
          <c:tx>
            <c:strRef>
              <c:f>Analysis!$D$48</c:f>
              <c:strCache>
                <c:ptCount val="1"/>
                <c:pt idx="0">
                  <c:v> Net Present Value (NPV)</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Analysis!$F$46:$J$46</c:f>
              <c:numCache>
                <c:formatCode>#,##0</c:formatCode>
                <c:ptCount val="5"/>
                <c:pt idx="0">
                  <c:v>-6804000</c:v>
                </c:pt>
                <c:pt idx="1">
                  <c:v>-7654500</c:v>
                </c:pt>
                <c:pt idx="2">
                  <c:v>-8505000</c:v>
                </c:pt>
                <c:pt idx="3">
                  <c:v>-9355500</c:v>
                </c:pt>
                <c:pt idx="4">
                  <c:v>-10206000</c:v>
                </c:pt>
              </c:numCache>
            </c:numRef>
          </c:cat>
          <c:val>
            <c:numRef>
              <c:f>Analysis!$F$48:$J$48</c:f>
              <c:numCache>
                <c:formatCode>#,##0</c:formatCode>
                <c:ptCount val="5"/>
                <c:pt idx="0">
                  <c:v>42130047.181646205</c:v>
                </c:pt>
                <c:pt idx="1">
                  <c:v>41012932.243519537</c:v>
                </c:pt>
                <c:pt idx="2">
                  <c:v>39895817.305392884</c:v>
                </c:pt>
                <c:pt idx="3">
                  <c:v>38778702.367266223</c:v>
                </c:pt>
                <c:pt idx="4">
                  <c:v>37661587.429139555</c:v>
                </c:pt>
              </c:numCache>
            </c:numRef>
          </c:val>
          <c:extLst>
            <c:ext xmlns:c16="http://schemas.microsoft.com/office/drawing/2014/chart" uri="{C3380CC4-5D6E-409C-BE32-E72D297353CC}">
              <c16:uniqueId val="{00000000-70B3-4C1A-8BDE-5B45160CD78F}"/>
            </c:ext>
          </c:extLst>
        </c:ser>
        <c:dLbls>
          <c:showLegendKey val="0"/>
          <c:showVal val="1"/>
          <c:showCatName val="0"/>
          <c:showSerName val="0"/>
          <c:showPercent val="0"/>
          <c:showBubbleSize val="0"/>
        </c:dLbls>
        <c:gapWidth val="50"/>
        <c:axId val="238552576"/>
        <c:axId val="238554112"/>
      </c:barChart>
      <c:catAx>
        <c:axId val="238552576"/>
        <c:scaling>
          <c:orientation val="minMax"/>
        </c:scaling>
        <c:delete val="0"/>
        <c:axPos val="b"/>
        <c:numFmt formatCode="#,##0" sourceLinked="1"/>
        <c:majorTickMark val="none"/>
        <c:minorTickMark val="none"/>
        <c:tickLblPos val="low"/>
        <c:crossAx val="238554112"/>
        <c:crosses val="autoZero"/>
        <c:auto val="1"/>
        <c:lblAlgn val="ctr"/>
        <c:lblOffset val="100"/>
        <c:noMultiLvlLbl val="0"/>
      </c:catAx>
      <c:valAx>
        <c:axId val="238554112"/>
        <c:scaling>
          <c:orientation val="minMax"/>
        </c:scaling>
        <c:delete val="0"/>
        <c:axPos val="l"/>
        <c:majorGridlines>
          <c:spPr>
            <a:ln>
              <a:solidFill>
                <a:srgbClr val="7A9DB9"/>
              </a:solidFill>
            </a:ln>
          </c:spPr>
        </c:majorGridlines>
        <c:numFmt formatCode="#,##0" sourceLinked="1"/>
        <c:majorTickMark val="out"/>
        <c:minorTickMark val="none"/>
        <c:tickLblPos val="nextTo"/>
        <c:crossAx val="238552576"/>
        <c:crosses val="autoZero"/>
        <c:crossBetween val="between"/>
      </c:valAx>
    </c:plotArea>
    <c:plotVisOnly val="1"/>
    <c:dispBlanksAs val="gap"/>
    <c:showDLblsOverMax val="0"/>
  </c:chart>
  <c:spPr>
    <a:ln w="3175">
      <a:solidFill>
        <a:srgbClr val="7A9DB9"/>
      </a:solidFill>
    </a:ln>
  </c:spPr>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050"/>
          </a:pPr>
          <a:endParaRPr lang="en-US"/>
        </a:p>
      </c:txPr>
    </c:title>
    <c:autoTitleDeleted val="0"/>
    <c:plotArea>
      <c:layout/>
      <c:barChart>
        <c:barDir val="col"/>
        <c:grouping val="clustered"/>
        <c:varyColors val="1"/>
        <c:ser>
          <c:idx val="1"/>
          <c:order val="0"/>
          <c:tx>
            <c:strRef>
              <c:f>Analysis!$D$92</c:f>
              <c:strCache>
                <c:ptCount val="1"/>
                <c:pt idx="0">
                  <c:v> Net Present Value (NPV)</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Analysis!$F$91:$J$91</c:f>
              <c:numCache>
                <c:formatCode>\+0.0" %";\-0.0" %";0.0" %"</c:formatCode>
                <c:ptCount val="5"/>
                <c:pt idx="0">
                  <c:v>-20</c:v>
                </c:pt>
                <c:pt idx="1">
                  <c:v>-10</c:v>
                </c:pt>
                <c:pt idx="2">
                  <c:v>0</c:v>
                </c:pt>
                <c:pt idx="3">
                  <c:v>10</c:v>
                </c:pt>
                <c:pt idx="4">
                  <c:v>20</c:v>
                </c:pt>
              </c:numCache>
            </c:numRef>
          </c:cat>
          <c:val>
            <c:numRef>
              <c:f>Analysis!$F$92:$J$92</c:f>
              <c:numCache>
                <c:formatCode>#,##0</c:formatCode>
                <c:ptCount val="5"/>
                <c:pt idx="0">
                  <c:v>-23435777.491902873</c:v>
                </c:pt>
                <c:pt idx="1">
                  <c:v>8230019.9067450073</c:v>
                </c:pt>
                <c:pt idx="2">
                  <c:v>39895817.305392884</c:v>
                </c:pt>
                <c:pt idx="3">
                  <c:v>71561614.704040796</c:v>
                </c:pt>
                <c:pt idx="4">
                  <c:v>103227412.10268867</c:v>
                </c:pt>
              </c:numCache>
            </c:numRef>
          </c:val>
          <c:extLst>
            <c:ext xmlns:c16="http://schemas.microsoft.com/office/drawing/2014/chart" uri="{C3380CC4-5D6E-409C-BE32-E72D297353CC}">
              <c16:uniqueId val="{00000000-E143-458B-84CA-A921D49D5CEC}"/>
            </c:ext>
          </c:extLst>
        </c:ser>
        <c:dLbls>
          <c:showLegendKey val="0"/>
          <c:showVal val="1"/>
          <c:showCatName val="0"/>
          <c:showSerName val="0"/>
          <c:showPercent val="0"/>
          <c:showBubbleSize val="0"/>
        </c:dLbls>
        <c:gapWidth val="50"/>
        <c:axId val="238586880"/>
        <c:axId val="238592768"/>
      </c:barChart>
      <c:catAx>
        <c:axId val="238586880"/>
        <c:scaling>
          <c:orientation val="minMax"/>
        </c:scaling>
        <c:delete val="0"/>
        <c:axPos val="b"/>
        <c:numFmt formatCode="\+0.0&quot; %&quot;;\-0.0&quot; %&quot;;0.0&quot; %&quot;" sourceLinked="1"/>
        <c:majorTickMark val="none"/>
        <c:minorTickMark val="none"/>
        <c:tickLblPos val="low"/>
        <c:crossAx val="238592768"/>
        <c:crosses val="autoZero"/>
        <c:auto val="1"/>
        <c:lblAlgn val="ctr"/>
        <c:lblOffset val="100"/>
        <c:noMultiLvlLbl val="0"/>
      </c:catAx>
      <c:valAx>
        <c:axId val="238592768"/>
        <c:scaling>
          <c:orientation val="minMax"/>
        </c:scaling>
        <c:delete val="0"/>
        <c:axPos val="l"/>
        <c:majorGridlines>
          <c:spPr>
            <a:ln>
              <a:solidFill>
                <a:srgbClr val="7A9DB9"/>
              </a:solidFill>
            </a:ln>
          </c:spPr>
        </c:majorGridlines>
        <c:numFmt formatCode="#,##0" sourceLinked="1"/>
        <c:majorTickMark val="out"/>
        <c:minorTickMark val="none"/>
        <c:tickLblPos val="nextTo"/>
        <c:crossAx val="238586880"/>
        <c:crosses val="autoZero"/>
        <c:crossBetween val="between"/>
      </c:valAx>
    </c:plotArea>
    <c:plotVisOnly val="1"/>
    <c:dispBlanksAs val="gap"/>
    <c:showDLblsOverMax val="0"/>
  </c:chart>
  <c:spPr>
    <a:ln w="3175">
      <a:solidFill>
        <a:srgbClr val="7A9DB9"/>
      </a:solidFill>
    </a:ln>
  </c:spPr>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050"/>
          </a:pPr>
          <a:endParaRPr lang="en-US"/>
        </a:p>
      </c:txPr>
    </c:title>
    <c:autoTitleDeleted val="0"/>
    <c:plotArea>
      <c:layout/>
      <c:barChart>
        <c:barDir val="col"/>
        <c:grouping val="clustered"/>
        <c:varyColors val="1"/>
        <c:ser>
          <c:idx val="1"/>
          <c:order val="0"/>
          <c:tx>
            <c:strRef>
              <c:f>Analysis!$D$136</c:f>
              <c:strCache>
                <c:ptCount val="1"/>
                <c:pt idx="0">
                  <c:v> Net Present Value (NPV)</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Analysis!$F$135:$J$135</c:f>
              <c:numCache>
                <c:formatCode>\+0.0" %";\-0.0" %";0.0" %"</c:formatCode>
                <c:ptCount val="5"/>
                <c:pt idx="0">
                  <c:v>-20</c:v>
                </c:pt>
                <c:pt idx="1">
                  <c:v>-10</c:v>
                </c:pt>
                <c:pt idx="2">
                  <c:v>0</c:v>
                </c:pt>
                <c:pt idx="3">
                  <c:v>10</c:v>
                </c:pt>
                <c:pt idx="4">
                  <c:v>20</c:v>
                </c:pt>
              </c:numCache>
            </c:numRef>
          </c:cat>
          <c:val>
            <c:numRef>
              <c:f>Analysis!$F$136:$J$136</c:f>
              <c:numCache>
                <c:formatCode>#,##0</c:formatCode>
                <c:ptCount val="5"/>
                <c:pt idx="0">
                  <c:v>83085107.892721653</c:v>
                </c:pt>
                <c:pt idx="1">
                  <c:v>61490462.599057257</c:v>
                </c:pt>
                <c:pt idx="2">
                  <c:v>39895817.305392884</c:v>
                </c:pt>
                <c:pt idx="3">
                  <c:v>18301172.011728466</c:v>
                </c:pt>
                <c:pt idx="4">
                  <c:v>-3293473.281935906</c:v>
                </c:pt>
              </c:numCache>
            </c:numRef>
          </c:val>
          <c:extLst>
            <c:ext xmlns:c16="http://schemas.microsoft.com/office/drawing/2014/chart" uri="{C3380CC4-5D6E-409C-BE32-E72D297353CC}">
              <c16:uniqueId val="{00000000-0B3C-49E4-BBB8-E3E31F518500}"/>
            </c:ext>
          </c:extLst>
        </c:ser>
        <c:dLbls>
          <c:showLegendKey val="0"/>
          <c:showVal val="1"/>
          <c:showCatName val="0"/>
          <c:showSerName val="0"/>
          <c:showPercent val="0"/>
          <c:showBubbleSize val="0"/>
        </c:dLbls>
        <c:gapWidth val="50"/>
        <c:axId val="238633728"/>
        <c:axId val="238635264"/>
      </c:barChart>
      <c:catAx>
        <c:axId val="238633728"/>
        <c:scaling>
          <c:orientation val="minMax"/>
        </c:scaling>
        <c:delete val="0"/>
        <c:axPos val="b"/>
        <c:numFmt formatCode="\+0.0&quot; %&quot;;\-0.0&quot; %&quot;;0.0&quot; %&quot;" sourceLinked="1"/>
        <c:majorTickMark val="none"/>
        <c:minorTickMark val="none"/>
        <c:tickLblPos val="low"/>
        <c:crossAx val="238635264"/>
        <c:crosses val="autoZero"/>
        <c:auto val="1"/>
        <c:lblAlgn val="ctr"/>
        <c:lblOffset val="100"/>
        <c:noMultiLvlLbl val="0"/>
      </c:catAx>
      <c:valAx>
        <c:axId val="238635264"/>
        <c:scaling>
          <c:orientation val="minMax"/>
        </c:scaling>
        <c:delete val="0"/>
        <c:axPos val="l"/>
        <c:majorGridlines>
          <c:spPr>
            <a:ln>
              <a:solidFill>
                <a:srgbClr val="7A9DB9"/>
              </a:solidFill>
            </a:ln>
          </c:spPr>
        </c:majorGridlines>
        <c:numFmt formatCode="#,##0" sourceLinked="1"/>
        <c:majorTickMark val="out"/>
        <c:minorTickMark val="none"/>
        <c:tickLblPos val="nextTo"/>
        <c:crossAx val="238633728"/>
        <c:crosses val="autoZero"/>
        <c:crossBetween val="between"/>
      </c:valAx>
    </c:plotArea>
    <c:plotVisOnly val="1"/>
    <c:dispBlanksAs val="gap"/>
    <c:showDLblsOverMax val="0"/>
  </c:chart>
  <c:spPr>
    <a:ln w="3175">
      <a:solidFill>
        <a:srgbClr val="7A9DB9"/>
      </a:solidFill>
    </a:ln>
  </c:sp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050"/>
          </a:pPr>
          <a:endParaRPr lang="en-US"/>
        </a:p>
      </c:txPr>
    </c:title>
    <c:autoTitleDeleted val="0"/>
    <c:plotArea>
      <c:layout/>
      <c:barChart>
        <c:barDir val="col"/>
        <c:grouping val="clustered"/>
        <c:varyColors val="1"/>
        <c:ser>
          <c:idx val="1"/>
          <c:order val="0"/>
          <c:tx>
            <c:strRef>
              <c:f>Analysis!$D$180</c:f>
              <c:strCache>
                <c:ptCount val="1"/>
                <c:pt idx="0">
                  <c:v> Net Present Value (NPV)</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Analysis!$F$179:$J$179</c:f>
              <c:numCache>
                <c:formatCode>\+0.0" %";\-0.0" %";0.0" %"</c:formatCode>
                <c:ptCount val="5"/>
                <c:pt idx="0">
                  <c:v>-20</c:v>
                </c:pt>
                <c:pt idx="1">
                  <c:v>-10</c:v>
                </c:pt>
                <c:pt idx="2">
                  <c:v>0</c:v>
                </c:pt>
                <c:pt idx="3">
                  <c:v>10</c:v>
                </c:pt>
                <c:pt idx="4">
                  <c:v>20</c:v>
                </c:pt>
              </c:numCache>
            </c:numRef>
          </c:cat>
          <c:val>
            <c:numRef>
              <c:f>Analysis!$F$180:$J$180</c:f>
              <c:numCache>
                <c:formatCode>#,##0</c:formatCode>
                <c:ptCount val="5"/>
                <c:pt idx="0">
                  <c:v>46953820.993113466</c:v>
                </c:pt>
                <c:pt idx="1">
                  <c:v>43424819.149253175</c:v>
                </c:pt>
                <c:pt idx="2">
                  <c:v>39895817.305392884</c:v>
                </c:pt>
                <c:pt idx="3">
                  <c:v>36366815.461532585</c:v>
                </c:pt>
                <c:pt idx="4">
                  <c:v>32837813.617672294</c:v>
                </c:pt>
              </c:numCache>
            </c:numRef>
          </c:val>
          <c:extLst>
            <c:ext xmlns:c16="http://schemas.microsoft.com/office/drawing/2014/chart" uri="{C3380CC4-5D6E-409C-BE32-E72D297353CC}">
              <c16:uniqueId val="{00000000-ABEB-4219-8ECE-256CC02EED34}"/>
            </c:ext>
          </c:extLst>
        </c:ser>
        <c:dLbls>
          <c:showLegendKey val="0"/>
          <c:showVal val="1"/>
          <c:showCatName val="0"/>
          <c:showSerName val="0"/>
          <c:showPercent val="0"/>
          <c:showBubbleSize val="0"/>
        </c:dLbls>
        <c:gapWidth val="50"/>
        <c:axId val="238655744"/>
        <c:axId val="238669824"/>
      </c:barChart>
      <c:catAx>
        <c:axId val="238655744"/>
        <c:scaling>
          <c:orientation val="minMax"/>
        </c:scaling>
        <c:delete val="0"/>
        <c:axPos val="b"/>
        <c:numFmt formatCode="\+0.0&quot; %&quot;;\-0.0&quot; %&quot;;0.0&quot; %&quot;" sourceLinked="1"/>
        <c:majorTickMark val="none"/>
        <c:minorTickMark val="none"/>
        <c:tickLblPos val="low"/>
        <c:crossAx val="238669824"/>
        <c:crosses val="autoZero"/>
        <c:auto val="1"/>
        <c:lblAlgn val="ctr"/>
        <c:lblOffset val="100"/>
        <c:noMultiLvlLbl val="0"/>
      </c:catAx>
      <c:valAx>
        <c:axId val="238669824"/>
        <c:scaling>
          <c:orientation val="minMax"/>
        </c:scaling>
        <c:delete val="0"/>
        <c:axPos val="l"/>
        <c:majorGridlines>
          <c:spPr>
            <a:ln>
              <a:solidFill>
                <a:srgbClr val="7A9DB9"/>
              </a:solidFill>
            </a:ln>
          </c:spPr>
        </c:majorGridlines>
        <c:numFmt formatCode="#,##0" sourceLinked="1"/>
        <c:majorTickMark val="out"/>
        <c:minorTickMark val="none"/>
        <c:tickLblPos val="nextTo"/>
        <c:crossAx val="238655744"/>
        <c:crosses val="autoZero"/>
        <c:crossBetween val="between"/>
      </c:valAx>
    </c:plotArea>
    <c:plotVisOnly val="1"/>
    <c:dispBlanksAs val="gap"/>
    <c:showDLblsOverMax val="0"/>
  </c:chart>
  <c:spPr>
    <a:ln w="3175">
      <a:solidFill>
        <a:srgbClr val="7A9DB9"/>
      </a:solidFill>
    </a:ln>
  </c:spPr>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050"/>
          </a:pPr>
          <a:endParaRPr lang="en-US"/>
        </a:p>
      </c:txPr>
    </c:title>
    <c:autoTitleDeleted val="0"/>
    <c:plotArea>
      <c:layout/>
      <c:barChart>
        <c:barDir val="col"/>
        <c:grouping val="clustered"/>
        <c:varyColors val="1"/>
        <c:ser>
          <c:idx val="1"/>
          <c:order val="0"/>
          <c:tx>
            <c:strRef>
              <c:f>Analysis!$D$226</c:f>
              <c:strCache>
                <c:ptCount val="1"/>
                <c:pt idx="0">
                  <c:v> Net Present Value (NPV)</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Analysis!$F$224:$J$224</c:f>
              <c:numCache>
                <c:formatCode>\+0.0" %";\-0.0" %";0.0" %"</c:formatCode>
                <c:ptCount val="5"/>
                <c:pt idx="0">
                  <c:v>-20</c:v>
                </c:pt>
                <c:pt idx="1">
                  <c:v>-10</c:v>
                </c:pt>
                <c:pt idx="2">
                  <c:v>0</c:v>
                </c:pt>
                <c:pt idx="3">
                  <c:v>10</c:v>
                </c:pt>
                <c:pt idx="4">
                  <c:v>20</c:v>
                </c:pt>
              </c:numCache>
            </c:numRef>
          </c:cat>
          <c:val>
            <c:numRef>
              <c:f>Analysis!$F$226:$J$226</c:f>
              <c:numCache>
                <c:formatCode>#,##0</c:formatCode>
                <c:ptCount val="5"/>
              </c:numCache>
            </c:numRef>
          </c:val>
          <c:extLst>
            <c:ext xmlns:c16="http://schemas.microsoft.com/office/drawing/2014/chart" uri="{C3380CC4-5D6E-409C-BE32-E72D297353CC}">
              <c16:uniqueId val="{00000000-DED8-4D1B-A4DB-A731CF7ABF55}"/>
            </c:ext>
          </c:extLst>
        </c:ser>
        <c:dLbls>
          <c:showLegendKey val="0"/>
          <c:showVal val="1"/>
          <c:showCatName val="0"/>
          <c:showSerName val="0"/>
          <c:showPercent val="0"/>
          <c:showBubbleSize val="0"/>
        </c:dLbls>
        <c:gapWidth val="50"/>
        <c:axId val="238374912"/>
        <c:axId val="238376448"/>
      </c:barChart>
      <c:catAx>
        <c:axId val="238374912"/>
        <c:scaling>
          <c:orientation val="minMax"/>
        </c:scaling>
        <c:delete val="0"/>
        <c:axPos val="b"/>
        <c:numFmt formatCode="\+0.0&quot; %&quot;;\-0.0&quot; %&quot;;0.0&quot; %&quot;" sourceLinked="1"/>
        <c:majorTickMark val="none"/>
        <c:minorTickMark val="none"/>
        <c:tickLblPos val="low"/>
        <c:crossAx val="238376448"/>
        <c:crosses val="autoZero"/>
        <c:auto val="1"/>
        <c:lblAlgn val="ctr"/>
        <c:lblOffset val="100"/>
        <c:noMultiLvlLbl val="0"/>
      </c:catAx>
      <c:valAx>
        <c:axId val="238376448"/>
        <c:scaling>
          <c:orientation val="minMax"/>
        </c:scaling>
        <c:delete val="0"/>
        <c:axPos val="l"/>
        <c:majorGridlines>
          <c:spPr>
            <a:ln>
              <a:solidFill>
                <a:srgbClr val="7A9DB9"/>
              </a:solidFill>
            </a:ln>
          </c:spPr>
        </c:majorGridlines>
        <c:numFmt formatCode="#,##0" sourceLinked="1"/>
        <c:majorTickMark val="out"/>
        <c:minorTickMark val="none"/>
        <c:tickLblPos val="nextTo"/>
        <c:crossAx val="238374912"/>
        <c:crosses val="autoZero"/>
        <c:crossBetween val="between"/>
      </c:valAx>
    </c:plotArea>
    <c:plotVisOnly val="1"/>
    <c:dispBlanksAs val="gap"/>
    <c:showDLblsOverMax val="0"/>
  </c:chart>
  <c:spPr>
    <a:ln w="3175">
      <a:solidFill>
        <a:srgbClr val="7A9DB9"/>
      </a:solidFill>
    </a:ln>
  </c:sp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overlay val="0"/>
      <c:txPr>
        <a:bodyPr/>
        <a:lstStyle/>
        <a:p>
          <a:pPr>
            <a:defRPr sz="1050"/>
          </a:pPr>
          <a:endParaRPr lang="en-US"/>
        </a:p>
      </c:txPr>
    </c:title>
    <c:autoTitleDeleted val="0"/>
    <c:plotArea>
      <c:layout/>
      <c:barChart>
        <c:barDir val="col"/>
        <c:grouping val="clustered"/>
        <c:varyColors val="1"/>
        <c:ser>
          <c:idx val="0"/>
          <c:order val="0"/>
          <c:tx>
            <c:strRef>
              <c:f>Analysis!$D$272</c:f>
              <c:strCache>
                <c:ptCount val="1"/>
                <c:pt idx="0">
                  <c:v> Net Present Value (NPV)</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Analysis!$F$270:$J$270</c:f>
              <c:numCache>
                <c:formatCode>\+0.0" %";\-0.0" %";0.0" %"</c:formatCode>
                <c:ptCount val="5"/>
                <c:pt idx="0">
                  <c:v>-20</c:v>
                </c:pt>
                <c:pt idx="1">
                  <c:v>-10</c:v>
                </c:pt>
                <c:pt idx="2">
                  <c:v>0</c:v>
                </c:pt>
                <c:pt idx="3">
                  <c:v>10</c:v>
                </c:pt>
                <c:pt idx="4">
                  <c:v>20</c:v>
                </c:pt>
              </c:numCache>
            </c:numRef>
          </c:cat>
          <c:val>
            <c:numRef>
              <c:f>Analysis!$F$272:$J$272</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0-9D0A-411A-93E2-A4C8CE21CD7D}"/>
            </c:ext>
          </c:extLst>
        </c:ser>
        <c:dLbls>
          <c:showLegendKey val="0"/>
          <c:showVal val="1"/>
          <c:showCatName val="0"/>
          <c:showSerName val="0"/>
          <c:showPercent val="0"/>
          <c:showBubbleSize val="0"/>
        </c:dLbls>
        <c:gapWidth val="50"/>
        <c:axId val="238695936"/>
        <c:axId val="238697472"/>
      </c:barChart>
      <c:catAx>
        <c:axId val="238695936"/>
        <c:scaling>
          <c:orientation val="minMax"/>
        </c:scaling>
        <c:delete val="0"/>
        <c:axPos val="b"/>
        <c:numFmt formatCode="\+0.0&quot; %&quot;;\-0.0&quot; %&quot;;0.0&quot; %&quot;" sourceLinked="1"/>
        <c:majorTickMark val="none"/>
        <c:minorTickMark val="none"/>
        <c:tickLblPos val="low"/>
        <c:crossAx val="238697472"/>
        <c:crosses val="autoZero"/>
        <c:auto val="1"/>
        <c:lblAlgn val="ctr"/>
        <c:lblOffset val="100"/>
        <c:noMultiLvlLbl val="0"/>
      </c:catAx>
      <c:valAx>
        <c:axId val="238697472"/>
        <c:scaling>
          <c:orientation val="minMax"/>
        </c:scaling>
        <c:delete val="0"/>
        <c:axPos val="l"/>
        <c:majorGridlines>
          <c:spPr>
            <a:ln>
              <a:solidFill>
                <a:srgbClr val="7A9DB9"/>
              </a:solidFill>
            </a:ln>
          </c:spPr>
        </c:majorGridlines>
        <c:numFmt formatCode="#,##0" sourceLinked="1"/>
        <c:majorTickMark val="out"/>
        <c:minorTickMark val="none"/>
        <c:tickLblPos val="nextTo"/>
        <c:crossAx val="238695936"/>
        <c:crosses val="autoZero"/>
        <c:crossBetween val="between"/>
      </c:valAx>
    </c:plotArea>
    <c:plotVisOnly val="1"/>
    <c:dispBlanksAs val="gap"/>
    <c:showDLblsOverMax val="0"/>
  </c:chart>
  <c:spPr>
    <a:ln w="3175">
      <a:solidFill>
        <a:srgbClr val="7A9DB9"/>
      </a:solidFill>
    </a:ln>
  </c:spPr>
  <c:printSettings>
    <c:headerFooter/>
    <c:pageMargins b="0.75000000000001465" l="0.70000000000000062" r="0.70000000000000062" t="0.7500000000000146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050"/>
          </a:pPr>
          <a:endParaRPr lang="en-US"/>
        </a:p>
      </c:txPr>
    </c:title>
    <c:autoTitleDeleted val="0"/>
    <c:plotArea>
      <c:layout/>
      <c:barChart>
        <c:barDir val="col"/>
        <c:grouping val="clustered"/>
        <c:varyColors val="1"/>
        <c:ser>
          <c:idx val="0"/>
          <c:order val="0"/>
          <c:tx>
            <c:strRef>
              <c:f>Analysis!$D$318</c:f>
              <c:strCache>
                <c:ptCount val="1"/>
                <c:pt idx="0">
                  <c:v> Net Present Value (NPV)</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Analysis!$F$316:$J$316</c:f>
              <c:numCache>
                <c:formatCode>\+0.0" %";\-0.0" %";0.0" %"</c:formatCode>
                <c:ptCount val="5"/>
                <c:pt idx="0">
                  <c:v>-20</c:v>
                </c:pt>
                <c:pt idx="1">
                  <c:v>-10</c:v>
                </c:pt>
                <c:pt idx="2">
                  <c:v>0</c:v>
                </c:pt>
                <c:pt idx="3">
                  <c:v>10</c:v>
                </c:pt>
                <c:pt idx="4">
                  <c:v>20</c:v>
                </c:pt>
              </c:numCache>
            </c:numRef>
          </c:cat>
          <c:val>
            <c:numRef>
              <c:f>Analysis!$F$318:$J$318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0-2CFE-4B5C-8402-4A31D327CBDA}"/>
            </c:ext>
          </c:extLst>
        </c:ser>
        <c:dLbls>
          <c:showLegendKey val="0"/>
          <c:showVal val="1"/>
          <c:showCatName val="0"/>
          <c:showSerName val="0"/>
          <c:showPercent val="0"/>
          <c:showBubbleSize val="0"/>
        </c:dLbls>
        <c:gapWidth val="50"/>
        <c:axId val="238717952"/>
        <c:axId val="238813952"/>
      </c:barChart>
      <c:catAx>
        <c:axId val="238717952"/>
        <c:scaling>
          <c:orientation val="minMax"/>
        </c:scaling>
        <c:delete val="0"/>
        <c:axPos val="b"/>
        <c:numFmt formatCode="\+0.0&quot; %&quot;;\-0.0&quot; %&quot;;0.0&quot; %&quot;" sourceLinked="1"/>
        <c:majorTickMark val="none"/>
        <c:minorTickMark val="none"/>
        <c:tickLblPos val="low"/>
        <c:crossAx val="238813952"/>
        <c:crosses val="autoZero"/>
        <c:auto val="1"/>
        <c:lblAlgn val="ctr"/>
        <c:lblOffset val="100"/>
        <c:noMultiLvlLbl val="0"/>
      </c:catAx>
      <c:valAx>
        <c:axId val="238813952"/>
        <c:scaling>
          <c:orientation val="minMax"/>
        </c:scaling>
        <c:delete val="0"/>
        <c:axPos val="l"/>
        <c:majorGridlines>
          <c:spPr>
            <a:ln>
              <a:solidFill>
                <a:srgbClr val="7A9DB9"/>
              </a:solidFill>
            </a:ln>
          </c:spPr>
        </c:majorGridlines>
        <c:numFmt formatCode="#,##0" sourceLinked="1"/>
        <c:majorTickMark val="out"/>
        <c:minorTickMark val="none"/>
        <c:tickLblPos val="nextTo"/>
        <c:crossAx val="238717952"/>
        <c:crosses val="autoZero"/>
        <c:crossBetween val="between"/>
      </c:valAx>
    </c:plotArea>
    <c:plotVisOnly val="1"/>
    <c:dispBlanksAs val="gap"/>
    <c:showDLblsOverMax val="0"/>
  </c:chart>
  <c:spPr>
    <a:ln w="3175">
      <a:solidFill>
        <a:srgbClr val="7A9DB9"/>
      </a:solidFill>
    </a:ln>
  </c:spPr>
  <c:printSettings>
    <c:headerFooter/>
    <c:pageMargins b="0.75000000000001465" l="0.70000000000000062" r="0.70000000000000062" t="0.75000000000001465" header="0.30000000000000032" footer="0.30000000000000032"/>
    <c:pageSetup/>
  </c:printSettings>
</c:chartSpace>
</file>

<file path=xl/ctrlProps/ctrlProp1.xml><?xml version="1.0" encoding="utf-8"?>
<formControlPr xmlns="http://schemas.microsoft.com/office/spreadsheetml/2009/9/main" objectType="CheckBox" fmlaLink="CalculatedDepreciation" lockText="1" noThreeD="1"/>
</file>

<file path=xl/ctrlProps/ctrlProp10.xml><?xml version="1.0" encoding="utf-8"?>
<formControlPr xmlns="http://schemas.microsoft.com/office/spreadsheetml/2009/9/main" objectType="Drop" dropLines="2" dropStyle="combo" dx="16" fmlaLink="GWtype" fmlaRange="GWtypeDD" noThreeD="1" sel="2" val="0"/>
</file>

<file path=xl/ctrlProps/ctrlProp100.xml><?xml version="1.0" encoding="utf-8"?>
<formControlPr xmlns="http://schemas.microsoft.com/office/spreadsheetml/2009/9/main" objectType="Drop" dropLines="11" dropStyle="combo" dx="16" fmlaLink="Analysis04Ratio05" fmlaRange="RatiosDD" noThreeD="1" sel="5" val="0"/>
</file>

<file path=xl/ctrlProps/ctrlProp101.xml><?xml version="1.0" encoding="utf-8"?>
<formControlPr xmlns="http://schemas.microsoft.com/office/spreadsheetml/2009/9/main" objectType="Drop" dropLines="11" dropStyle="combo" dx="16" fmlaLink="Analysis04Ratio06" fmlaRange="RatiosDD" noThreeD="1" sel="6" val="0"/>
</file>

<file path=xl/ctrlProps/ctrlProp102.xml><?xml version="1.0" encoding="utf-8"?>
<formControlPr xmlns="http://schemas.microsoft.com/office/spreadsheetml/2009/9/main" objectType="Drop" dropLines="11" dropStyle="combo" dx="16" fmlaLink="Analysis05Ratio01" fmlaRange="RatiosDD" noThreeD="1" sel="1" val="0"/>
</file>

<file path=xl/ctrlProps/ctrlProp103.xml><?xml version="1.0" encoding="utf-8"?>
<formControlPr xmlns="http://schemas.microsoft.com/office/spreadsheetml/2009/9/main" objectType="Drop" dropLines="11" dropStyle="combo" dx="16" fmlaLink="Analysis05Ratio02" fmlaRange="RatiosDD" noThreeD="1" sel="2" val="0"/>
</file>

<file path=xl/ctrlProps/ctrlProp104.xml><?xml version="1.0" encoding="utf-8"?>
<formControlPr xmlns="http://schemas.microsoft.com/office/spreadsheetml/2009/9/main" objectType="Drop" dropLines="11" dropStyle="combo" dx="16" fmlaLink="Analysis05Ratio03" fmlaRange="RatiosDD" noThreeD="1" sel="3" val="0"/>
</file>

<file path=xl/ctrlProps/ctrlProp105.xml><?xml version="1.0" encoding="utf-8"?>
<formControlPr xmlns="http://schemas.microsoft.com/office/spreadsheetml/2009/9/main" objectType="Drop" dropLines="11" dropStyle="combo" dx="16" fmlaLink="Analysis05Ratio04" fmlaRange="RatiosDD" noThreeD="1" sel="4" val="0"/>
</file>

<file path=xl/ctrlProps/ctrlProp106.xml><?xml version="1.0" encoding="utf-8"?>
<formControlPr xmlns="http://schemas.microsoft.com/office/spreadsheetml/2009/9/main" objectType="Drop" dropLines="11" dropStyle="combo" dx="16" fmlaLink="Analysis05Ratio05" fmlaRange="RatiosDD" noThreeD="1" sel="5" val="0"/>
</file>

<file path=xl/ctrlProps/ctrlProp107.xml><?xml version="1.0" encoding="utf-8"?>
<formControlPr xmlns="http://schemas.microsoft.com/office/spreadsheetml/2009/9/main" objectType="Drop" dropLines="11" dropStyle="combo" dx="16" fmlaLink="Analysis05Ratio06" fmlaRange="RatiosDD" noThreeD="1" sel="6" val="0"/>
</file>

<file path=xl/ctrlProps/ctrlProp108.xml><?xml version="1.0" encoding="utf-8"?>
<formControlPr xmlns="http://schemas.microsoft.com/office/spreadsheetml/2009/9/main" objectType="Drop" dropLines="11" dropStyle="combo" dx="16" fmlaLink="FinYearRIndex06" fmlaRange="FinYearsR" noThreeD="1" sel="1" val="0"/>
</file>

<file path=xl/ctrlProps/ctrlProp109.xml><?xml version="1.0" encoding="utf-8"?>
<formControlPr xmlns="http://schemas.microsoft.com/office/spreadsheetml/2009/9/main" objectType="Drop" dropLines="11" dropStyle="combo" dx="16" fmlaLink="Analysis06Ratio01" fmlaRange="RatiosDD" noThreeD="1" sel="1" val="0"/>
</file>

<file path=xl/ctrlProps/ctrlProp11.xml><?xml version="1.0" encoding="utf-8"?>
<formControlPr xmlns="http://schemas.microsoft.com/office/spreadsheetml/2009/9/main" objectType="Drop" dropLines="13" dropStyle="combo" dx="16" fmlaLink="IFRSAlloc01" fmlaRange="IFRSallocDD" noThreeD="1" sel="0" val="0"/>
</file>

<file path=xl/ctrlProps/ctrlProp110.xml><?xml version="1.0" encoding="utf-8"?>
<formControlPr xmlns="http://schemas.microsoft.com/office/spreadsheetml/2009/9/main" objectType="Drop" dropLines="11" dropStyle="combo" dx="16" fmlaLink="Analysis06Ratio02" fmlaRange="RatiosDD" noThreeD="1" sel="2" val="0"/>
</file>

<file path=xl/ctrlProps/ctrlProp111.xml><?xml version="1.0" encoding="utf-8"?>
<formControlPr xmlns="http://schemas.microsoft.com/office/spreadsheetml/2009/9/main" objectType="Drop" dropLines="11" dropStyle="combo" dx="16" fmlaLink="Analysis06Ratio03" fmlaRange="RatiosDD" noThreeD="1" sel="3" val="0"/>
</file>

<file path=xl/ctrlProps/ctrlProp112.xml><?xml version="1.0" encoding="utf-8"?>
<formControlPr xmlns="http://schemas.microsoft.com/office/spreadsheetml/2009/9/main" objectType="Drop" dropLines="11" dropStyle="combo" dx="16" fmlaLink="Analysis06Ratio04" fmlaRange="RatiosDD" noThreeD="1" sel="4" val="0"/>
</file>

<file path=xl/ctrlProps/ctrlProp113.xml><?xml version="1.0" encoding="utf-8"?>
<formControlPr xmlns="http://schemas.microsoft.com/office/spreadsheetml/2009/9/main" objectType="Drop" dropLines="11" dropStyle="combo" dx="16" fmlaLink="Analysis06Ratio05" fmlaRange="RatiosDD" noThreeD="1" sel="5" val="4"/>
</file>

<file path=xl/ctrlProps/ctrlProp114.xml><?xml version="1.0" encoding="utf-8"?>
<formControlPr xmlns="http://schemas.microsoft.com/office/spreadsheetml/2009/9/main" objectType="Drop" dropLines="11" dropStyle="combo" dx="16" fmlaLink="Analysis06Ratio06" fmlaRange="RatiosDD" noThreeD="1" sel="6" val="0"/>
</file>

<file path=xl/ctrlProps/ctrlProp115.xml><?xml version="1.0" encoding="utf-8"?>
<formControlPr xmlns="http://schemas.microsoft.com/office/spreadsheetml/2009/9/main" objectType="Drop" dropLines="40" dropStyle="combo" dx="16" fmlaLink="IncVar2" fmlaRange="VarList01" noThreeD="1" sel="1" val="0"/>
</file>

<file path=xl/ctrlProps/ctrlProp116.xml><?xml version="1.0" encoding="utf-8"?>
<formControlPr xmlns="http://schemas.microsoft.com/office/spreadsheetml/2009/9/main" objectType="Drop" dropLines="21" dropStyle="combo" dx="16" fmlaRange="ColHeadersR" noThreeD="1" sel="2" val="0"/>
</file>

<file path=xl/ctrlProps/ctrlProp117.xml><?xml version="1.0" encoding="utf-8"?>
<formControlPr xmlns="http://schemas.microsoft.com/office/spreadsheetml/2009/9/main" objectType="Drop" dropStyle="combo" dx="16" fmlaLink="FinYearRIndex07" fmlaRange="FinYearsR" noThreeD="1" sel="1" val="0"/>
</file>

<file path=xl/ctrlProps/ctrlProp118.xml><?xml version="1.0" encoding="utf-8"?>
<formControlPr xmlns="http://schemas.microsoft.com/office/spreadsheetml/2009/9/main" objectType="Drop" dropLines="9" dropStyle="combo" dx="16" fmlaLink="AFactor" fmlaRange="AFactorList" noThreeD="1" sel="1" val="0"/>
</file>

<file path=xl/ctrlProps/ctrlProp119.xml><?xml version="1.0" encoding="utf-8"?>
<formControlPr xmlns="http://schemas.microsoft.com/office/spreadsheetml/2009/9/main" objectType="Drop" dropLines="11" dropStyle="combo" dx="16" fmlaLink="Analysis07Ratio01" fmlaRange="RatiosDD" noThreeD="1" sel="1" val="0"/>
</file>

<file path=xl/ctrlProps/ctrlProp12.xml><?xml version="1.0" encoding="utf-8"?>
<formControlPr xmlns="http://schemas.microsoft.com/office/spreadsheetml/2009/9/main" objectType="Drop" dropLines="3" dropStyle="combo" dx="16" fmlaLink="IFRSDepr01" fmlaRange="BalDeprDD" noThreeD="1" sel="1" val="0"/>
</file>

<file path=xl/ctrlProps/ctrlProp120.xml><?xml version="1.0" encoding="utf-8"?>
<formControlPr xmlns="http://schemas.microsoft.com/office/spreadsheetml/2009/9/main" objectType="Drop" dropLines="11" dropStyle="combo" dx="16" fmlaLink="Analysis07Ratio02" fmlaRange="RatiosDD" noThreeD="1" sel="2" val="0"/>
</file>

<file path=xl/ctrlProps/ctrlProp121.xml><?xml version="1.0" encoding="utf-8"?>
<formControlPr xmlns="http://schemas.microsoft.com/office/spreadsheetml/2009/9/main" objectType="Drop" dropLines="11" dropStyle="combo" dx="16" fmlaLink="Analysis07Ratio03" fmlaRange="RatiosDD" noThreeD="1" sel="3" val="0"/>
</file>

<file path=xl/ctrlProps/ctrlProp122.xml><?xml version="1.0" encoding="utf-8"?>
<formControlPr xmlns="http://schemas.microsoft.com/office/spreadsheetml/2009/9/main" objectType="Drop" dropLines="11" dropStyle="combo" dx="16" fmlaLink="Analysis07Ratio04" fmlaRange="RatiosDD" noThreeD="1" sel="4" val="0"/>
</file>

<file path=xl/ctrlProps/ctrlProp123.xml><?xml version="1.0" encoding="utf-8"?>
<formControlPr xmlns="http://schemas.microsoft.com/office/spreadsheetml/2009/9/main" objectType="Drop" dropLines="11" dropStyle="combo" dx="16" fmlaLink="Analysis07Ratio05" fmlaRange="RatiosDD" noThreeD="1" sel="5" val="0"/>
</file>

<file path=xl/ctrlProps/ctrlProp124.xml><?xml version="1.0" encoding="utf-8"?>
<formControlPr xmlns="http://schemas.microsoft.com/office/spreadsheetml/2009/9/main" objectType="Drop" dropLines="11" dropStyle="combo" dx="16" fmlaLink="Analysis07Ratio06" fmlaRange="RatiosDD" noThreeD="1" sel="6" val="0"/>
</file>

<file path=xl/ctrlProps/ctrlProp125.xml><?xml version="1.0" encoding="utf-8"?>
<formControlPr xmlns="http://schemas.microsoft.com/office/spreadsheetml/2009/9/main" objectType="Drop" dropLines="40" dropStyle="combo" dx="16" fmlaLink="IncVar3" fmlaRange="VarList01" noThreeD="1" sel="1" val="0"/>
</file>

<file path=xl/ctrlProps/ctrlProp126.xml><?xml version="1.0" encoding="utf-8"?>
<formControlPr xmlns="http://schemas.microsoft.com/office/spreadsheetml/2009/9/main" objectType="Drop" dropLines="21" dropStyle="combo" dx="16" fmlaRange="ColHeadersR" noThreeD="1" sel="2" val="0"/>
</file>

<file path=xl/ctrlProps/ctrlProp127.xml><?xml version="1.0" encoding="utf-8"?>
<formControlPr xmlns="http://schemas.microsoft.com/office/spreadsheetml/2009/9/main" objectType="Drop" dropStyle="combo" dx="16" fmlaLink="FinYearRIndex08" fmlaRange="FinYearsR" noThreeD="1" sel="1" val="0"/>
</file>

<file path=xl/ctrlProps/ctrlProp128.xml><?xml version="1.0" encoding="utf-8"?>
<formControlPr xmlns="http://schemas.microsoft.com/office/spreadsheetml/2009/9/main" objectType="Drop" dropLines="9" dropStyle="combo" dx="16" fmlaLink="AFactor" fmlaRange="AFactorList" noThreeD="1" sel="1" val="0"/>
</file>

<file path=xl/ctrlProps/ctrlProp129.xml><?xml version="1.0" encoding="utf-8"?>
<formControlPr xmlns="http://schemas.microsoft.com/office/spreadsheetml/2009/9/main" objectType="Drop" dropLines="11" dropStyle="combo" dx="16" fmlaLink="Analysis08Ratio01" fmlaRange="RatiosDD" noThreeD="1" sel="1" val="0"/>
</file>

<file path=xl/ctrlProps/ctrlProp13.xml><?xml version="1.0" encoding="utf-8"?>
<formControlPr xmlns="http://schemas.microsoft.com/office/spreadsheetml/2009/9/main" objectType="Drop" dropLines="13" dropStyle="combo" dx="16" fmlaLink="IFRSAlloc02" fmlaRange="IFRSallocDD" noThreeD="1" sel="0" val="0"/>
</file>

<file path=xl/ctrlProps/ctrlProp130.xml><?xml version="1.0" encoding="utf-8"?>
<formControlPr xmlns="http://schemas.microsoft.com/office/spreadsheetml/2009/9/main" objectType="Drop" dropLines="11" dropStyle="combo" dx="16" fmlaLink="Analysis08Ratio02" fmlaRange="RatiosDD" noThreeD="1" sel="2" val="0"/>
</file>

<file path=xl/ctrlProps/ctrlProp131.xml><?xml version="1.0" encoding="utf-8"?>
<formControlPr xmlns="http://schemas.microsoft.com/office/spreadsheetml/2009/9/main" objectType="Drop" dropLines="11" dropStyle="combo" dx="16" fmlaLink="Analysis08Ratio03" fmlaRange="RatiosDD" noThreeD="1" sel="3" val="0"/>
</file>

<file path=xl/ctrlProps/ctrlProp132.xml><?xml version="1.0" encoding="utf-8"?>
<formControlPr xmlns="http://schemas.microsoft.com/office/spreadsheetml/2009/9/main" objectType="Drop" dropLines="11" dropStyle="combo" dx="16" fmlaLink="Analysis08Ratio04" fmlaRange="RatiosDD" noThreeD="1" sel="4" val="0"/>
</file>

<file path=xl/ctrlProps/ctrlProp133.xml><?xml version="1.0" encoding="utf-8"?>
<formControlPr xmlns="http://schemas.microsoft.com/office/spreadsheetml/2009/9/main" objectType="Drop" dropLines="11" dropStyle="combo" dx="16" fmlaLink="Analysis08Ratio05" fmlaRange="RatiosDD" noThreeD="1" sel="5" val="0"/>
</file>

<file path=xl/ctrlProps/ctrlProp134.xml><?xml version="1.0" encoding="utf-8"?>
<formControlPr xmlns="http://schemas.microsoft.com/office/spreadsheetml/2009/9/main" objectType="Drop" dropLines="11" dropStyle="combo" dx="16" fmlaLink="Analysis08Ratio06" fmlaRange="RatiosDD" noThreeD="1" sel="6" val="0"/>
</file>

<file path=xl/ctrlProps/ctrlProp135.xml><?xml version="1.0" encoding="utf-8"?>
<formControlPr xmlns="http://schemas.microsoft.com/office/spreadsheetml/2009/9/main" objectType="Drop" dropLines="40" dropStyle="combo" dx="16" fmlaLink="IncVar4" fmlaRange="VarList01" noThreeD="1" sel="1" val="0"/>
</file>

<file path=xl/ctrlProps/ctrlProp136.xml><?xml version="1.0" encoding="utf-8"?>
<formControlPr xmlns="http://schemas.microsoft.com/office/spreadsheetml/2009/9/main" objectType="Drop" dropLines="21" dropStyle="combo" dx="16" fmlaRange="ColHeadersR" noThreeD="1" sel="2" val="0"/>
</file>

<file path=xl/ctrlProps/ctrlProp137.xml><?xml version="1.0" encoding="utf-8"?>
<formControlPr xmlns="http://schemas.microsoft.com/office/spreadsheetml/2009/9/main" objectType="Drop" dropStyle="combo" dx="16" fmlaLink="FinYearRIndex09" fmlaRange="FinYearsR" noThreeD="1" sel="1" val="0"/>
</file>

<file path=xl/ctrlProps/ctrlProp138.xml><?xml version="1.0" encoding="utf-8"?>
<formControlPr xmlns="http://schemas.microsoft.com/office/spreadsheetml/2009/9/main" objectType="Drop" dropLines="9" dropStyle="combo" dx="16" fmlaLink="AFactor" fmlaRange="AFactorList" noThreeD="1" sel="1" val="0"/>
</file>

<file path=xl/ctrlProps/ctrlProp139.xml><?xml version="1.0" encoding="utf-8"?>
<formControlPr xmlns="http://schemas.microsoft.com/office/spreadsheetml/2009/9/main" objectType="Drop" dropLines="11" dropStyle="combo" dx="16" fmlaLink="Analysis09Ratio01" fmlaRange="RatiosDD" noThreeD="1" sel="1" val="0"/>
</file>

<file path=xl/ctrlProps/ctrlProp14.xml><?xml version="1.0" encoding="utf-8"?>
<formControlPr xmlns="http://schemas.microsoft.com/office/spreadsheetml/2009/9/main" objectType="Drop" dropLines="3" dropStyle="combo" dx="16" fmlaLink="IFRSDepr02" fmlaRange="BalDeprDD" noThreeD="1" sel="0" val="0"/>
</file>

<file path=xl/ctrlProps/ctrlProp140.xml><?xml version="1.0" encoding="utf-8"?>
<formControlPr xmlns="http://schemas.microsoft.com/office/spreadsheetml/2009/9/main" objectType="Drop" dropLines="11" dropStyle="combo" dx="16" fmlaLink="Analysis09Ratio02" fmlaRange="RatiosDD" noThreeD="1" sel="2" val="0"/>
</file>

<file path=xl/ctrlProps/ctrlProp141.xml><?xml version="1.0" encoding="utf-8"?>
<formControlPr xmlns="http://schemas.microsoft.com/office/spreadsheetml/2009/9/main" objectType="Drop" dropLines="11" dropStyle="combo" dx="16" fmlaLink="Analysis09Ratio03" fmlaRange="RatiosDD" noThreeD="1" sel="3" val="0"/>
</file>

<file path=xl/ctrlProps/ctrlProp142.xml><?xml version="1.0" encoding="utf-8"?>
<formControlPr xmlns="http://schemas.microsoft.com/office/spreadsheetml/2009/9/main" objectType="Drop" dropLines="11" dropStyle="combo" dx="16" fmlaLink="Analysis09Ratio04" fmlaRange="RatiosDD" noThreeD="1" sel="4" val="0"/>
</file>

<file path=xl/ctrlProps/ctrlProp143.xml><?xml version="1.0" encoding="utf-8"?>
<formControlPr xmlns="http://schemas.microsoft.com/office/spreadsheetml/2009/9/main" objectType="Drop" dropLines="11" dropStyle="combo" dx="16" fmlaLink="Analysis09Ratio05" fmlaRange="RatiosDD" noThreeD="1" sel="5" val="0"/>
</file>

<file path=xl/ctrlProps/ctrlProp144.xml><?xml version="1.0" encoding="utf-8"?>
<formControlPr xmlns="http://schemas.microsoft.com/office/spreadsheetml/2009/9/main" objectType="Drop" dropLines="11" dropStyle="combo" dx="16" fmlaLink="Analysis09Ratio06" fmlaRange="RatiosDD" noThreeD="1" sel="6" val="0"/>
</file>

<file path=xl/ctrlProps/ctrlProp145.xml><?xml version="1.0" encoding="utf-8"?>
<formControlPr xmlns="http://schemas.microsoft.com/office/spreadsheetml/2009/9/main" objectType="Drop" dropLines="40" dropStyle="combo" dx="16" fmlaLink="IncVar5" fmlaRange="VarList01" noThreeD="1" sel="1" val="0"/>
</file>

<file path=xl/ctrlProps/ctrlProp146.xml><?xml version="1.0" encoding="utf-8"?>
<formControlPr xmlns="http://schemas.microsoft.com/office/spreadsheetml/2009/9/main" objectType="Drop" dropLines="21" dropStyle="combo" dx="16" fmlaRange="ColHeadersR" noThreeD="1" sel="2" val="0"/>
</file>

<file path=xl/ctrlProps/ctrlProp147.xml><?xml version="1.0" encoding="utf-8"?>
<formControlPr xmlns="http://schemas.microsoft.com/office/spreadsheetml/2009/9/main" objectType="Drop" dropStyle="combo" dx="16" fmlaLink="FinYearRIndex10" fmlaRange="FinYearsR" noThreeD="1" sel="1" val="0"/>
</file>

<file path=xl/ctrlProps/ctrlProp148.xml><?xml version="1.0" encoding="utf-8"?>
<formControlPr xmlns="http://schemas.microsoft.com/office/spreadsheetml/2009/9/main" objectType="Drop" dropLines="9" dropStyle="combo" dx="16" fmlaLink="AFactor" fmlaRange="AFactorList" noThreeD="1" sel="1" val="0"/>
</file>

<file path=xl/ctrlProps/ctrlProp149.xml><?xml version="1.0" encoding="utf-8"?>
<formControlPr xmlns="http://schemas.microsoft.com/office/spreadsheetml/2009/9/main" objectType="Drop" dropLines="11" dropStyle="combo" dx="16" fmlaLink="Analysis10Ratio01" fmlaRange="RatiosDD" noThreeD="1" sel="1" val="0"/>
</file>

<file path=xl/ctrlProps/ctrlProp15.xml><?xml version="1.0" encoding="utf-8"?>
<formControlPr xmlns="http://schemas.microsoft.com/office/spreadsheetml/2009/9/main" objectType="Drop" dropLines="13" dropStyle="combo" dx="16" fmlaLink="IFRSAlloc03" fmlaRange="IFRSallocDD" noThreeD="1" sel="0" val="0"/>
</file>

<file path=xl/ctrlProps/ctrlProp150.xml><?xml version="1.0" encoding="utf-8"?>
<formControlPr xmlns="http://schemas.microsoft.com/office/spreadsheetml/2009/9/main" objectType="Drop" dropLines="11" dropStyle="combo" dx="16" fmlaLink="Analysis10Ratio02" fmlaRange="RatiosDD" noThreeD="1" sel="2" val="0"/>
</file>

<file path=xl/ctrlProps/ctrlProp151.xml><?xml version="1.0" encoding="utf-8"?>
<formControlPr xmlns="http://schemas.microsoft.com/office/spreadsheetml/2009/9/main" objectType="Drop" dropLines="11" dropStyle="combo" dx="16" fmlaLink="Analysis10Ratio03" fmlaRange="RatiosDD" noThreeD="1" sel="3" val="0"/>
</file>

<file path=xl/ctrlProps/ctrlProp152.xml><?xml version="1.0" encoding="utf-8"?>
<formControlPr xmlns="http://schemas.microsoft.com/office/spreadsheetml/2009/9/main" objectType="Drop" dropLines="11" dropStyle="combo" dx="16" fmlaLink="Analysis10Ratio04" fmlaRange="RatiosDD" noThreeD="1" sel="4" val="0"/>
</file>

<file path=xl/ctrlProps/ctrlProp153.xml><?xml version="1.0" encoding="utf-8"?>
<formControlPr xmlns="http://schemas.microsoft.com/office/spreadsheetml/2009/9/main" objectType="Drop" dropLines="11" dropStyle="combo" dx="16" fmlaLink="Analysis10Ratio05" fmlaRange="RatiosDD" noThreeD="1" sel="5" val="0"/>
</file>

<file path=xl/ctrlProps/ctrlProp154.xml><?xml version="1.0" encoding="utf-8"?>
<formControlPr xmlns="http://schemas.microsoft.com/office/spreadsheetml/2009/9/main" objectType="Drop" dropLines="11" dropStyle="combo" dx="16" fmlaLink="Analysis10Ratio06" fmlaRange="RatiosDD" noThreeD="1" sel="6" val="0"/>
</file>

<file path=xl/ctrlProps/ctrlProp155.xml><?xml version="1.0" encoding="utf-8"?>
<formControlPr xmlns="http://schemas.microsoft.com/office/spreadsheetml/2009/9/main" objectType="Drop" dropLines="40" dropStyle="combo" dx="16" fmlaLink="IncVar6" fmlaRange="VarList01" noThreeD="1" sel="1" val="0"/>
</file>

<file path=xl/ctrlProps/ctrlProp156.xml><?xml version="1.0" encoding="utf-8"?>
<formControlPr xmlns="http://schemas.microsoft.com/office/spreadsheetml/2009/9/main" objectType="Drop" dropLines="21" dropStyle="combo" dx="16" fmlaRange="ColHeadersR" noThreeD="1" sel="2" val="0"/>
</file>

<file path=xl/ctrlProps/ctrlProp157.xml><?xml version="1.0" encoding="utf-8"?>
<formControlPr xmlns="http://schemas.microsoft.com/office/spreadsheetml/2009/9/main" objectType="Drop" dropStyle="combo" dx="16" fmlaLink="FinYearRIndex11" fmlaRange="FinYearsR" noThreeD="1" sel="1" val="0"/>
</file>

<file path=xl/ctrlProps/ctrlProp158.xml><?xml version="1.0" encoding="utf-8"?>
<formControlPr xmlns="http://schemas.microsoft.com/office/spreadsheetml/2009/9/main" objectType="Drop" dropLines="9" dropStyle="combo" dx="16" fmlaLink="AFactor" fmlaRange="AFactorList" noThreeD="1" sel="1" val="0"/>
</file>

<file path=xl/ctrlProps/ctrlProp159.xml><?xml version="1.0" encoding="utf-8"?>
<formControlPr xmlns="http://schemas.microsoft.com/office/spreadsheetml/2009/9/main" objectType="Drop" dropLines="11" dropStyle="combo" dx="16" fmlaLink="Analysis11Ratio01" fmlaRange="RatiosDD" noThreeD="1" sel="1" val="0"/>
</file>

<file path=xl/ctrlProps/ctrlProp16.xml><?xml version="1.0" encoding="utf-8"?>
<formControlPr xmlns="http://schemas.microsoft.com/office/spreadsheetml/2009/9/main" objectType="Drop" dropLines="3" dropStyle="combo" dx="16" fmlaLink="IFRSDepr03" fmlaRange="BalDeprDD" noThreeD="1" sel="0" val="0"/>
</file>

<file path=xl/ctrlProps/ctrlProp160.xml><?xml version="1.0" encoding="utf-8"?>
<formControlPr xmlns="http://schemas.microsoft.com/office/spreadsheetml/2009/9/main" objectType="Drop" dropLines="11" dropStyle="combo" dx="16" fmlaLink="Analysis11Ratio02" fmlaRange="RatiosDD" noThreeD="1" sel="2" val="0"/>
</file>

<file path=xl/ctrlProps/ctrlProp161.xml><?xml version="1.0" encoding="utf-8"?>
<formControlPr xmlns="http://schemas.microsoft.com/office/spreadsheetml/2009/9/main" objectType="Drop" dropLines="11" dropStyle="combo" dx="16" fmlaLink="Analysis11Ratio03" fmlaRange="RatiosDD" noThreeD="1" sel="3" val="0"/>
</file>

<file path=xl/ctrlProps/ctrlProp162.xml><?xml version="1.0" encoding="utf-8"?>
<formControlPr xmlns="http://schemas.microsoft.com/office/spreadsheetml/2009/9/main" objectType="Drop" dropLines="11" dropStyle="combo" dx="16" fmlaLink="Analysis11Ratio04" fmlaRange="RatiosDD" noThreeD="1" sel="4" val="0"/>
</file>

<file path=xl/ctrlProps/ctrlProp163.xml><?xml version="1.0" encoding="utf-8"?>
<formControlPr xmlns="http://schemas.microsoft.com/office/spreadsheetml/2009/9/main" objectType="Drop" dropLines="11" dropStyle="combo" dx="16" fmlaLink="Analysis11Ratio05" fmlaRange="RatiosDD" noThreeD="1" sel="5" val="0"/>
</file>

<file path=xl/ctrlProps/ctrlProp164.xml><?xml version="1.0" encoding="utf-8"?>
<formControlPr xmlns="http://schemas.microsoft.com/office/spreadsheetml/2009/9/main" objectType="Drop" dropLines="11" dropStyle="combo" dx="16" fmlaLink="Analysis11Ratio06" fmlaRange="RatiosDD" noThreeD="1" sel="6" val="0"/>
</file>

<file path=xl/ctrlProps/ctrlProp165.xml><?xml version="1.0" encoding="utf-8"?>
<formControlPr xmlns="http://schemas.microsoft.com/office/spreadsheetml/2009/9/main" objectType="CheckBox" checked="Checked" fmlaLink="VarIncludeRows" lockText="1" noThreeD="1"/>
</file>

<file path=xl/ctrlProps/ctrlProp166.xml><?xml version="1.0" encoding="utf-8"?>
<formControlPr xmlns="http://schemas.microsoft.com/office/spreadsheetml/2009/9/main" objectType="CheckBox" checked="Checked" fmlaLink="VarIncludeRows" lockText="1" noThreeD="1"/>
</file>

<file path=xl/ctrlProps/ctrlProp167.xml><?xml version="1.0" encoding="utf-8"?>
<formControlPr xmlns="http://schemas.microsoft.com/office/spreadsheetml/2009/9/main" objectType="CheckBox" checked="Checked" fmlaLink="VarIncludeRows" lockText="1" noThreeD="1"/>
</file>

<file path=xl/ctrlProps/ctrlProp168.xml><?xml version="1.0" encoding="utf-8"?>
<formControlPr xmlns="http://schemas.microsoft.com/office/spreadsheetml/2009/9/main" objectType="CheckBox" checked="Checked" fmlaLink="VarIncludeRows" lockText="1" noThreeD="1"/>
</file>

<file path=xl/ctrlProps/ctrlProp169.xml><?xml version="1.0" encoding="utf-8"?>
<formControlPr xmlns="http://schemas.microsoft.com/office/spreadsheetml/2009/9/main" objectType="CheckBox" checked="Checked" fmlaLink="VarIncludeRows" lockText="1" noThreeD="1"/>
</file>

<file path=xl/ctrlProps/ctrlProp17.xml><?xml version="1.0" encoding="utf-8"?>
<formControlPr xmlns="http://schemas.microsoft.com/office/spreadsheetml/2009/9/main" objectType="Drop" dropLines="13" dropStyle="combo" dx="16" fmlaLink="IFRSAlloc04" fmlaRange="IFRSallocDD" noThreeD="1" sel="0" val="0"/>
</file>

<file path=xl/ctrlProps/ctrlProp170.xml><?xml version="1.0" encoding="utf-8"?>
<formControlPr xmlns="http://schemas.microsoft.com/office/spreadsheetml/2009/9/main" objectType="CheckBox" checked="Checked" fmlaLink="VarIncludeRows" lockText="1" noThreeD="1"/>
</file>

<file path=xl/ctrlProps/ctrlProp171.xml><?xml version="1.0" encoding="utf-8"?>
<formControlPr xmlns="http://schemas.microsoft.com/office/spreadsheetml/2009/9/main" objectType="CheckBox" fmlaLink="IFRSKeyFigures" lockText="1" noThreeD="1"/>
</file>

<file path=xl/ctrlProps/ctrlProp172.xml><?xml version="1.0" encoding="utf-8"?>
<formControlPr xmlns="http://schemas.microsoft.com/office/spreadsheetml/2009/9/main" objectType="Drop" dropLines="20" dropStyle="combo" dx="16" fmlaLink="$AA$9" fmlaRange="FinYearsR" sel="1" val="0"/>
</file>

<file path=xl/ctrlProps/ctrlProp18.xml><?xml version="1.0" encoding="utf-8"?>
<formControlPr xmlns="http://schemas.microsoft.com/office/spreadsheetml/2009/9/main" objectType="Drop" dropLines="3" dropStyle="combo" dx="16" fmlaLink="IFRSDepr04" fmlaRange="BalDeprDD" noThreeD="1" sel="0" val="0"/>
</file>

<file path=xl/ctrlProps/ctrlProp19.xml><?xml version="1.0" encoding="utf-8"?>
<formControlPr xmlns="http://schemas.microsoft.com/office/spreadsheetml/2009/9/main" objectType="Drop" dropLines="13" dropStyle="combo" dx="16" fmlaLink="IFRSAlloc05" fmlaRange="IFRSallocDD" noThreeD="1" sel="0" val="0"/>
</file>

<file path=xl/ctrlProps/ctrlProp2.xml><?xml version="1.0" encoding="utf-8"?>
<formControlPr xmlns="http://schemas.microsoft.com/office/spreadsheetml/2009/9/main" objectType="Drop" dropLines="3" dropStyle="combo" dx="16" fmlaRange="BalDeprDD" noThreeD="1" sel="1" val="0"/>
</file>

<file path=xl/ctrlProps/ctrlProp20.xml><?xml version="1.0" encoding="utf-8"?>
<formControlPr xmlns="http://schemas.microsoft.com/office/spreadsheetml/2009/9/main" objectType="Drop" dropLines="3" dropStyle="combo" dx="16" fmlaLink="IFRSDepr05" fmlaRange="BalDeprDD" noThreeD="1" sel="0" val="0"/>
</file>

<file path=xl/ctrlProps/ctrlProp21.xml><?xml version="1.0" encoding="utf-8"?>
<formControlPr xmlns="http://schemas.microsoft.com/office/spreadsheetml/2009/9/main" objectType="Drop" dropLines="13" dropStyle="combo" dx="16" fmlaLink="IFRSAlloc06" fmlaRange="IFRSallocDD" noThreeD="1" sel="0" val="0"/>
</file>

<file path=xl/ctrlProps/ctrlProp22.xml><?xml version="1.0" encoding="utf-8"?>
<formControlPr xmlns="http://schemas.microsoft.com/office/spreadsheetml/2009/9/main" objectType="Drop" dropLines="3" dropStyle="combo" dx="16" fmlaLink="IFRSDepr06" fmlaRange="BalDeprDD" noThreeD="1" sel="0" val="0"/>
</file>

<file path=xl/ctrlProps/ctrlProp23.xml><?xml version="1.0" encoding="utf-8"?>
<formControlPr xmlns="http://schemas.microsoft.com/office/spreadsheetml/2009/9/main" objectType="Drop" dropLines="13" dropStyle="combo" dx="16" fmlaLink="IFRSAlloc07" fmlaRange="IFRSallocDD" noThreeD="1" sel="0" val="0"/>
</file>

<file path=xl/ctrlProps/ctrlProp24.xml><?xml version="1.0" encoding="utf-8"?>
<formControlPr xmlns="http://schemas.microsoft.com/office/spreadsheetml/2009/9/main" objectType="Drop" dropLines="3" dropStyle="combo" dx="16" fmlaLink="IFRSDepr07" fmlaRange="BalDeprDD" noThreeD="1" sel="0" val="0"/>
</file>

<file path=xl/ctrlProps/ctrlProp25.xml><?xml version="1.0" encoding="utf-8"?>
<formControlPr xmlns="http://schemas.microsoft.com/office/spreadsheetml/2009/9/main" objectType="Drop" dropLines="13" dropStyle="combo" dx="16" fmlaLink="IFRSAlloc08" fmlaRange="IFRSallocDD" noThreeD="1" sel="0" val="0"/>
</file>

<file path=xl/ctrlProps/ctrlProp26.xml><?xml version="1.0" encoding="utf-8"?>
<formControlPr xmlns="http://schemas.microsoft.com/office/spreadsheetml/2009/9/main" objectType="Drop" dropLines="3" dropStyle="combo" dx="16" fmlaLink="IFRSDepr08" fmlaRange="BalDeprDD" noThreeD="1" sel="0" val="0"/>
</file>

<file path=xl/ctrlProps/ctrlProp27.xml><?xml version="1.0" encoding="utf-8"?>
<formControlPr xmlns="http://schemas.microsoft.com/office/spreadsheetml/2009/9/main" objectType="Drop" dropLines="13" dropStyle="combo" dx="16" fmlaLink="IFRSAlloc09" fmlaRange="IFRSallocDD" noThreeD="1" sel="0" val="0"/>
</file>

<file path=xl/ctrlProps/ctrlProp28.xml><?xml version="1.0" encoding="utf-8"?>
<formControlPr xmlns="http://schemas.microsoft.com/office/spreadsheetml/2009/9/main" objectType="Drop" dropLines="3" dropStyle="combo" dx="16" fmlaLink="IFRSDepr09" fmlaRange="BalDeprDD" noThreeD="1" sel="0" val="0"/>
</file>

<file path=xl/ctrlProps/ctrlProp29.xml><?xml version="1.0" encoding="utf-8"?>
<formControlPr xmlns="http://schemas.microsoft.com/office/spreadsheetml/2009/9/main" objectType="Drop" dropLines="13" dropStyle="combo" dx="16" fmlaLink="IFRSAlloc10" fmlaRange="IFRSallocDD" noThreeD="1" sel="0" val="0"/>
</file>

<file path=xl/ctrlProps/ctrlProp3.xml><?xml version="1.0" encoding="utf-8"?>
<formControlPr xmlns="http://schemas.microsoft.com/office/spreadsheetml/2009/9/main" objectType="Drop" dropLines="3" dropStyle="combo" dx="16" fmlaLink="BalDepr12" fmlaRange="BalDeprDD" noThreeD="1" sel="1" val="0"/>
</file>

<file path=xl/ctrlProps/ctrlProp30.xml><?xml version="1.0" encoding="utf-8"?>
<formControlPr xmlns="http://schemas.microsoft.com/office/spreadsheetml/2009/9/main" objectType="Drop" dropLines="3" dropStyle="combo" dx="16" fmlaLink="IFRSDepr10" fmlaRange="BalDeprDD" noThreeD="1" sel="0" val="0"/>
</file>

<file path=xl/ctrlProps/ctrlProp31.xml><?xml version="1.0" encoding="utf-8"?>
<formControlPr xmlns="http://schemas.microsoft.com/office/spreadsheetml/2009/9/main" objectType="Drop" dropLines="13" dropStyle="combo" dx="16" fmlaLink="IFRSAlloc11" fmlaRange="IFRSallocDD" noThreeD="1" sel="0" val="0"/>
</file>

<file path=xl/ctrlProps/ctrlProp32.xml><?xml version="1.0" encoding="utf-8"?>
<formControlPr xmlns="http://schemas.microsoft.com/office/spreadsheetml/2009/9/main" objectType="Drop" dropLines="3" dropStyle="combo" dx="16" fmlaLink="IFRSDepr11" fmlaRange="BalDeprDD" noThreeD="1" sel="0" val="0"/>
</file>

<file path=xl/ctrlProps/ctrlProp33.xml><?xml version="1.0" encoding="utf-8"?>
<formControlPr xmlns="http://schemas.microsoft.com/office/spreadsheetml/2009/9/main" objectType="Drop" dropLines="13" dropStyle="combo" dx="16" fmlaLink="IFRSAlloc12" fmlaRange="IFRSallocDD" noThreeD="1" sel="0" val="0"/>
</file>

<file path=xl/ctrlProps/ctrlProp34.xml><?xml version="1.0" encoding="utf-8"?>
<formControlPr xmlns="http://schemas.microsoft.com/office/spreadsheetml/2009/9/main" objectType="Drop" dropLines="3" dropStyle="combo" dx="16" fmlaLink="IFRSDepr12" fmlaRange="BalDeprDD" noThreeD="1" sel="0" val="0"/>
</file>

<file path=xl/ctrlProps/ctrlProp35.xml><?xml version="1.0" encoding="utf-8"?>
<formControlPr xmlns="http://schemas.microsoft.com/office/spreadsheetml/2009/9/main" objectType="Drop" dropLines="3" dropStyle="combo" dx="16" fmlaRange="BalDeprDD" noThreeD="1" sel="1" val="0"/>
</file>

<file path=xl/ctrlProps/ctrlProp36.xml><?xml version="1.0" encoding="utf-8"?>
<formControlPr xmlns="http://schemas.microsoft.com/office/spreadsheetml/2009/9/main" objectType="Drop" dropLines="3" dropStyle="combo" dx="16" fmlaRange="BalDeprDD" noThreeD="1" sel="1" val="0"/>
</file>

<file path=xl/ctrlProps/ctrlProp37.xml><?xml version="1.0" encoding="utf-8"?>
<formControlPr xmlns="http://schemas.microsoft.com/office/spreadsheetml/2009/9/main" objectType="Drop" dropLines="3" dropStyle="combo" dx="16" fmlaRange="BalDeprDD" noThreeD="1" sel="1" val="0"/>
</file>

<file path=xl/ctrlProps/ctrlProp38.xml><?xml version="1.0" encoding="utf-8"?>
<formControlPr xmlns="http://schemas.microsoft.com/office/spreadsheetml/2009/9/main" objectType="Drop" dropLines="3" dropStyle="combo" dx="16" fmlaRange="BalDeprDD" noThreeD="1" sel="1" val="0"/>
</file>

<file path=xl/ctrlProps/ctrlProp39.xml><?xml version="1.0" encoding="utf-8"?>
<formControlPr xmlns="http://schemas.microsoft.com/office/spreadsheetml/2009/9/main" objectType="Drop" dropLines="3" dropStyle="combo" dx="16" fmlaRange="BalDeprDD" noThreeD="1" sel="1" val="0"/>
</file>

<file path=xl/ctrlProps/ctrlProp4.xml><?xml version="1.0" encoding="utf-8"?>
<formControlPr xmlns="http://schemas.microsoft.com/office/spreadsheetml/2009/9/main" objectType="Drop" dropLines="3" dropStyle="combo" dx="16" fmlaRange="BalDeprDD" noThreeD="1" sel="1" val="0"/>
</file>

<file path=xl/ctrlProps/ctrlProp40.xml><?xml version="1.0" encoding="utf-8"?>
<formControlPr xmlns="http://schemas.microsoft.com/office/spreadsheetml/2009/9/main" objectType="Drop" dropLines="3" dropStyle="combo" dx="16" fmlaLink="BalDepr09" fmlaRange="BalDeprDD" noThreeD="1" sel="1" val="0"/>
</file>

<file path=xl/ctrlProps/ctrlProp41.xml><?xml version="1.0" encoding="utf-8"?>
<formControlPr xmlns="http://schemas.microsoft.com/office/spreadsheetml/2009/9/main" objectType="Drop" dropLines="3" dropStyle="combo" dx="16" fmlaLink="BalDepr10" fmlaRange="BalDeprDD" noThreeD="1" sel="1" val="0"/>
</file>

<file path=xl/ctrlProps/ctrlProp42.xml><?xml version="1.0" encoding="utf-8"?>
<formControlPr xmlns="http://schemas.microsoft.com/office/spreadsheetml/2009/9/main" objectType="Drop" dropLines="3" dropStyle="combo" dx="16" fmlaLink="BalDepr11" fmlaRange="BalDeprDD" noThreeD="1" sel="1" val="0"/>
</file>

<file path=xl/ctrlProps/ctrlProp43.xml><?xml version="1.0" encoding="utf-8"?>
<formControlPr xmlns="http://schemas.microsoft.com/office/spreadsheetml/2009/9/main" objectType="Drop" dropLines="3" dropStyle="combo" dx="16" fmlaRange="BalDeprDD" noThreeD="1" sel="1" val="0"/>
</file>

<file path=xl/ctrlProps/ctrlProp44.xml><?xml version="1.0" encoding="utf-8"?>
<formControlPr xmlns="http://schemas.microsoft.com/office/spreadsheetml/2009/9/main" objectType="Drop" dropLines="6" dropStyle="combo" dx="16" fmlaRange="DetailLevels" noThreeD="1" sel="3" val="0"/>
</file>

<file path=xl/ctrlProps/ctrlProp45.xml><?xml version="1.0" encoding="utf-8"?>
<formControlPr xmlns="http://schemas.microsoft.com/office/spreadsheetml/2009/9/main" objectType="Drop" dropLines="3" dropStyle="combo" dx="16" fmlaRange="BalDeprDD" noThreeD="1" sel="1" val="0"/>
</file>

<file path=xl/ctrlProps/ctrlProp46.xml><?xml version="1.0" encoding="utf-8"?>
<formControlPr xmlns="http://schemas.microsoft.com/office/spreadsheetml/2009/9/main" objectType="CheckBox" fmlaLink="ElimGroupsInUse" lockText="1" noThreeD="1"/>
</file>

<file path=xl/ctrlProps/ctrlProp47.xml><?xml version="1.0" encoding="utf-8"?>
<formControlPr xmlns="http://schemas.microsoft.com/office/spreadsheetml/2009/9/main" objectType="CheckBox" checked="Checked" fmlaLink="ShowConclusions" lockText="1"/>
</file>

<file path=xl/ctrlProps/ctrlProp48.xml><?xml version="1.0" encoding="utf-8"?>
<formControlPr xmlns="http://schemas.microsoft.com/office/spreadsheetml/2009/9/main" objectType="Drop" dropStyle="combo" dx="16" fmlaLink="PerpetuityIndex" fmlaRange="FinYearsR" noThreeD="1" sel="6" val="0"/>
</file>

<file path=xl/ctrlProps/ctrlProp49.xml><?xml version="1.0" encoding="utf-8"?>
<formControlPr xmlns="http://schemas.microsoft.com/office/spreadsheetml/2009/9/main" objectType="Radio" firstButton="1" fmlaLink="PerpetuityEnter" lockText="1" noThreeD="1"/>
</file>

<file path=xl/ctrlProps/ctrlProp5.xml><?xml version="1.0" encoding="utf-8"?>
<formControlPr xmlns="http://schemas.microsoft.com/office/spreadsheetml/2009/9/main" objectType="Drop" dropLines="6" dropStyle="combo" dx="16" fmlaRange="DetailLevels" noThreeD="1" sel="3" val="0"/>
</file>

<file path=xl/ctrlProps/ctrlProp50.xml><?xml version="1.0" encoding="utf-8"?>
<formControlPr xmlns="http://schemas.microsoft.com/office/spreadsheetml/2009/9/main" objectType="Radio" checked="Checked" lockText="1" noThreeD="1"/>
</file>

<file path=xl/ctrlProps/ctrlProp51.xml><?xml version="1.0" encoding="utf-8"?>
<formControlPr xmlns="http://schemas.microsoft.com/office/spreadsheetml/2009/9/main" objectType="Radio" checked="Checked" firstButton="1" fmlaLink="PerpetuityGrowing" lockText="1" noThreeD="1"/>
</file>

<file path=xl/ctrlProps/ctrlProp52.xml><?xml version="1.0" encoding="utf-8"?>
<formControlPr xmlns="http://schemas.microsoft.com/office/spreadsheetml/2009/9/main" objectType="Radio" lockText="1" noThreeD="1"/>
</file>

<file path=xl/ctrlProps/ctrlProp53.xml><?xml version="1.0" encoding="utf-8"?>
<formControlPr xmlns="http://schemas.microsoft.com/office/spreadsheetml/2009/9/main" objectType="GBox" noThreeD="1"/>
</file>

<file path=xl/ctrlProps/ctrlProp54.xml><?xml version="1.0" encoding="utf-8"?>
<formControlPr xmlns="http://schemas.microsoft.com/office/spreadsheetml/2009/9/main" objectType="GBox" noThreeD="1"/>
</file>

<file path=xl/ctrlProps/ctrlProp55.xml><?xml version="1.0" encoding="utf-8"?>
<formControlPr xmlns="http://schemas.microsoft.com/office/spreadsheetml/2009/9/main" objectType="Drop" dropStyle="combo" dx="16" fmlaLink="PerpetuityIndexEquity" fmlaRange="FinYearsR" noThreeD="1" sel="6" val="0"/>
</file>

<file path=xl/ctrlProps/ctrlProp56.xml><?xml version="1.0" encoding="utf-8"?>
<formControlPr xmlns="http://schemas.microsoft.com/office/spreadsheetml/2009/9/main" objectType="Radio" firstButton="1" fmlaLink="PerpetuityEnterEquity" lockText="1" noThreeD="1"/>
</file>

<file path=xl/ctrlProps/ctrlProp57.xml><?xml version="1.0" encoding="utf-8"?>
<formControlPr xmlns="http://schemas.microsoft.com/office/spreadsheetml/2009/9/main" objectType="Radio" checked="Checked" lockText="1" noThreeD="1"/>
</file>

<file path=xl/ctrlProps/ctrlProp58.xml><?xml version="1.0" encoding="utf-8"?>
<formControlPr xmlns="http://schemas.microsoft.com/office/spreadsheetml/2009/9/main" objectType="Radio" checked="Checked" firstButton="1" fmlaLink="PerpetuityGrowingEquity" lockText="1" noThreeD="1"/>
</file>

<file path=xl/ctrlProps/ctrlProp59.xml><?xml version="1.0" encoding="utf-8"?>
<formControlPr xmlns="http://schemas.microsoft.com/office/spreadsheetml/2009/9/main" objectType="Radio" lockText="1" noThreeD="1"/>
</file>

<file path=xl/ctrlProps/ctrlProp6.xml><?xml version="1.0" encoding="utf-8"?>
<formControlPr xmlns="http://schemas.microsoft.com/office/spreadsheetml/2009/9/main" objectType="Drop" dropLines="6" dropStyle="combo" dx="16" fmlaRange="DetailLevels" noThreeD="1" sel="3" val="0"/>
</file>

<file path=xl/ctrlProps/ctrlProp60.xml><?xml version="1.0" encoding="utf-8"?>
<formControlPr xmlns="http://schemas.microsoft.com/office/spreadsheetml/2009/9/main" objectType="GBox" noThreeD="1"/>
</file>

<file path=xl/ctrlProps/ctrlProp61.xml><?xml version="1.0" encoding="utf-8"?>
<formControlPr xmlns="http://schemas.microsoft.com/office/spreadsheetml/2009/9/main" objectType="GBox" noThreeD="1"/>
</file>

<file path=xl/ctrlProps/ctrlProp62.xml><?xml version="1.0" encoding="utf-8"?>
<formControlPr xmlns="http://schemas.microsoft.com/office/spreadsheetml/2009/9/main" objectType="Drop" dropLines="11" dropStyle="combo" dx="16" fmlaLink="PerpetuityLimitation" fmlaRange="PerpetuityLimitList" noThreeD="1" sel="1" val="0"/>
</file>

<file path=xl/ctrlProps/ctrlProp63.xml><?xml version="1.0" encoding="utf-8"?>
<formControlPr xmlns="http://schemas.microsoft.com/office/spreadsheetml/2009/9/main" objectType="Drop" dropLines="11" dropStyle="combo" dx="16" fmlaLink="PerpetuityLimitation" fmlaRange="PerpetuityLimitList" noThreeD="1" sel="1" val="0"/>
</file>

<file path=xl/ctrlProps/ctrlProp64.xml><?xml version="1.0" encoding="utf-8"?>
<formControlPr xmlns="http://schemas.microsoft.com/office/spreadsheetml/2009/9/main" objectType="Drop" dropLines="15" dropStyle="combo" dx="16" fmlaLink="EbitdaIndex" fmlaRange="FinYearsH" noThreeD="1" sel="1" val="0"/>
</file>

<file path=xl/ctrlProps/ctrlProp65.xml><?xml version="1.0" encoding="utf-8"?>
<formControlPr xmlns="http://schemas.microsoft.com/office/spreadsheetml/2009/9/main" objectType="Drop" dropLines="40" dropStyle="combo" dx="16" fmlaLink="IncVar1" fmlaRange="VarList01" noThreeD="1" sel="1" val="0"/>
</file>

<file path=xl/ctrlProps/ctrlProp66.xml><?xml version="1.0" encoding="utf-8"?>
<formControlPr xmlns="http://schemas.microsoft.com/office/spreadsheetml/2009/9/main" objectType="Drop" dropLines="21" dropStyle="combo" dx="16" fmlaRange="ColHeadersR" noThreeD="1" sel="2" val="0"/>
</file>

<file path=xl/ctrlProps/ctrlProp67.xml><?xml version="1.0" encoding="utf-8"?>
<formControlPr xmlns="http://schemas.microsoft.com/office/spreadsheetml/2009/9/main" objectType="Drop" dropLines="11" dropStyle="combo" dx="16" fmlaLink="FinYearRIndex01" fmlaRange="FinYearsR" noThreeD="1" sel="1" val="0"/>
</file>

<file path=xl/ctrlProps/ctrlProp68.xml><?xml version="1.0" encoding="utf-8"?>
<formControlPr xmlns="http://schemas.microsoft.com/office/spreadsheetml/2009/9/main" objectType="Drop" dropStyle="combo" dx="16" fmlaLink="FinYearRIndex05" fmlaRange="FinYearsR" noThreeD="1" sel="1" val="0"/>
</file>

<file path=xl/ctrlProps/ctrlProp69.xml><?xml version="1.0" encoding="utf-8"?>
<formControlPr xmlns="http://schemas.microsoft.com/office/spreadsheetml/2009/9/main" objectType="Drop" dropLines="11" dropStyle="combo" dx="16" fmlaLink="FinYearRIndex02" fmlaRange="FinYearsR" noThreeD="1" sel="1" val="0"/>
</file>

<file path=xl/ctrlProps/ctrlProp7.xml><?xml version="1.0" encoding="utf-8"?>
<formControlPr xmlns="http://schemas.microsoft.com/office/spreadsheetml/2009/9/main" objectType="Drop" dropLines="6" dropStyle="combo" dx="16" fmlaRange="DetailLevels" noThreeD="1" sel="3" val="0"/>
</file>

<file path=xl/ctrlProps/ctrlProp70.xml><?xml version="1.0" encoding="utf-8"?>
<formControlPr xmlns="http://schemas.microsoft.com/office/spreadsheetml/2009/9/main" objectType="Drop" dropStyle="combo" dx="16" fmlaLink="FinYearRIndex03" fmlaRange="FinYearsR" noThreeD="1" sel="1" val="0"/>
</file>

<file path=xl/ctrlProps/ctrlProp71.xml><?xml version="1.0" encoding="utf-8"?>
<formControlPr xmlns="http://schemas.microsoft.com/office/spreadsheetml/2009/9/main" objectType="Drop" dropStyle="combo" dx="16" fmlaLink="AFactor" fmlaRange="AFactorList" noThreeD="1" sel="1" val="0"/>
</file>

<file path=xl/ctrlProps/ctrlProp72.xml><?xml version="1.0" encoding="utf-8"?>
<formControlPr xmlns="http://schemas.microsoft.com/office/spreadsheetml/2009/9/main" objectType="Drop" dropStyle="combo" dx="16" fmlaLink="AFactor" fmlaRange="AFactorList" noThreeD="1" sel="1" val="0"/>
</file>

<file path=xl/ctrlProps/ctrlProp73.xml><?xml version="1.0" encoding="utf-8"?>
<formControlPr xmlns="http://schemas.microsoft.com/office/spreadsheetml/2009/9/main" objectType="Drop" dropStyle="combo" dx="16" fmlaLink="AFactor" fmlaRange="AFactorList" noThreeD="1" sel="1" val="0"/>
</file>

<file path=xl/ctrlProps/ctrlProp74.xml><?xml version="1.0" encoding="utf-8"?>
<formControlPr xmlns="http://schemas.microsoft.com/office/spreadsheetml/2009/9/main" objectType="Drop" dropStyle="combo" dx="16" fmlaLink="FinYearRIndex04" fmlaRange="FinYearsR" noThreeD="1" sel="1" val="0"/>
</file>

<file path=xl/ctrlProps/ctrlProp75.xml><?xml version="1.0" encoding="utf-8"?>
<formControlPr xmlns="http://schemas.microsoft.com/office/spreadsheetml/2009/9/main" objectType="Drop" dropStyle="combo" dx="16" fmlaLink="AFactor" fmlaRange="AFactorList" noThreeD="1" sel="1" val="0"/>
</file>

<file path=xl/ctrlProps/ctrlProp76.xml><?xml version="1.0" encoding="utf-8"?>
<formControlPr xmlns="http://schemas.microsoft.com/office/spreadsheetml/2009/9/main" objectType="Drop" dropStyle="combo" dx="16" fmlaLink="AFactor" fmlaRange="AFactorList" noThreeD="1" sel="1" val="0"/>
</file>

<file path=xl/ctrlProps/ctrlProp77.xml><?xml version="1.0" encoding="utf-8"?>
<formControlPr xmlns="http://schemas.microsoft.com/office/spreadsheetml/2009/9/main" objectType="Drop" dropLines="5" dropStyle="combo" dx="16" fmlaLink="AFactor2" fmlaRange="AFactorList2" noThreeD="1" sel="1" val="0"/>
</file>

<file path=xl/ctrlProps/ctrlProp78.xml><?xml version="1.0" encoding="utf-8"?>
<formControlPr xmlns="http://schemas.microsoft.com/office/spreadsheetml/2009/9/main" objectType="Drop" dropLines="11" dropStyle="combo" dx="16" fmlaLink="Analysis01Ratio01" fmlaRange="RatiosDD" noThreeD="1" sel="1" val="0"/>
</file>

<file path=xl/ctrlProps/ctrlProp79.xml><?xml version="1.0" encoding="utf-8"?>
<formControlPr xmlns="http://schemas.microsoft.com/office/spreadsheetml/2009/9/main" objectType="Drop" dropLines="11" dropStyle="combo" dx="16" fmlaLink="Analysis01Ratio02" fmlaRange="RatiosDD" noThreeD="1" sel="2" val="0"/>
</file>

<file path=xl/ctrlProps/ctrlProp8.xml><?xml version="1.0" encoding="utf-8"?>
<formControlPr xmlns="http://schemas.microsoft.com/office/spreadsheetml/2009/9/main" objectType="Drop" dropLines="6" dropStyle="combo" dx="16" fmlaRange="DetailLevels" noThreeD="1" sel="3" val="0"/>
</file>

<file path=xl/ctrlProps/ctrlProp80.xml><?xml version="1.0" encoding="utf-8"?>
<formControlPr xmlns="http://schemas.microsoft.com/office/spreadsheetml/2009/9/main" objectType="Drop" dropLines="11" dropStyle="combo" dx="16" fmlaLink="Analysis01Ratio03" fmlaRange="RatiosDD" noThreeD="1" sel="3" val="0"/>
</file>

<file path=xl/ctrlProps/ctrlProp81.xml><?xml version="1.0" encoding="utf-8"?>
<formControlPr xmlns="http://schemas.microsoft.com/office/spreadsheetml/2009/9/main" objectType="Drop" dropLines="11" dropStyle="combo" dx="16" fmlaLink="Analysis01Ratio04" fmlaRange="RatiosDD" noThreeD="1" sel="4" val="0"/>
</file>

<file path=xl/ctrlProps/ctrlProp82.xml><?xml version="1.0" encoding="utf-8"?>
<formControlPr xmlns="http://schemas.microsoft.com/office/spreadsheetml/2009/9/main" objectType="Drop" dropLines="11" dropStyle="combo" dx="16" fmlaLink="Analysis01Ratio05" fmlaRange="RatiosDD" noThreeD="1" sel="5" val="0"/>
</file>

<file path=xl/ctrlProps/ctrlProp83.xml><?xml version="1.0" encoding="utf-8"?>
<formControlPr xmlns="http://schemas.microsoft.com/office/spreadsheetml/2009/9/main" objectType="Drop" dropLines="11" dropStyle="combo" dx="16" fmlaLink="Analysis01Ratio06" fmlaRange="RatiosDD" noThreeD="1" sel="6" val="0"/>
</file>

<file path=xl/ctrlProps/ctrlProp84.xml><?xml version="1.0" encoding="utf-8"?>
<formControlPr xmlns="http://schemas.microsoft.com/office/spreadsheetml/2009/9/main" objectType="Drop" dropLines="11" dropStyle="combo" dx="16" fmlaLink="Analysis02Ratio01" fmlaRange="RatiosDD" noThreeD="1" sel="1" val="0"/>
</file>

<file path=xl/ctrlProps/ctrlProp85.xml><?xml version="1.0" encoding="utf-8"?>
<formControlPr xmlns="http://schemas.microsoft.com/office/spreadsheetml/2009/9/main" objectType="Drop" dropLines="11" dropStyle="combo" dx="16" fmlaLink="Analysis02Ratio02" fmlaRange="RatiosDD" noThreeD="1" sel="2" val="0"/>
</file>

<file path=xl/ctrlProps/ctrlProp86.xml><?xml version="1.0" encoding="utf-8"?>
<formControlPr xmlns="http://schemas.microsoft.com/office/spreadsheetml/2009/9/main" objectType="Drop" dropLines="11" dropStyle="combo" dx="16" fmlaLink="Analysis02Ratio03" fmlaRange="RatiosDD" noThreeD="1" sel="3" val="0"/>
</file>

<file path=xl/ctrlProps/ctrlProp87.xml><?xml version="1.0" encoding="utf-8"?>
<formControlPr xmlns="http://schemas.microsoft.com/office/spreadsheetml/2009/9/main" objectType="Drop" dropLines="11" dropStyle="combo" dx="16" fmlaLink="Analysis02Ratio04" fmlaRange="RatiosDD" noThreeD="1" sel="4" val="0"/>
</file>

<file path=xl/ctrlProps/ctrlProp88.xml><?xml version="1.0" encoding="utf-8"?>
<formControlPr xmlns="http://schemas.microsoft.com/office/spreadsheetml/2009/9/main" objectType="Drop" dropLines="11" dropStyle="combo" dx="16" fmlaLink="Analysis02Ratio05" fmlaRange="RatiosDD" noThreeD="1" sel="5" val="0"/>
</file>

<file path=xl/ctrlProps/ctrlProp89.xml><?xml version="1.0" encoding="utf-8"?>
<formControlPr xmlns="http://schemas.microsoft.com/office/spreadsheetml/2009/9/main" objectType="Drop" dropLines="11" dropStyle="combo" dx="16" fmlaLink="Analysis02Ratio06" fmlaRange="RatiosDD" noThreeD="1" sel="6" val="0"/>
</file>

<file path=xl/ctrlProps/ctrlProp9.xml><?xml version="1.0" encoding="utf-8"?>
<formControlPr xmlns="http://schemas.microsoft.com/office/spreadsheetml/2009/9/main" objectType="Drop" dropLines="6" dropStyle="combo" dx="16" fmlaRange="DetailLevels" noThreeD="1" sel="3" val="0"/>
</file>

<file path=xl/ctrlProps/ctrlProp90.xml><?xml version="1.0" encoding="utf-8"?>
<formControlPr xmlns="http://schemas.microsoft.com/office/spreadsheetml/2009/9/main" objectType="Drop" dropLines="11" dropStyle="combo" dx="16" fmlaLink="Analysis03Ratio01" fmlaRange="RatiosDD" noThreeD="1" sel="1" val="0"/>
</file>

<file path=xl/ctrlProps/ctrlProp91.xml><?xml version="1.0" encoding="utf-8"?>
<formControlPr xmlns="http://schemas.microsoft.com/office/spreadsheetml/2009/9/main" objectType="Drop" dropLines="11" dropStyle="combo" dx="16" fmlaLink="Analysis03Ratio02" fmlaRange="RatiosDD" noThreeD="1" sel="2" val="0"/>
</file>

<file path=xl/ctrlProps/ctrlProp92.xml><?xml version="1.0" encoding="utf-8"?>
<formControlPr xmlns="http://schemas.microsoft.com/office/spreadsheetml/2009/9/main" objectType="Drop" dropLines="11" dropStyle="combo" dx="16" fmlaLink="Analysis03Ratio03" fmlaRange="RatiosDD" noThreeD="1" sel="3" val="0"/>
</file>

<file path=xl/ctrlProps/ctrlProp93.xml><?xml version="1.0" encoding="utf-8"?>
<formControlPr xmlns="http://schemas.microsoft.com/office/spreadsheetml/2009/9/main" objectType="Drop" dropLines="11" dropStyle="combo" dx="16" fmlaLink="Analysis03Ratio04" fmlaRange="RatiosDD" noThreeD="1" sel="4" val="0"/>
</file>

<file path=xl/ctrlProps/ctrlProp94.xml><?xml version="1.0" encoding="utf-8"?>
<formControlPr xmlns="http://schemas.microsoft.com/office/spreadsheetml/2009/9/main" objectType="Drop" dropLines="11" dropStyle="combo" dx="16" fmlaLink="Analysis03Ratio05" fmlaRange="RatiosDD" noThreeD="1" sel="5" val="0"/>
</file>

<file path=xl/ctrlProps/ctrlProp95.xml><?xml version="1.0" encoding="utf-8"?>
<formControlPr xmlns="http://schemas.microsoft.com/office/spreadsheetml/2009/9/main" objectType="Drop" dropLines="11" dropStyle="combo" dx="16" fmlaLink="Analysis03Ratio06" fmlaRange="RatiosDD" noThreeD="1" sel="6" val="0"/>
</file>

<file path=xl/ctrlProps/ctrlProp96.xml><?xml version="1.0" encoding="utf-8"?>
<formControlPr xmlns="http://schemas.microsoft.com/office/spreadsheetml/2009/9/main" objectType="Drop" dropLines="11" dropStyle="combo" dx="16" fmlaLink="Analysis04Ratio01" fmlaRange="RatiosDD" noThreeD="1" sel="1" val="0"/>
</file>

<file path=xl/ctrlProps/ctrlProp97.xml><?xml version="1.0" encoding="utf-8"?>
<formControlPr xmlns="http://schemas.microsoft.com/office/spreadsheetml/2009/9/main" objectType="Drop" dropLines="11" dropStyle="combo" dx="16" fmlaLink="Analysis04Ratio02" fmlaRange="RatiosDD" noThreeD="1" sel="2" val="0"/>
</file>

<file path=xl/ctrlProps/ctrlProp98.xml><?xml version="1.0" encoding="utf-8"?>
<formControlPr xmlns="http://schemas.microsoft.com/office/spreadsheetml/2009/9/main" objectType="Drop" dropLines="11" dropStyle="combo" dx="16" fmlaLink="Analysis04Ratio03" fmlaRange="RatiosDD" noThreeD="1" sel="3" val="0"/>
</file>

<file path=xl/ctrlProps/ctrlProp99.xml><?xml version="1.0" encoding="utf-8"?>
<formControlPr xmlns="http://schemas.microsoft.com/office/spreadsheetml/2009/9/main" objectType="Drop" dropLines="11" dropStyle="combo" dx="16" fmlaLink="Analysis04Ratio04" fmlaRange="RatiosDD" noThreeD="1" sel="4" val="0"/>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8" Type="http://schemas.openxmlformats.org/officeDocument/2006/relationships/image" Target="../media/image28.png"/><Relationship Id="rId13" Type="http://schemas.openxmlformats.org/officeDocument/2006/relationships/image" Target="../media/image33.png"/><Relationship Id="rId18" Type="http://schemas.openxmlformats.org/officeDocument/2006/relationships/image" Target="../media/image38.png"/><Relationship Id="rId26" Type="http://schemas.openxmlformats.org/officeDocument/2006/relationships/image" Target="../media/image41.png"/><Relationship Id="rId3" Type="http://schemas.openxmlformats.org/officeDocument/2006/relationships/image" Target="../media/image23.png"/><Relationship Id="rId21" Type="http://schemas.openxmlformats.org/officeDocument/2006/relationships/image" Target="../media/image9.png"/><Relationship Id="rId7" Type="http://schemas.openxmlformats.org/officeDocument/2006/relationships/image" Target="../media/image27.png"/><Relationship Id="rId12" Type="http://schemas.openxmlformats.org/officeDocument/2006/relationships/image" Target="../media/image32.png"/><Relationship Id="rId17" Type="http://schemas.openxmlformats.org/officeDocument/2006/relationships/image" Target="../media/image37.png"/><Relationship Id="rId25" Type="http://schemas.openxmlformats.org/officeDocument/2006/relationships/image" Target="../media/image12.png"/><Relationship Id="rId2" Type="http://schemas.openxmlformats.org/officeDocument/2006/relationships/image" Target="../media/image22.png"/><Relationship Id="rId16" Type="http://schemas.openxmlformats.org/officeDocument/2006/relationships/image" Target="../media/image36.png"/><Relationship Id="rId20" Type="http://schemas.openxmlformats.org/officeDocument/2006/relationships/image" Target="../media/image6.png"/><Relationship Id="rId1" Type="http://schemas.openxmlformats.org/officeDocument/2006/relationships/image" Target="../media/image21.png"/><Relationship Id="rId6" Type="http://schemas.openxmlformats.org/officeDocument/2006/relationships/image" Target="../media/image26.png"/><Relationship Id="rId11" Type="http://schemas.openxmlformats.org/officeDocument/2006/relationships/image" Target="../media/image31.png"/><Relationship Id="rId24" Type="http://schemas.openxmlformats.org/officeDocument/2006/relationships/image" Target="../media/image40.png"/><Relationship Id="rId5" Type="http://schemas.openxmlformats.org/officeDocument/2006/relationships/image" Target="../media/image25.png"/><Relationship Id="rId15" Type="http://schemas.openxmlformats.org/officeDocument/2006/relationships/image" Target="../media/image35.png"/><Relationship Id="rId23" Type="http://schemas.openxmlformats.org/officeDocument/2006/relationships/image" Target="../media/image11.png"/><Relationship Id="rId10" Type="http://schemas.openxmlformats.org/officeDocument/2006/relationships/image" Target="../media/image30.png"/><Relationship Id="rId19" Type="http://schemas.openxmlformats.org/officeDocument/2006/relationships/image" Target="../media/image39.png"/><Relationship Id="rId4" Type="http://schemas.openxmlformats.org/officeDocument/2006/relationships/image" Target="../media/image24.png"/><Relationship Id="rId9" Type="http://schemas.openxmlformats.org/officeDocument/2006/relationships/image" Target="../media/image29.png"/><Relationship Id="rId14" Type="http://schemas.openxmlformats.org/officeDocument/2006/relationships/image" Target="../media/image34.png"/><Relationship Id="rId22" Type="http://schemas.openxmlformats.org/officeDocument/2006/relationships/image" Target="../media/image10.png"/><Relationship Id="rId27" Type="http://schemas.openxmlformats.org/officeDocument/2006/relationships/image" Target="../media/image42.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43.png"/><Relationship Id="rId1" Type="http://schemas.openxmlformats.org/officeDocument/2006/relationships/image" Target="../media/image2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4.xml.rels><?xml version="1.0" encoding="UTF-8" standalone="yes"?>
<Relationships xmlns="http://schemas.openxmlformats.org/package/2006/relationships"><Relationship Id="rId8" Type="http://schemas.openxmlformats.org/officeDocument/2006/relationships/image" Target="../media/image26.png"/><Relationship Id="rId13" Type="http://schemas.openxmlformats.org/officeDocument/2006/relationships/image" Target="../media/image52.png"/><Relationship Id="rId18" Type="http://schemas.openxmlformats.org/officeDocument/2006/relationships/image" Target="../media/image10.png"/><Relationship Id="rId3" Type="http://schemas.openxmlformats.org/officeDocument/2006/relationships/image" Target="../media/image46.png"/><Relationship Id="rId21" Type="http://schemas.openxmlformats.org/officeDocument/2006/relationships/image" Target="../media/image53.png"/><Relationship Id="rId7" Type="http://schemas.openxmlformats.org/officeDocument/2006/relationships/image" Target="../media/image50.png"/><Relationship Id="rId12" Type="http://schemas.openxmlformats.org/officeDocument/2006/relationships/image" Target="../media/image51.png"/><Relationship Id="rId17" Type="http://schemas.openxmlformats.org/officeDocument/2006/relationships/image" Target="../media/image9.png"/><Relationship Id="rId2" Type="http://schemas.openxmlformats.org/officeDocument/2006/relationships/image" Target="../media/image45.png"/><Relationship Id="rId16" Type="http://schemas.openxmlformats.org/officeDocument/2006/relationships/image" Target="../media/image6.png"/><Relationship Id="rId20" Type="http://schemas.openxmlformats.org/officeDocument/2006/relationships/image" Target="../media/image12.png"/><Relationship Id="rId1" Type="http://schemas.openxmlformats.org/officeDocument/2006/relationships/image" Target="../media/image44.png"/><Relationship Id="rId6" Type="http://schemas.openxmlformats.org/officeDocument/2006/relationships/image" Target="../media/image49.png"/><Relationship Id="rId11" Type="http://schemas.openxmlformats.org/officeDocument/2006/relationships/image" Target="../media/image35.png"/><Relationship Id="rId5" Type="http://schemas.openxmlformats.org/officeDocument/2006/relationships/image" Target="../media/image48.png"/><Relationship Id="rId15" Type="http://schemas.openxmlformats.org/officeDocument/2006/relationships/image" Target="../media/image5.png"/><Relationship Id="rId10" Type="http://schemas.openxmlformats.org/officeDocument/2006/relationships/image" Target="../media/image29.png"/><Relationship Id="rId19" Type="http://schemas.openxmlformats.org/officeDocument/2006/relationships/image" Target="../media/image11.png"/><Relationship Id="rId4" Type="http://schemas.openxmlformats.org/officeDocument/2006/relationships/image" Target="../media/image47.png"/><Relationship Id="rId9" Type="http://schemas.openxmlformats.org/officeDocument/2006/relationships/image" Target="../media/image31.png"/><Relationship Id="rId14" Type="http://schemas.openxmlformats.org/officeDocument/2006/relationships/chart" Target="../charts/chart1.xml"/><Relationship Id="rId22" Type="http://schemas.openxmlformats.org/officeDocument/2006/relationships/image" Target="../media/image54.png"/></Relationships>
</file>

<file path=xl/drawings/_rels/drawing5.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image" Target="../media/image6.png"/><Relationship Id="rId18" Type="http://schemas.openxmlformats.org/officeDocument/2006/relationships/image" Target="../media/image55.png"/><Relationship Id="rId3" Type="http://schemas.openxmlformats.org/officeDocument/2006/relationships/chart" Target="../charts/chart4.xml"/><Relationship Id="rId7" Type="http://schemas.openxmlformats.org/officeDocument/2006/relationships/image" Target="../media/image5.png"/><Relationship Id="rId12" Type="http://schemas.openxmlformats.org/officeDocument/2006/relationships/chart" Target="../charts/chart12.xml"/><Relationship Id="rId17" Type="http://schemas.openxmlformats.org/officeDocument/2006/relationships/image" Target="../media/image12.png"/><Relationship Id="rId2" Type="http://schemas.openxmlformats.org/officeDocument/2006/relationships/chart" Target="../charts/chart3.xml"/><Relationship Id="rId16" Type="http://schemas.openxmlformats.org/officeDocument/2006/relationships/image" Target="../media/image11.png"/><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1.xml"/><Relationship Id="rId5" Type="http://schemas.openxmlformats.org/officeDocument/2006/relationships/chart" Target="../charts/chart6.xml"/><Relationship Id="rId15" Type="http://schemas.openxmlformats.org/officeDocument/2006/relationships/image" Target="../media/image10.png"/><Relationship Id="rId10" Type="http://schemas.openxmlformats.org/officeDocument/2006/relationships/chart" Target="../charts/chart10.xml"/><Relationship Id="rId4" Type="http://schemas.openxmlformats.org/officeDocument/2006/relationships/chart" Target="../charts/chart5.xml"/><Relationship Id="rId9" Type="http://schemas.openxmlformats.org/officeDocument/2006/relationships/chart" Target="../charts/chart9.xml"/><Relationship Id="rId14" Type="http://schemas.openxmlformats.org/officeDocument/2006/relationships/image" Target="../media/image9.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9.png"/><Relationship Id="rId1" Type="http://schemas.openxmlformats.org/officeDocument/2006/relationships/image" Target="../media/image39.png"/><Relationship Id="rId4"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54.png"/></Relationships>
</file>

<file path=xl/drawings/_rels/drawing9.xml.rels><?xml version="1.0" encoding="UTF-8" standalone="yes"?>
<Relationships xmlns="http://schemas.openxmlformats.org/package/2006/relationships"><Relationship Id="rId2" Type="http://schemas.openxmlformats.org/officeDocument/2006/relationships/image" Target="../media/image56.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4</xdr:col>
      <xdr:colOff>701675</xdr:colOff>
      <xdr:row>6</xdr:row>
      <xdr:rowOff>0</xdr:rowOff>
    </xdr:from>
    <xdr:to>
      <xdr:col>4</xdr:col>
      <xdr:colOff>882650</xdr:colOff>
      <xdr:row>8</xdr:row>
      <xdr:rowOff>171450</xdr:rowOff>
    </xdr:to>
    <xdr:pic macro="[0]!InvTimeChange">
      <xdr:nvPicPr>
        <xdr:cNvPr id="11" name="TimeBtn" descr="timebtn">
          <a:extLst>
            <a:ext uri="{FF2B5EF4-FFF2-40B4-BE49-F238E27FC236}">
              <a16:creationId xmlns:a16="http://schemas.microsoft.com/office/drawing/2014/main" id="{00000000-0008-0000-0000-00000B000000}"/>
            </a:ext>
          </a:extLst>
        </xdr:cNvPr>
        <xdr:cNvPicPr>
          <a:picLocks noChangeArrowheads="1"/>
        </xdr:cNvPicPr>
      </xdr:nvPicPr>
      <xdr:blipFill>
        <a:blip xmlns:r="http://schemas.openxmlformats.org/officeDocument/2006/relationships" r:embed="rId1" cstate="print"/>
        <a:srcRect/>
        <a:stretch>
          <a:fillRect/>
        </a:stretch>
      </xdr:blipFill>
      <xdr:spPr bwMode="auto">
        <a:xfrm>
          <a:off x="3006725" y="711200"/>
          <a:ext cx="180975" cy="171450"/>
        </a:xfrm>
        <a:prstGeom prst="rect">
          <a:avLst/>
        </a:prstGeom>
        <a:noFill/>
        <a:ln w="9525">
          <a:noFill/>
          <a:miter lim="800000"/>
          <a:headEnd/>
          <a:tailEnd/>
        </a:ln>
      </xdr:spPr>
    </xdr:pic>
    <xdr:clientData fPrintsWithSheet="0"/>
  </xdr:twoCellAnchor>
  <xdr:twoCellAnchor editAs="oneCell">
    <xdr:from>
      <xdr:col>4</xdr:col>
      <xdr:colOff>701675</xdr:colOff>
      <xdr:row>20</xdr:row>
      <xdr:rowOff>7144</xdr:rowOff>
    </xdr:from>
    <xdr:to>
      <xdr:col>4</xdr:col>
      <xdr:colOff>882650</xdr:colOff>
      <xdr:row>21</xdr:row>
      <xdr:rowOff>794</xdr:rowOff>
    </xdr:to>
    <xdr:pic macro="[0]!ChangeCurrency">
      <xdr:nvPicPr>
        <xdr:cNvPr id="12" name="CurrencyBtn" descr="currencybtn">
          <a:extLst>
            <a:ext uri="{FF2B5EF4-FFF2-40B4-BE49-F238E27FC236}">
              <a16:creationId xmlns:a16="http://schemas.microsoft.com/office/drawing/2014/main" id="{00000000-0008-0000-0000-00000C000000}"/>
            </a:ext>
          </a:extLst>
        </xdr:cNvPr>
        <xdr:cNvPicPr>
          <a:picLocks noChangeArrowheads="1"/>
        </xdr:cNvPicPr>
      </xdr:nvPicPr>
      <xdr:blipFill>
        <a:blip xmlns:r="http://schemas.openxmlformats.org/officeDocument/2006/relationships" r:embed="rId2" cstate="print"/>
        <a:srcRect/>
        <a:stretch>
          <a:fillRect/>
        </a:stretch>
      </xdr:blipFill>
      <xdr:spPr bwMode="auto">
        <a:xfrm>
          <a:off x="3006725" y="2534444"/>
          <a:ext cx="180975" cy="171450"/>
        </a:xfrm>
        <a:prstGeom prst="rect">
          <a:avLst/>
        </a:prstGeom>
        <a:noFill/>
        <a:ln w="9525">
          <a:noFill/>
          <a:miter lim="800000"/>
          <a:headEnd/>
          <a:tailEnd/>
        </a:ln>
      </xdr:spPr>
    </xdr:pic>
    <xdr:clientData fPrintsWithSheet="0"/>
  </xdr:twoCellAnchor>
  <xdr:twoCellAnchor editAs="oneCell">
    <xdr:from>
      <xdr:col>3</xdr:col>
      <xdr:colOff>1400175</xdr:colOff>
      <xdr:row>54</xdr:row>
      <xdr:rowOff>158749</xdr:rowOff>
    </xdr:from>
    <xdr:to>
      <xdr:col>3</xdr:col>
      <xdr:colOff>1581150</xdr:colOff>
      <xdr:row>56</xdr:row>
      <xdr:rowOff>12699</xdr:rowOff>
    </xdr:to>
    <xdr:pic macro="[0]!AutoVBA.LockInvDate">
      <xdr:nvPicPr>
        <xdr:cNvPr id="13" name="DateBtn" descr="datebtn">
          <a:extLst>
            <a:ext uri="{FF2B5EF4-FFF2-40B4-BE49-F238E27FC236}">
              <a16:creationId xmlns:a16="http://schemas.microsoft.com/office/drawing/2014/main" id="{00000000-0008-0000-0000-00000D000000}"/>
            </a:ext>
          </a:extLst>
        </xdr:cNvPr>
        <xdr:cNvPicPr>
          <a:picLocks noChangeArrowheads="1"/>
        </xdr:cNvPicPr>
      </xdr:nvPicPr>
      <xdr:blipFill>
        <a:blip xmlns:r="http://schemas.openxmlformats.org/officeDocument/2006/relationships" r:embed="rId3" cstate="print"/>
        <a:srcRect/>
        <a:stretch>
          <a:fillRect/>
        </a:stretch>
      </xdr:blipFill>
      <xdr:spPr bwMode="auto">
        <a:xfrm>
          <a:off x="2117725" y="5486399"/>
          <a:ext cx="180975" cy="171450"/>
        </a:xfrm>
        <a:prstGeom prst="rect">
          <a:avLst/>
        </a:prstGeom>
        <a:noFill/>
        <a:ln w="9525">
          <a:noFill/>
          <a:miter lim="800000"/>
          <a:headEnd/>
          <a:tailEnd/>
        </a:ln>
      </xdr:spPr>
    </xdr:pic>
    <xdr:clientData fPrintsWithSheet="0"/>
  </xdr:twoCellAnchor>
  <xdr:twoCellAnchor editAs="oneCell">
    <xdr:from>
      <xdr:col>4</xdr:col>
      <xdr:colOff>701675</xdr:colOff>
      <xdr:row>29</xdr:row>
      <xdr:rowOff>6350</xdr:rowOff>
    </xdr:from>
    <xdr:to>
      <xdr:col>4</xdr:col>
      <xdr:colOff>882650</xdr:colOff>
      <xdr:row>30</xdr:row>
      <xdr:rowOff>0</xdr:rowOff>
    </xdr:to>
    <xdr:pic macro="[0]!TaxOptions">
      <xdr:nvPicPr>
        <xdr:cNvPr id="15" name="TaxBtn">
          <a:extLst>
            <a:ext uri="{FF2B5EF4-FFF2-40B4-BE49-F238E27FC236}">
              <a16:creationId xmlns:a16="http://schemas.microsoft.com/office/drawing/2014/main" id="{00000000-0008-0000-0000-00000F000000}"/>
            </a:ext>
          </a:extLst>
        </xdr:cNvPr>
        <xdr:cNvPicPr>
          <a:picLocks noChangeArrowheads="1"/>
        </xdr:cNvPicPr>
      </xdr:nvPicPr>
      <xdr:blipFill>
        <a:blip xmlns:r="http://schemas.openxmlformats.org/officeDocument/2006/relationships" r:embed="rId4" cstate="print"/>
        <a:srcRect/>
        <a:stretch>
          <a:fillRect/>
        </a:stretch>
      </xdr:blipFill>
      <xdr:spPr bwMode="auto">
        <a:xfrm>
          <a:off x="3006725" y="3225800"/>
          <a:ext cx="180975" cy="171450"/>
        </a:xfrm>
        <a:prstGeom prst="rect">
          <a:avLst/>
        </a:prstGeom>
        <a:noFill/>
        <a:ln w="9525">
          <a:noFill/>
          <a:miter lim="800000"/>
          <a:headEnd/>
          <a:tailEnd/>
        </a:ln>
      </xdr:spPr>
    </xdr:pic>
    <xdr:clientData fPrintsWithSheet="0"/>
  </xdr:twoCellAnchor>
  <xdr:twoCellAnchor editAs="oneCell">
    <xdr:from>
      <xdr:col>4</xdr:col>
      <xdr:colOff>701675</xdr:colOff>
      <xdr:row>22</xdr:row>
      <xdr:rowOff>6350</xdr:rowOff>
    </xdr:from>
    <xdr:to>
      <xdr:col>4</xdr:col>
      <xdr:colOff>882650</xdr:colOff>
      <xdr:row>23</xdr:row>
      <xdr:rowOff>0</xdr:rowOff>
    </xdr:to>
    <xdr:pic macro="[0]!DiscountRateButtonPressed">
      <xdr:nvPicPr>
        <xdr:cNvPr id="16" name="btnEnterVarDiscRate" descr="timebtn">
          <a:extLst>
            <a:ext uri="{FF2B5EF4-FFF2-40B4-BE49-F238E27FC236}">
              <a16:creationId xmlns:a16="http://schemas.microsoft.com/office/drawing/2014/main" id="{00000000-0008-0000-0000-000010000000}"/>
            </a:ext>
          </a:extLst>
        </xdr:cNvPr>
        <xdr:cNvPicPr>
          <a:picLocks noChangeArrowheads="1"/>
        </xdr:cNvPicPr>
      </xdr:nvPicPr>
      <xdr:blipFill>
        <a:blip xmlns:r="http://schemas.openxmlformats.org/officeDocument/2006/relationships" r:embed="rId1" cstate="print"/>
        <a:srcRect/>
        <a:stretch>
          <a:fillRect/>
        </a:stretch>
      </xdr:blipFill>
      <xdr:spPr bwMode="auto">
        <a:xfrm>
          <a:off x="3006725" y="2800350"/>
          <a:ext cx="180975" cy="171450"/>
        </a:xfrm>
        <a:prstGeom prst="rect">
          <a:avLst/>
        </a:prstGeom>
        <a:noFill/>
        <a:ln w="9525">
          <a:noFill/>
          <a:miter lim="800000"/>
          <a:headEnd/>
          <a:tailEnd/>
        </a:ln>
      </xdr:spPr>
    </xdr:pic>
    <xdr:clientData fPrintsWithSheet="0"/>
  </xdr:twoCellAnchor>
  <xdr:twoCellAnchor editAs="absolute">
    <xdr:from>
      <xdr:col>0</xdr:col>
      <xdr:colOff>47625</xdr:colOff>
      <xdr:row>15</xdr:row>
      <xdr:rowOff>22225</xdr:rowOff>
    </xdr:from>
    <xdr:to>
      <xdr:col>0</xdr:col>
      <xdr:colOff>409575</xdr:colOff>
      <xdr:row>16</xdr:row>
      <xdr:rowOff>117475</xdr:rowOff>
    </xdr:to>
    <xdr:pic macro="[0]!CameraButtonPressed">
      <xdr:nvPicPr>
        <xdr:cNvPr id="17" name="btnCamBasicValues" descr="CameraBtn.bmp">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5" cstate="print"/>
        <a:stretch>
          <a:fillRect/>
        </a:stretch>
      </xdr:blipFill>
      <xdr:spPr>
        <a:xfrm>
          <a:off x="47625" y="1704975"/>
          <a:ext cx="361950" cy="266700"/>
        </a:xfrm>
        <a:prstGeom prst="rect">
          <a:avLst/>
        </a:prstGeom>
      </xdr:spPr>
    </xdr:pic>
    <xdr:clientData fPrintsWithSheet="0"/>
  </xdr:twoCellAnchor>
  <xdr:twoCellAnchor editAs="oneCell">
    <xdr:from>
      <xdr:col>0</xdr:col>
      <xdr:colOff>47625</xdr:colOff>
      <xdr:row>54</xdr:row>
      <xdr:rowOff>0</xdr:rowOff>
    </xdr:from>
    <xdr:to>
      <xdr:col>0</xdr:col>
      <xdr:colOff>409575</xdr:colOff>
      <xdr:row>55</xdr:row>
      <xdr:rowOff>104775</xdr:rowOff>
    </xdr:to>
    <xdr:pic macro="[0]!CameraButtonPressed">
      <xdr:nvPicPr>
        <xdr:cNvPr id="18" name="btnCamContactInfo" descr="CameraBtn.bmp">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5" cstate="print"/>
        <a:stretch>
          <a:fillRect/>
        </a:stretch>
      </xdr:blipFill>
      <xdr:spPr>
        <a:xfrm>
          <a:off x="47625" y="5067300"/>
          <a:ext cx="361950" cy="266700"/>
        </a:xfrm>
        <a:prstGeom prst="rect">
          <a:avLst/>
        </a:prstGeom>
      </xdr:spPr>
    </xdr:pic>
    <xdr:clientData fPrintsWithSheet="0"/>
  </xdr:twoCellAnchor>
  <xdr:twoCellAnchor editAs="absolute">
    <xdr:from>
      <xdr:col>0</xdr:col>
      <xdr:colOff>47625</xdr:colOff>
      <xdr:row>2</xdr:row>
      <xdr:rowOff>28578</xdr:rowOff>
    </xdr:from>
    <xdr:to>
      <xdr:col>0</xdr:col>
      <xdr:colOff>406586</xdr:colOff>
      <xdr:row>3</xdr:row>
      <xdr:rowOff>102576</xdr:rowOff>
    </xdr:to>
    <xdr:pic macro="[0]!AutoVBA.PrintCurrent">
      <xdr:nvPicPr>
        <xdr:cNvPr id="19" name="PrintBtn03" descr="printbtn37.bmp">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6" cstate="print"/>
        <a:stretch>
          <a:fillRect/>
        </a:stretch>
      </xdr:blipFill>
      <xdr:spPr>
        <a:xfrm>
          <a:off x="47625" y="142878"/>
          <a:ext cx="358961" cy="264498"/>
        </a:xfrm>
        <a:prstGeom prst="rect">
          <a:avLst/>
        </a:prstGeom>
      </xdr:spPr>
    </xdr:pic>
    <xdr:clientData fPrintsWithSheet="0"/>
  </xdr:twoCellAnchor>
  <xdr:twoCellAnchor editAs="absolute">
    <xdr:from>
      <xdr:col>0</xdr:col>
      <xdr:colOff>47625</xdr:colOff>
      <xdr:row>10</xdr:row>
      <xdr:rowOff>28575</xdr:rowOff>
    </xdr:from>
    <xdr:to>
      <xdr:col>0</xdr:col>
      <xdr:colOff>406586</xdr:colOff>
      <xdr:row>12</xdr:row>
      <xdr:rowOff>44631</xdr:rowOff>
    </xdr:to>
    <xdr:pic macro="[0]!GoHome">
      <xdr:nvPicPr>
        <xdr:cNvPr id="23" name="HomeBtn03" descr="homebtn37.bmp">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7" cstate="print"/>
        <a:stretch>
          <a:fillRect/>
        </a:stretch>
      </xdr:blipFill>
      <xdr:spPr>
        <a:xfrm>
          <a:off x="47625" y="1076325"/>
          <a:ext cx="358961" cy="266881"/>
        </a:xfrm>
        <a:prstGeom prst="rect">
          <a:avLst/>
        </a:prstGeom>
      </xdr:spPr>
    </xdr:pic>
    <xdr:clientData fPrintsWithSheet="0"/>
  </xdr:twoCellAnchor>
  <xdr:twoCellAnchor editAs="absolute">
    <xdr:from>
      <xdr:col>0</xdr:col>
      <xdr:colOff>47625</xdr:colOff>
      <xdr:row>4</xdr:row>
      <xdr:rowOff>38101</xdr:rowOff>
    </xdr:from>
    <xdr:to>
      <xdr:col>0</xdr:col>
      <xdr:colOff>405085</xdr:colOff>
      <xdr:row>8</xdr:row>
      <xdr:rowOff>19050</xdr:rowOff>
    </xdr:to>
    <xdr:pic macro="[0]!LockInvFile">
      <xdr:nvPicPr>
        <xdr:cNvPr id="33" name="btnLockFile" descr="lockbutton37.bmp">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8" cstate="print"/>
        <a:stretch>
          <a:fillRect/>
        </a:stretch>
      </xdr:blipFill>
      <xdr:spPr>
        <a:xfrm>
          <a:off x="47625" y="457201"/>
          <a:ext cx="357460" cy="257174"/>
        </a:xfrm>
        <a:prstGeom prst="rect">
          <a:avLst/>
        </a:prstGeom>
      </xdr:spPr>
    </xdr:pic>
    <xdr:clientData fPrintsWithSheet="0"/>
  </xdr:twoCellAnchor>
  <xdr:twoCellAnchor editAs="oneCell">
    <xdr:from>
      <xdr:col>0</xdr:col>
      <xdr:colOff>47625</xdr:colOff>
      <xdr:row>46</xdr:row>
      <xdr:rowOff>40483</xdr:rowOff>
    </xdr:from>
    <xdr:to>
      <xdr:col>0</xdr:col>
      <xdr:colOff>406586</xdr:colOff>
      <xdr:row>47</xdr:row>
      <xdr:rowOff>143056</xdr:rowOff>
    </xdr:to>
    <xdr:pic macro="[0]!AutoVBA.GotoBasicValues">
      <xdr:nvPicPr>
        <xdr:cNvPr id="34" name="PrevBtn04" descr="prevbtn37c.bmp">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9" cstate="print"/>
        <a:stretch>
          <a:fillRect/>
        </a:stretch>
      </xdr:blipFill>
      <xdr:spPr>
        <a:xfrm>
          <a:off x="47625" y="3812383"/>
          <a:ext cx="358961" cy="264498"/>
        </a:xfrm>
        <a:prstGeom prst="rect">
          <a:avLst/>
        </a:prstGeom>
      </xdr:spPr>
    </xdr:pic>
    <xdr:clientData fPrintsWithSheet="0"/>
  </xdr:twoCellAnchor>
  <xdr:twoCellAnchor editAs="oneCell">
    <xdr:from>
      <xdr:col>0</xdr:col>
      <xdr:colOff>47625</xdr:colOff>
      <xdr:row>44</xdr:row>
      <xdr:rowOff>28575</xdr:rowOff>
    </xdr:from>
    <xdr:to>
      <xdr:col>0</xdr:col>
      <xdr:colOff>406586</xdr:colOff>
      <xdr:row>45</xdr:row>
      <xdr:rowOff>102573</xdr:rowOff>
    </xdr:to>
    <xdr:pic macro="[0]!AutoVBA.PrintCurrent">
      <xdr:nvPicPr>
        <xdr:cNvPr id="36" name="PrintBtn04" descr="printbtn37.bmp">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6" cstate="print"/>
        <a:stretch>
          <a:fillRect/>
        </a:stretch>
      </xdr:blipFill>
      <xdr:spPr>
        <a:xfrm>
          <a:off x="47625" y="3495675"/>
          <a:ext cx="358961" cy="264498"/>
        </a:xfrm>
        <a:prstGeom prst="rect">
          <a:avLst/>
        </a:prstGeom>
      </xdr:spPr>
    </xdr:pic>
    <xdr:clientData fPrintsWithSheet="0"/>
  </xdr:twoCellAnchor>
  <xdr:twoCellAnchor editAs="oneCell">
    <xdr:from>
      <xdr:col>0</xdr:col>
      <xdr:colOff>47625</xdr:colOff>
      <xdr:row>48</xdr:row>
      <xdr:rowOff>23813</xdr:rowOff>
    </xdr:from>
    <xdr:to>
      <xdr:col>0</xdr:col>
      <xdr:colOff>406586</xdr:colOff>
      <xdr:row>49</xdr:row>
      <xdr:rowOff>126386</xdr:rowOff>
    </xdr:to>
    <xdr:pic macro="[0]!AutoVBA.GotoInvestTable">
      <xdr:nvPicPr>
        <xdr:cNvPr id="37" name="NextBtn04" descr="nextbtn37c.bmp">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10" cstate="print"/>
        <a:stretch>
          <a:fillRect/>
        </a:stretch>
      </xdr:blipFill>
      <xdr:spPr>
        <a:xfrm>
          <a:off x="47625" y="4119563"/>
          <a:ext cx="358961" cy="264498"/>
        </a:xfrm>
        <a:prstGeom prst="rect">
          <a:avLst/>
        </a:prstGeom>
      </xdr:spPr>
    </xdr:pic>
    <xdr:clientData fPrintsWithSheet="0"/>
  </xdr:twoCellAnchor>
  <xdr:twoCellAnchor editAs="oneCell">
    <xdr:from>
      <xdr:col>0</xdr:col>
      <xdr:colOff>47625</xdr:colOff>
      <xdr:row>50</xdr:row>
      <xdr:rowOff>7146</xdr:rowOff>
    </xdr:from>
    <xdr:to>
      <xdr:col>0</xdr:col>
      <xdr:colOff>406586</xdr:colOff>
      <xdr:row>51</xdr:row>
      <xdr:rowOff>109719</xdr:rowOff>
    </xdr:to>
    <xdr:pic macro="[0]!GoHome">
      <xdr:nvPicPr>
        <xdr:cNvPr id="38" name="HomeBtn04" descr="homebtn37b.bmp">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11" cstate="print"/>
        <a:stretch>
          <a:fillRect/>
        </a:stretch>
      </xdr:blipFill>
      <xdr:spPr>
        <a:xfrm>
          <a:off x="47625" y="4426746"/>
          <a:ext cx="358961" cy="264498"/>
        </a:xfrm>
        <a:prstGeom prst="rect">
          <a:avLst/>
        </a:prstGeom>
      </xdr:spPr>
    </xdr:pic>
    <xdr:clientData fPrintsWithSheet="0"/>
  </xdr:twoCellAnchor>
  <xdr:twoCellAnchor editAs="absolute">
    <xdr:from>
      <xdr:col>0</xdr:col>
      <xdr:colOff>47625</xdr:colOff>
      <xdr:row>12</xdr:row>
      <xdr:rowOff>94457</xdr:rowOff>
    </xdr:from>
    <xdr:to>
      <xdr:col>0</xdr:col>
      <xdr:colOff>406586</xdr:colOff>
      <xdr:row>14</xdr:row>
      <xdr:rowOff>127180</xdr:rowOff>
    </xdr:to>
    <xdr:pic macro="[0]!ShowGuide">
      <xdr:nvPicPr>
        <xdr:cNvPr id="42" name="HelpBtn03" descr="helpbtn37c.bmp">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12" cstate="print"/>
        <a:stretch>
          <a:fillRect/>
        </a:stretch>
      </xdr:blipFill>
      <xdr:spPr>
        <a:xfrm>
          <a:off x="47625" y="1393032"/>
          <a:ext cx="358961" cy="264498"/>
        </a:xfrm>
        <a:prstGeom prst="rect">
          <a:avLst/>
        </a:prstGeom>
      </xdr:spPr>
    </xdr:pic>
    <xdr:clientData fPrintsWithSheet="0"/>
  </xdr:twoCellAnchor>
  <xdr:twoCellAnchor editAs="oneCell">
    <xdr:from>
      <xdr:col>0</xdr:col>
      <xdr:colOff>47625</xdr:colOff>
      <xdr:row>52</xdr:row>
      <xdr:rowOff>9526</xdr:rowOff>
    </xdr:from>
    <xdr:to>
      <xdr:col>0</xdr:col>
      <xdr:colOff>406586</xdr:colOff>
      <xdr:row>53</xdr:row>
      <xdr:rowOff>112099</xdr:rowOff>
    </xdr:to>
    <xdr:pic macro="[0]!ShowGuide">
      <xdr:nvPicPr>
        <xdr:cNvPr id="43" name="HelpBtn04" descr="helpbtn37c.bmp">
          <a:extLst>
            <a:ext uri="{FF2B5EF4-FFF2-40B4-BE49-F238E27FC236}">
              <a16:creationId xmlns:a16="http://schemas.microsoft.com/office/drawing/2014/main" id="{00000000-0008-0000-0000-00002B000000}"/>
            </a:ext>
          </a:extLst>
        </xdr:cNvPr>
        <xdr:cNvPicPr>
          <a:picLocks noChangeAspect="1"/>
        </xdr:cNvPicPr>
      </xdr:nvPicPr>
      <xdr:blipFill>
        <a:blip xmlns:r="http://schemas.openxmlformats.org/officeDocument/2006/relationships" r:embed="rId12" cstate="print"/>
        <a:stretch>
          <a:fillRect/>
        </a:stretch>
      </xdr:blipFill>
      <xdr:spPr>
        <a:xfrm>
          <a:off x="47625" y="4752976"/>
          <a:ext cx="358961" cy="264498"/>
        </a:xfrm>
        <a:prstGeom prst="rect">
          <a:avLst/>
        </a:prstGeom>
      </xdr:spPr>
    </xdr:pic>
    <xdr:clientData fPrintsWithSheet="0"/>
  </xdr:twoCellAnchor>
  <xdr:twoCellAnchor editAs="absolute">
    <xdr:from>
      <xdr:col>0</xdr:col>
      <xdr:colOff>44510</xdr:colOff>
      <xdr:row>8</xdr:row>
      <xdr:rowOff>71215</xdr:rowOff>
    </xdr:from>
    <xdr:to>
      <xdr:col>0</xdr:col>
      <xdr:colOff>406213</xdr:colOff>
      <xdr:row>9</xdr:row>
      <xdr:rowOff>169459</xdr:rowOff>
    </xdr:to>
    <xdr:pic macro="[0]!AutoVBA.GotoContactInfo">
      <xdr:nvPicPr>
        <xdr:cNvPr id="20" name="NextBtn03" descr="nextbtn37c.bmp">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10" cstate="print"/>
        <a:stretch>
          <a:fillRect/>
        </a:stretch>
      </xdr:blipFill>
      <xdr:spPr>
        <a:xfrm>
          <a:off x="44510" y="766540"/>
          <a:ext cx="361703" cy="266519"/>
        </a:xfrm>
        <a:prstGeom prst="rect">
          <a:avLst/>
        </a:prstGeom>
      </xdr:spPr>
    </xdr:pic>
    <xdr:clientData fPrintsWithSheet="0"/>
  </xdr:twoCellAnchor>
  <xdr:twoCellAnchor editAs="oneCell">
    <xdr:from>
      <xdr:col>9</xdr:col>
      <xdr:colOff>25400</xdr:colOff>
      <xdr:row>4</xdr:row>
      <xdr:rowOff>12700</xdr:rowOff>
    </xdr:from>
    <xdr:to>
      <xdr:col>9</xdr:col>
      <xdr:colOff>206375</xdr:colOff>
      <xdr:row>4</xdr:row>
      <xdr:rowOff>184150</xdr:rowOff>
    </xdr:to>
    <xdr:pic macro="[0]!AssignNewFunctions">
      <xdr:nvPicPr>
        <xdr:cNvPr id="24" name="btnBVtext01" descr="timebtn">
          <a:extLst>
            <a:ext uri="{FF2B5EF4-FFF2-40B4-BE49-F238E27FC236}">
              <a16:creationId xmlns:a16="http://schemas.microsoft.com/office/drawing/2014/main" id="{00000000-0008-0000-0000-000018000000}"/>
            </a:ext>
          </a:extLst>
        </xdr:cNvPr>
        <xdr:cNvPicPr>
          <a:picLocks noChangeArrowheads="1"/>
        </xdr:cNvPicPr>
      </xdr:nvPicPr>
      <xdr:blipFill>
        <a:blip xmlns:r="http://schemas.openxmlformats.org/officeDocument/2006/relationships" r:embed="rId1" cstate="print"/>
        <a:srcRect/>
        <a:stretch>
          <a:fillRect/>
        </a:stretch>
      </xdr:blipFill>
      <xdr:spPr bwMode="auto">
        <a:xfrm>
          <a:off x="6464300" y="431800"/>
          <a:ext cx="180975" cy="171450"/>
        </a:xfrm>
        <a:prstGeom prst="rect">
          <a:avLst/>
        </a:prstGeom>
        <a:noFill/>
        <a:ln w="9525">
          <a:noFill/>
          <a:miter lim="800000"/>
          <a:headEnd/>
          <a:tailEnd/>
        </a:ln>
      </xdr:spPr>
    </xdr:pic>
    <xdr:clientData fPrintsWithSheet="0"/>
  </xdr:twoCellAnchor>
  <xdr:twoCellAnchor editAs="oneCell">
    <xdr:from>
      <xdr:col>9</xdr:col>
      <xdr:colOff>666750</xdr:colOff>
      <xdr:row>47</xdr:row>
      <xdr:rowOff>139700</xdr:rowOff>
    </xdr:from>
    <xdr:to>
      <xdr:col>10</xdr:col>
      <xdr:colOff>0</xdr:colOff>
      <xdr:row>48</xdr:row>
      <xdr:rowOff>149225</xdr:rowOff>
    </xdr:to>
    <xdr:pic macro="[0]!AssignNewFunctions">
      <xdr:nvPicPr>
        <xdr:cNvPr id="25" name="btnBVtext02" descr="timebtn">
          <a:extLst>
            <a:ext uri="{FF2B5EF4-FFF2-40B4-BE49-F238E27FC236}">
              <a16:creationId xmlns:a16="http://schemas.microsoft.com/office/drawing/2014/main" id="{00000000-0008-0000-0000-000019000000}"/>
            </a:ext>
          </a:extLst>
        </xdr:cNvPr>
        <xdr:cNvPicPr>
          <a:picLocks noChangeArrowheads="1"/>
        </xdr:cNvPicPr>
      </xdr:nvPicPr>
      <xdr:blipFill>
        <a:blip xmlns:r="http://schemas.openxmlformats.org/officeDocument/2006/relationships" r:embed="rId1" cstate="print"/>
        <a:srcRect/>
        <a:stretch>
          <a:fillRect/>
        </a:stretch>
      </xdr:blipFill>
      <xdr:spPr bwMode="auto">
        <a:xfrm>
          <a:off x="7416800" y="4356100"/>
          <a:ext cx="222250" cy="168275"/>
        </a:xfrm>
        <a:prstGeom prst="rect">
          <a:avLst/>
        </a:prstGeom>
        <a:noFill/>
        <a:ln w="9525">
          <a:noFill/>
          <a:miter lim="800000"/>
          <a:headEnd/>
          <a:tailEnd/>
        </a:ln>
      </xdr:spPr>
    </xdr:pic>
    <xdr:clientData fPrintsWithSheet="0"/>
  </xdr:twoCellAnchor>
  <xdr:twoCellAnchor editAs="oneCell">
    <xdr:from>
      <xdr:col>9</xdr:col>
      <xdr:colOff>793750</xdr:colOff>
      <xdr:row>1</xdr:row>
      <xdr:rowOff>3175</xdr:rowOff>
    </xdr:from>
    <xdr:to>
      <xdr:col>19</xdr:col>
      <xdr:colOff>574675</xdr:colOff>
      <xdr:row>3</xdr:row>
      <xdr:rowOff>0</xdr:rowOff>
    </xdr:to>
    <xdr:pic macro="[0]!AssignNewFunctions">
      <xdr:nvPicPr>
        <xdr:cNvPr id="21" name="btnUpdateCons1" descr="päivitä1">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7543800" y="66675"/>
          <a:ext cx="1527175" cy="250825"/>
        </a:xfrm>
        <a:prstGeom prst="rect">
          <a:avLst/>
        </a:prstGeom>
        <a:noFill/>
        <a:ln w="9525">
          <a:noFill/>
          <a:miter lim="800000"/>
          <a:headEnd/>
          <a:tailEnd/>
        </a:ln>
      </xdr:spPr>
    </xdr:pic>
    <xdr:clientData fPrintsWithSheet="0"/>
  </xdr:twoCellAnchor>
  <xdr:twoCellAnchor editAs="oneCell">
    <xdr:from>
      <xdr:col>9</xdr:col>
      <xdr:colOff>793750</xdr:colOff>
      <xdr:row>1</xdr:row>
      <xdr:rowOff>3175</xdr:rowOff>
    </xdr:from>
    <xdr:to>
      <xdr:col>19</xdr:col>
      <xdr:colOff>574675</xdr:colOff>
      <xdr:row>2</xdr:row>
      <xdr:rowOff>187325</xdr:rowOff>
    </xdr:to>
    <xdr:pic macro="[0]!AssignNewFunctions">
      <xdr:nvPicPr>
        <xdr:cNvPr id="22" name="btnUpdateCons2" descr="päivitä2" hidden="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4" cstate="print"/>
        <a:srcRect/>
        <a:stretch>
          <a:fillRect/>
        </a:stretch>
      </xdr:blipFill>
      <xdr:spPr bwMode="auto">
        <a:xfrm>
          <a:off x="7543800" y="66675"/>
          <a:ext cx="1527175" cy="247650"/>
        </a:xfrm>
        <a:prstGeom prst="rect">
          <a:avLst/>
        </a:prstGeom>
        <a:noFill/>
        <a:ln w="9525">
          <a:noFill/>
          <a:miter lim="800000"/>
          <a:headEnd/>
          <a:tailEnd/>
        </a:ln>
      </xdr:spPr>
    </xdr:pic>
    <xdr:clientData fPrintsWithSheet="0"/>
  </xdr:twoCellAnchor>
  <xdr:twoCellAnchor editAs="oneCell">
    <xdr:from>
      <xdr:col>9</xdr:col>
      <xdr:colOff>793750</xdr:colOff>
      <xdr:row>1</xdr:row>
      <xdr:rowOff>3175</xdr:rowOff>
    </xdr:from>
    <xdr:to>
      <xdr:col>19</xdr:col>
      <xdr:colOff>574675</xdr:colOff>
      <xdr:row>2</xdr:row>
      <xdr:rowOff>184150</xdr:rowOff>
    </xdr:to>
    <xdr:pic macro="[0]!AssignNewFunctions">
      <xdr:nvPicPr>
        <xdr:cNvPr id="26" name="btnUpdateCons3" descr="päivitä3" hidden="1">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7543800" y="66675"/>
          <a:ext cx="1527175" cy="244475"/>
        </a:xfrm>
        <a:prstGeom prst="rect">
          <a:avLst/>
        </a:prstGeom>
        <a:noFill/>
        <a:ln w="9525">
          <a:noFill/>
          <a:miter lim="800000"/>
          <a:headEnd/>
          <a:tailEnd/>
        </a:ln>
      </xdr:spPr>
    </xdr:pic>
    <xdr:clientData fPrintsWithSheet="0"/>
  </xdr:twoCellAnchor>
  <xdr:twoCellAnchor editAs="oneCell">
    <xdr:from>
      <xdr:col>9</xdr:col>
      <xdr:colOff>793750</xdr:colOff>
      <xdr:row>1</xdr:row>
      <xdr:rowOff>3175</xdr:rowOff>
    </xdr:from>
    <xdr:to>
      <xdr:col>19</xdr:col>
      <xdr:colOff>574675</xdr:colOff>
      <xdr:row>3</xdr:row>
      <xdr:rowOff>0</xdr:rowOff>
    </xdr:to>
    <xdr:pic macro="[0]!AssignNewFunctions">
      <xdr:nvPicPr>
        <xdr:cNvPr id="27" name="btnUpdateCons4" descr="päivitä4" hidden="1">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7543800" y="66675"/>
          <a:ext cx="1527175" cy="250825"/>
        </a:xfrm>
        <a:prstGeom prst="rect">
          <a:avLst/>
        </a:prstGeom>
        <a:noFill/>
        <a:ln w="9525">
          <a:noFill/>
          <a:miter lim="800000"/>
          <a:headEnd/>
          <a:tailEnd/>
        </a:ln>
      </xdr:spPr>
    </xdr:pic>
    <xdr:clientData fPrintsWithSheet="0"/>
  </xdr:twoCellAnchor>
  <xdr:twoCellAnchor editAs="oneCell">
    <xdr:from>
      <xdr:col>9</xdr:col>
      <xdr:colOff>793750</xdr:colOff>
      <xdr:row>1</xdr:row>
      <xdr:rowOff>3175</xdr:rowOff>
    </xdr:from>
    <xdr:to>
      <xdr:col>19</xdr:col>
      <xdr:colOff>574675</xdr:colOff>
      <xdr:row>3</xdr:row>
      <xdr:rowOff>0</xdr:rowOff>
    </xdr:to>
    <xdr:pic macro="[0]!AssignNewFunctions">
      <xdr:nvPicPr>
        <xdr:cNvPr id="28" name="btnUpdateCons5" hidden="1">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17" cstate="print"/>
        <a:srcRect/>
        <a:stretch>
          <a:fillRect/>
        </a:stretch>
      </xdr:blipFill>
      <xdr:spPr bwMode="auto">
        <a:xfrm>
          <a:off x="7543800" y="66675"/>
          <a:ext cx="1527175" cy="250825"/>
        </a:xfrm>
        <a:prstGeom prst="rect">
          <a:avLst/>
        </a:prstGeom>
        <a:noFill/>
        <a:ln w="1">
          <a:noFill/>
          <a:miter lim="800000"/>
          <a:headEnd/>
          <a:tailEnd/>
        </a:ln>
      </xdr:spPr>
    </xdr:pic>
    <xdr:clientData fPrintsWithSheet="0"/>
  </xdr:twoCellAnchor>
  <xdr:twoCellAnchor editAs="oneCell">
    <xdr:from>
      <xdr:col>9</xdr:col>
      <xdr:colOff>793750</xdr:colOff>
      <xdr:row>1</xdr:row>
      <xdr:rowOff>3175</xdr:rowOff>
    </xdr:from>
    <xdr:to>
      <xdr:col>19</xdr:col>
      <xdr:colOff>574675</xdr:colOff>
      <xdr:row>3</xdr:row>
      <xdr:rowOff>0</xdr:rowOff>
    </xdr:to>
    <xdr:pic macro="[0]!AssignNewFunctions">
      <xdr:nvPicPr>
        <xdr:cNvPr id="29" name="btnUpdateCons6" hidden="1">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18" cstate="print"/>
        <a:srcRect/>
        <a:stretch>
          <a:fillRect/>
        </a:stretch>
      </xdr:blipFill>
      <xdr:spPr bwMode="auto">
        <a:xfrm>
          <a:off x="7543800" y="66675"/>
          <a:ext cx="1527175" cy="250825"/>
        </a:xfrm>
        <a:prstGeom prst="rect">
          <a:avLst/>
        </a:prstGeom>
        <a:noFill/>
        <a:ln w="1">
          <a:noFill/>
          <a:miter lim="800000"/>
          <a:headEnd/>
          <a:tailEnd/>
        </a:ln>
      </xdr:spPr>
    </xdr:pic>
    <xdr:clientData fPrintsWithSheet="0"/>
  </xdr:twoCellAnchor>
  <xdr:twoCellAnchor editAs="oneCell">
    <xdr:from>
      <xdr:col>9</xdr:col>
      <xdr:colOff>793750</xdr:colOff>
      <xdr:row>1</xdr:row>
      <xdr:rowOff>3175</xdr:rowOff>
    </xdr:from>
    <xdr:to>
      <xdr:col>19</xdr:col>
      <xdr:colOff>574675</xdr:colOff>
      <xdr:row>3</xdr:row>
      <xdr:rowOff>0</xdr:rowOff>
    </xdr:to>
    <xdr:pic macro="[0]!AssignNewFunctions">
      <xdr:nvPicPr>
        <xdr:cNvPr id="30" name="btnUpdateCons7" hidden="1">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19" cstate="print"/>
        <a:srcRect/>
        <a:stretch>
          <a:fillRect/>
        </a:stretch>
      </xdr:blipFill>
      <xdr:spPr bwMode="auto">
        <a:xfrm>
          <a:off x="7543800" y="66675"/>
          <a:ext cx="1527175" cy="250825"/>
        </a:xfrm>
        <a:prstGeom prst="rect">
          <a:avLst/>
        </a:prstGeom>
        <a:noFill/>
      </xdr:spPr>
    </xdr:pic>
    <xdr:clientData/>
  </xdr:twoCellAnchor>
  <xdr:twoCellAnchor editAs="oneCell">
    <xdr:from>
      <xdr:col>9</xdr:col>
      <xdr:colOff>793750</xdr:colOff>
      <xdr:row>1</xdr:row>
      <xdr:rowOff>3175</xdr:rowOff>
    </xdr:from>
    <xdr:to>
      <xdr:col>19</xdr:col>
      <xdr:colOff>549891</xdr:colOff>
      <xdr:row>3</xdr:row>
      <xdr:rowOff>6768</xdr:rowOff>
    </xdr:to>
    <xdr:pic macro="[0]!AssignNewFunctions">
      <xdr:nvPicPr>
        <xdr:cNvPr id="31" name="btnUpdateCons8" descr="UpdateButtonBUL.bmp" hidden="1">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20" cstate="print"/>
        <a:stretch>
          <a:fillRect/>
        </a:stretch>
      </xdr:blipFill>
      <xdr:spPr>
        <a:xfrm>
          <a:off x="7543800" y="66675"/>
          <a:ext cx="1502391" cy="25759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4</xdr:col>
      <xdr:colOff>901700</xdr:colOff>
      <xdr:row>11</xdr:row>
      <xdr:rowOff>3175</xdr:rowOff>
    </xdr:from>
    <xdr:to>
      <xdr:col>5</xdr:col>
      <xdr:colOff>1520825</xdr:colOff>
      <xdr:row>14</xdr:row>
      <xdr:rowOff>3175</xdr:rowOff>
    </xdr:to>
    <xdr:sp macro="" textlink="">
      <xdr:nvSpPr>
        <xdr:cNvPr id="2" name="Text Box 2">
          <a:extLst>
            <a:ext uri="{FF2B5EF4-FFF2-40B4-BE49-F238E27FC236}">
              <a16:creationId xmlns:a16="http://schemas.microsoft.com/office/drawing/2014/main" id="{00000000-0008-0000-0B00-000002000000}"/>
            </a:ext>
          </a:extLst>
        </xdr:cNvPr>
        <xdr:cNvSpPr txBox="1">
          <a:spLocks noChangeArrowheads="1"/>
        </xdr:cNvSpPr>
      </xdr:nvSpPr>
      <xdr:spPr bwMode="auto">
        <a:xfrm>
          <a:off x="4787900" y="1803400"/>
          <a:ext cx="1524000" cy="495300"/>
        </a:xfrm>
        <a:prstGeom prst="rect">
          <a:avLst/>
        </a:prstGeom>
        <a:solidFill>
          <a:srgbClr val="FFFFFF"/>
        </a:solidFill>
        <a:ln w="9525">
          <a:solidFill>
            <a:srgbClr val="000000"/>
          </a:solidFill>
          <a:miter lim="800000"/>
          <a:headEnd/>
          <a:tailEnd/>
        </a:ln>
      </xdr:spPr>
      <xdr:txBody>
        <a:bodyPr vertOverflow="clip" wrap="square" lIns="27432" tIns="0" rIns="0" bIns="22860" anchor="b" upright="1"/>
        <a:lstStyle/>
        <a:p>
          <a:pPr algn="l" rtl="0">
            <a:defRPr sz="1000"/>
          </a:pPr>
          <a:r>
            <a:rPr lang="fi-FI" sz="1000" b="0" i="0" strike="noStrike">
              <a:solidFill>
                <a:srgbClr val="000000"/>
              </a:solidFill>
              <a:latin typeface="Arial"/>
              <a:cs typeface="Arial"/>
            </a:rPr>
            <a:t>1=Average, 2=Begin, 3=End</a:t>
          </a:r>
        </a:p>
      </xdr:txBody>
    </xdr:sp>
    <xdr:clientData/>
  </xdr:twoCellAnchor>
  <xdr:twoCellAnchor>
    <xdr:from>
      <xdr:col>4</xdr:col>
      <xdr:colOff>901700</xdr:colOff>
      <xdr:row>14</xdr:row>
      <xdr:rowOff>3175</xdr:rowOff>
    </xdr:from>
    <xdr:to>
      <xdr:col>5</xdr:col>
      <xdr:colOff>1520825</xdr:colOff>
      <xdr:row>16</xdr:row>
      <xdr:rowOff>3175</xdr:rowOff>
    </xdr:to>
    <xdr:sp macro="" textlink="">
      <xdr:nvSpPr>
        <xdr:cNvPr id="3" name="Text Box 3">
          <a:extLst>
            <a:ext uri="{FF2B5EF4-FFF2-40B4-BE49-F238E27FC236}">
              <a16:creationId xmlns:a16="http://schemas.microsoft.com/office/drawing/2014/main" id="{00000000-0008-0000-0B00-000003000000}"/>
            </a:ext>
          </a:extLst>
        </xdr:cNvPr>
        <xdr:cNvSpPr txBox="1">
          <a:spLocks noChangeArrowheads="1"/>
        </xdr:cNvSpPr>
      </xdr:nvSpPr>
      <xdr:spPr bwMode="auto">
        <a:xfrm>
          <a:off x="4787900" y="2298700"/>
          <a:ext cx="1524000" cy="3333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i-FI" sz="1000" b="0" i="0" strike="noStrike">
              <a:solidFill>
                <a:srgbClr val="000000"/>
              </a:solidFill>
              <a:latin typeface="Arial"/>
              <a:cs typeface="Arial"/>
            </a:rPr>
            <a:t>1=Before, 2=After tax</a:t>
          </a:r>
        </a:p>
      </xdr:txBody>
    </xdr:sp>
    <xdr:clientData/>
  </xdr:twoCellAnchor>
  <xdr:twoCellAnchor>
    <xdr:from>
      <xdr:col>7</xdr:col>
      <xdr:colOff>285750</xdr:colOff>
      <xdr:row>13</xdr:row>
      <xdr:rowOff>88900</xdr:rowOff>
    </xdr:from>
    <xdr:to>
      <xdr:col>7</xdr:col>
      <xdr:colOff>285750</xdr:colOff>
      <xdr:row>34</xdr:row>
      <xdr:rowOff>31750</xdr:rowOff>
    </xdr:to>
    <xdr:sp macro="" textlink="">
      <xdr:nvSpPr>
        <xdr:cNvPr id="4" name="Line 6">
          <a:extLst>
            <a:ext uri="{FF2B5EF4-FFF2-40B4-BE49-F238E27FC236}">
              <a16:creationId xmlns:a16="http://schemas.microsoft.com/office/drawing/2014/main" id="{00000000-0008-0000-0B00-000004000000}"/>
            </a:ext>
          </a:extLst>
        </xdr:cNvPr>
        <xdr:cNvSpPr>
          <a:spLocks noChangeShapeType="1"/>
        </xdr:cNvSpPr>
      </xdr:nvSpPr>
      <xdr:spPr bwMode="auto">
        <a:xfrm>
          <a:off x="7581900" y="2222500"/>
          <a:ext cx="0" cy="3362325"/>
        </a:xfrm>
        <a:prstGeom prst="line">
          <a:avLst/>
        </a:prstGeom>
        <a:noFill/>
        <a:ln w="9525">
          <a:solidFill>
            <a:srgbClr val="000000"/>
          </a:solidFill>
          <a:round/>
          <a:headEnd/>
          <a:tailEnd type="triangle" w="med" len="med"/>
        </a:ln>
      </xdr:spPr>
    </xdr:sp>
    <xdr:clientData/>
  </xdr:twoCellAnchor>
  <xdr:twoCellAnchor>
    <xdr:from>
      <xdr:col>19</xdr:col>
      <xdr:colOff>698500</xdr:colOff>
      <xdr:row>1</xdr:row>
      <xdr:rowOff>15875</xdr:rowOff>
    </xdr:from>
    <xdr:to>
      <xdr:col>19</xdr:col>
      <xdr:colOff>698500</xdr:colOff>
      <xdr:row>24</xdr:row>
      <xdr:rowOff>101600</xdr:rowOff>
    </xdr:to>
    <xdr:sp macro="" textlink="">
      <xdr:nvSpPr>
        <xdr:cNvPr id="5" name="Line 7">
          <a:extLst>
            <a:ext uri="{FF2B5EF4-FFF2-40B4-BE49-F238E27FC236}">
              <a16:creationId xmlns:a16="http://schemas.microsoft.com/office/drawing/2014/main" id="{00000000-0008-0000-0B00-000005000000}"/>
            </a:ext>
          </a:extLst>
        </xdr:cNvPr>
        <xdr:cNvSpPr>
          <a:spLocks noChangeShapeType="1"/>
        </xdr:cNvSpPr>
      </xdr:nvSpPr>
      <xdr:spPr bwMode="auto">
        <a:xfrm>
          <a:off x="19939000" y="177800"/>
          <a:ext cx="0" cy="3857625"/>
        </a:xfrm>
        <a:prstGeom prst="line">
          <a:avLst/>
        </a:prstGeom>
        <a:noFill/>
        <a:ln w="9525">
          <a:solidFill>
            <a:srgbClr val="000000"/>
          </a:solidFill>
          <a:round/>
          <a:headEnd/>
          <a:tailEnd type="triangle" w="med" len="med"/>
        </a:ln>
      </xdr:spPr>
    </xdr:sp>
    <xdr:clientData/>
  </xdr:twoCellAnchor>
  <xdr:twoCellAnchor>
    <xdr:from>
      <xdr:col>5</xdr:col>
      <xdr:colOff>22225</xdr:colOff>
      <xdr:row>27</xdr:row>
      <xdr:rowOff>0</xdr:rowOff>
    </xdr:from>
    <xdr:to>
      <xdr:col>7</xdr:col>
      <xdr:colOff>3175</xdr:colOff>
      <xdr:row>29</xdr:row>
      <xdr:rowOff>28575</xdr:rowOff>
    </xdr:to>
    <xdr:sp macro="" textlink="">
      <xdr:nvSpPr>
        <xdr:cNvPr id="6" name="Text Box 8">
          <a:extLst>
            <a:ext uri="{FF2B5EF4-FFF2-40B4-BE49-F238E27FC236}">
              <a16:creationId xmlns:a16="http://schemas.microsoft.com/office/drawing/2014/main" id="{00000000-0008-0000-0B00-000006000000}"/>
            </a:ext>
          </a:extLst>
        </xdr:cNvPr>
        <xdr:cNvSpPr txBox="1">
          <a:spLocks noChangeArrowheads="1"/>
        </xdr:cNvSpPr>
      </xdr:nvSpPr>
      <xdr:spPr bwMode="auto">
        <a:xfrm>
          <a:off x="4813300" y="4419600"/>
          <a:ext cx="2486025" cy="3524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1">
            <a:defRPr sz="1000"/>
          </a:pPr>
          <a:r>
            <a:rPr lang="fi-FI" sz="1000" b="0" i="0" strike="noStrike">
              <a:solidFill>
                <a:srgbClr val="000000"/>
              </a:solidFill>
              <a:latin typeface="Arial"/>
              <a:cs typeface="Arial"/>
            </a:rPr>
            <a:t>Note! All 0 (zero) default in template. Added in 2.16.</a:t>
          </a:r>
        </a:p>
      </xdr:txBody>
    </xdr:sp>
    <xdr:clientData/>
  </xdr:twoCellAnchor>
  <xdr:twoCellAnchor>
    <xdr:from>
      <xdr:col>5</xdr:col>
      <xdr:colOff>9525</xdr:colOff>
      <xdr:row>31</xdr:row>
      <xdr:rowOff>0</xdr:rowOff>
    </xdr:from>
    <xdr:to>
      <xdr:col>7</xdr:col>
      <xdr:colOff>0</xdr:colOff>
      <xdr:row>32</xdr:row>
      <xdr:rowOff>38100</xdr:rowOff>
    </xdr:to>
    <xdr:sp macro="" textlink="">
      <xdr:nvSpPr>
        <xdr:cNvPr id="7" name="Text Box 9">
          <a:extLst>
            <a:ext uri="{FF2B5EF4-FFF2-40B4-BE49-F238E27FC236}">
              <a16:creationId xmlns:a16="http://schemas.microsoft.com/office/drawing/2014/main" id="{00000000-0008-0000-0B00-000007000000}"/>
            </a:ext>
          </a:extLst>
        </xdr:cNvPr>
        <xdr:cNvSpPr txBox="1">
          <a:spLocks noChangeArrowheads="1"/>
        </xdr:cNvSpPr>
      </xdr:nvSpPr>
      <xdr:spPr bwMode="auto">
        <a:xfrm>
          <a:off x="4800600" y="5067300"/>
          <a:ext cx="2495550" cy="2000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i-FI" sz="1000" b="0" i="0" u="none" strike="noStrike" baseline="0">
              <a:solidFill>
                <a:srgbClr val="000000"/>
              </a:solidFill>
              <a:latin typeface="Arial"/>
              <a:cs typeface="Arial"/>
            </a:rPr>
            <a:t>1 = financial years, 2 (or 0) =per phase</a:t>
          </a:r>
        </a:p>
      </xdr:txBody>
    </xdr:sp>
    <xdr:clientData/>
  </xdr:twoCellAnchor>
  <xdr:twoCellAnchor>
    <xdr:from>
      <xdr:col>6</xdr:col>
      <xdr:colOff>974725</xdr:colOff>
      <xdr:row>41</xdr:row>
      <xdr:rowOff>158750</xdr:rowOff>
    </xdr:from>
    <xdr:to>
      <xdr:col>8</xdr:col>
      <xdr:colOff>1441450</xdr:colOff>
      <xdr:row>42</xdr:row>
      <xdr:rowOff>158750</xdr:rowOff>
    </xdr:to>
    <xdr:sp macro="" textlink="">
      <xdr:nvSpPr>
        <xdr:cNvPr id="9" name="Text Box 17">
          <a:extLst>
            <a:ext uri="{FF2B5EF4-FFF2-40B4-BE49-F238E27FC236}">
              <a16:creationId xmlns:a16="http://schemas.microsoft.com/office/drawing/2014/main" id="{00000000-0008-0000-0B00-000009000000}"/>
            </a:ext>
          </a:extLst>
        </xdr:cNvPr>
        <xdr:cNvSpPr txBox="1">
          <a:spLocks noChangeArrowheads="1"/>
        </xdr:cNvSpPr>
      </xdr:nvSpPr>
      <xdr:spPr bwMode="auto">
        <a:xfrm>
          <a:off x="7289800" y="6845300"/>
          <a:ext cx="2057400" cy="1619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1">
            <a:defRPr sz="1000"/>
          </a:pPr>
          <a:r>
            <a:rPr lang="fi-FI" sz="800" b="0" i="0" strike="noStrike">
              <a:solidFill>
                <a:srgbClr val="000000"/>
              </a:solidFill>
              <a:latin typeface="Arial"/>
              <a:cs typeface="Arial"/>
            </a:rPr>
            <a:t>1=no, 2=yes (perpetuity base entered)</a:t>
          </a:r>
        </a:p>
      </xdr:txBody>
    </xdr:sp>
    <xdr:clientData/>
  </xdr:twoCellAnchor>
  <xdr:twoCellAnchor>
    <xdr:from>
      <xdr:col>6</xdr:col>
      <xdr:colOff>974725</xdr:colOff>
      <xdr:row>43</xdr:row>
      <xdr:rowOff>0</xdr:rowOff>
    </xdr:from>
    <xdr:to>
      <xdr:col>8</xdr:col>
      <xdr:colOff>1441450</xdr:colOff>
      <xdr:row>44</xdr:row>
      <xdr:rowOff>0</xdr:rowOff>
    </xdr:to>
    <xdr:sp macro="" textlink="">
      <xdr:nvSpPr>
        <xdr:cNvPr id="10" name="Text Box 18">
          <a:extLst>
            <a:ext uri="{FF2B5EF4-FFF2-40B4-BE49-F238E27FC236}">
              <a16:creationId xmlns:a16="http://schemas.microsoft.com/office/drawing/2014/main" id="{00000000-0008-0000-0B00-00000A000000}"/>
            </a:ext>
          </a:extLst>
        </xdr:cNvPr>
        <xdr:cNvSpPr txBox="1">
          <a:spLocks noChangeArrowheads="1"/>
        </xdr:cNvSpPr>
      </xdr:nvSpPr>
      <xdr:spPr bwMode="auto">
        <a:xfrm>
          <a:off x="7289800" y="7010400"/>
          <a:ext cx="2057400" cy="1619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1">
            <a:defRPr sz="1000"/>
          </a:pPr>
          <a:r>
            <a:rPr lang="fi-FI" sz="800" b="0" i="0" strike="noStrike">
              <a:solidFill>
                <a:srgbClr val="000000"/>
              </a:solidFill>
              <a:latin typeface="Arial"/>
              <a:cs typeface="Arial"/>
            </a:rPr>
            <a:t>1=no, 2=yes (perpetuity type growing)</a:t>
          </a:r>
        </a:p>
      </xdr:txBody>
    </xdr:sp>
    <xdr:clientData/>
  </xdr:twoCellAnchor>
  <xdr:twoCellAnchor>
    <xdr:from>
      <xdr:col>6</xdr:col>
      <xdr:colOff>974725</xdr:colOff>
      <xdr:row>40</xdr:row>
      <xdr:rowOff>3175</xdr:rowOff>
    </xdr:from>
    <xdr:to>
      <xdr:col>8</xdr:col>
      <xdr:colOff>1441450</xdr:colOff>
      <xdr:row>41</xdr:row>
      <xdr:rowOff>3175</xdr:rowOff>
    </xdr:to>
    <xdr:sp macro="" textlink="">
      <xdr:nvSpPr>
        <xdr:cNvPr id="11" name="Text Box 19">
          <a:extLst>
            <a:ext uri="{FF2B5EF4-FFF2-40B4-BE49-F238E27FC236}">
              <a16:creationId xmlns:a16="http://schemas.microsoft.com/office/drawing/2014/main" id="{00000000-0008-0000-0B00-00000B000000}"/>
            </a:ext>
          </a:extLst>
        </xdr:cNvPr>
        <xdr:cNvSpPr txBox="1">
          <a:spLocks noChangeArrowheads="1"/>
        </xdr:cNvSpPr>
      </xdr:nvSpPr>
      <xdr:spPr bwMode="auto">
        <a:xfrm>
          <a:off x="7289800" y="6527800"/>
          <a:ext cx="2057400" cy="1619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1">
            <a:defRPr sz="1000"/>
          </a:pPr>
          <a:r>
            <a:rPr lang="fi-FI" sz="800" b="0" i="0" strike="noStrike">
              <a:solidFill>
                <a:srgbClr val="000000"/>
              </a:solidFill>
              <a:latin typeface="Arial"/>
              <a:cs typeface="Arial"/>
            </a:rPr>
            <a:t>Default formula =R[-1]C</a:t>
          </a:r>
        </a:p>
      </xdr:txBody>
    </xdr:sp>
    <xdr:clientData/>
  </xdr:twoCellAnchor>
  <xdr:twoCellAnchor>
    <xdr:from>
      <xdr:col>6</xdr:col>
      <xdr:colOff>974725</xdr:colOff>
      <xdr:row>44</xdr:row>
      <xdr:rowOff>3175</xdr:rowOff>
    </xdr:from>
    <xdr:to>
      <xdr:col>8</xdr:col>
      <xdr:colOff>1441450</xdr:colOff>
      <xdr:row>45</xdr:row>
      <xdr:rowOff>3175</xdr:rowOff>
    </xdr:to>
    <xdr:sp macro="" textlink="">
      <xdr:nvSpPr>
        <xdr:cNvPr id="12" name="Text Box 20">
          <a:extLst>
            <a:ext uri="{FF2B5EF4-FFF2-40B4-BE49-F238E27FC236}">
              <a16:creationId xmlns:a16="http://schemas.microsoft.com/office/drawing/2014/main" id="{00000000-0008-0000-0B00-00000C000000}"/>
            </a:ext>
          </a:extLst>
        </xdr:cNvPr>
        <xdr:cNvSpPr txBox="1">
          <a:spLocks noChangeArrowheads="1"/>
        </xdr:cNvSpPr>
      </xdr:nvSpPr>
      <xdr:spPr bwMode="auto">
        <a:xfrm>
          <a:off x="7289800" y="7175500"/>
          <a:ext cx="2057400" cy="1619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1">
            <a:defRPr sz="1000"/>
          </a:pPr>
          <a:r>
            <a:rPr lang="fi-FI" sz="800" b="0" i="0" strike="noStrike">
              <a:solidFill>
                <a:srgbClr val="000000"/>
              </a:solidFill>
              <a:latin typeface="Arial"/>
              <a:cs typeface="Arial"/>
            </a:rPr>
            <a:t>1=Entered, 2=from Pro Finance</a:t>
          </a:r>
        </a:p>
      </xdr:txBody>
    </xdr:sp>
    <xdr:clientData/>
  </xdr:twoCellAnchor>
  <xdr:twoCellAnchor>
    <xdr:from>
      <xdr:col>16</xdr:col>
      <xdr:colOff>292100</xdr:colOff>
      <xdr:row>0</xdr:row>
      <xdr:rowOff>76200</xdr:rowOff>
    </xdr:from>
    <xdr:to>
      <xdr:col>16</xdr:col>
      <xdr:colOff>292100</xdr:colOff>
      <xdr:row>14</xdr:row>
      <xdr:rowOff>123825</xdr:rowOff>
    </xdr:to>
    <xdr:sp macro="" textlink="">
      <xdr:nvSpPr>
        <xdr:cNvPr id="13" name="Line 22">
          <a:extLst>
            <a:ext uri="{FF2B5EF4-FFF2-40B4-BE49-F238E27FC236}">
              <a16:creationId xmlns:a16="http://schemas.microsoft.com/office/drawing/2014/main" id="{00000000-0008-0000-0B00-00000D000000}"/>
            </a:ext>
          </a:extLst>
        </xdr:cNvPr>
        <xdr:cNvSpPr>
          <a:spLocks noChangeShapeType="1"/>
        </xdr:cNvSpPr>
      </xdr:nvSpPr>
      <xdr:spPr bwMode="auto">
        <a:xfrm>
          <a:off x="17703800" y="76200"/>
          <a:ext cx="0" cy="2343150"/>
        </a:xfrm>
        <a:prstGeom prst="line">
          <a:avLst/>
        </a:prstGeom>
        <a:noFill/>
        <a:ln w="9525">
          <a:solidFill>
            <a:srgbClr val="000000"/>
          </a:solidFill>
          <a:round/>
          <a:headEnd/>
          <a:tailEnd type="triangle" w="med" len="med"/>
        </a:ln>
      </xdr:spPr>
    </xdr:sp>
    <xdr:clientData/>
  </xdr:twoCellAnchor>
  <xdr:twoCellAnchor>
    <xdr:from>
      <xdr:col>16</xdr:col>
      <xdr:colOff>63500</xdr:colOff>
      <xdr:row>11</xdr:row>
      <xdr:rowOff>3175</xdr:rowOff>
    </xdr:from>
    <xdr:to>
      <xdr:col>16</xdr:col>
      <xdr:colOff>549275</xdr:colOff>
      <xdr:row>12</xdr:row>
      <xdr:rowOff>127000</xdr:rowOff>
    </xdr:to>
    <xdr:sp macro="" textlink="">
      <xdr:nvSpPr>
        <xdr:cNvPr id="14" name="Text Box 23">
          <a:extLst>
            <a:ext uri="{FF2B5EF4-FFF2-40B4-BE49-F238E27FC236}">
              <a16:creationId xmlns:a16="http://schemas.microsoft.com/office/drawing/2014/main" id="{00000000-0008-0000-0B00-00000E000000}"/>
            </a:ext>
          </a:extLst>
        </xdr:cNvPr>
        <xdr:cNvSpPr txBox="1">
          <a:spLocks noChangeArrowheads="1"/>
        </xdr:cNvSpPr>
      </xdr:nvSpPr>
      <xdr:spPr bwMode="auto">
        <a:xfrm>
          <a:off x="17475200" y="1803400"/>
          <a:ext cx="485775" cy="295275"/>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1">
            <a:defRPr sz="1000"/>
          </a:pPr>
          <a:r>
            <a:rPr lang="fi-FI" sz="800" b="0" i="0" strike="noStrike">
              <a:solidFill>
                <a:srgbClr val="000000"/>
              </a:solidFill>
              <a:latin typeface="Arial"/>
              <a:cs typeface="Arial"/>
            </a:rPr>
            <a:t>Partial locking</a:t>
          </a:r>
        </a:p>
      </xdr:txBody>
    </xdr:sp>
    <xdr:clientData/>
  </xdr:twoCellAnchor>
  <xdr:twoCellAnchor>
    <xdr:from>
      <xdr:col>6</xdr:col>
      <xdr:colOff>974725</xdr:colOff>
      <xdr:row>47</xdr:row>
      <xdr:rowOff>0</xdr:rowOff>
    </xdr:from>
    <xdr:to>
      <xdr:col>8</xdr:col>
      <xdr:colOff>784225</xdr:colOff>
      <xdr:row>48</xdr:row>
      <xdr:rowOff>0</xdr:rowOff>
    </xdr:to>
    <xdr:sp macro="" textlink="">
      <xdr:nvSpPr>
        <xdr:cNvPr id="15" name="Text Box 24">
          <a:extLst>
            <a:ext uri="{FF2B5EF4-FFF2-40B4-BE49-F238E27FC236}">
              <a16:creationId xmlns:a16="http://schemas.microsoft.com/office/drawing/2014/main" id="{00000000-0008-0000-0B00-00000F000000}"/>
            </a:ext>
          </a:extLst>
        </xdr:cNvPr>
        <xdr:cNvSpPr txBox="1">
          <a:spLocks noChangeArrowheads="1"/>
        </xdr:cNvSpPr>
      </xdr:nvSpPr>
      <xdr:spPr bwMode="auto">
        <a:xfrm>
          <a:off x="7289800" y="7658100"/>
          <a:ext cx="1400175" cy="1619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1">
            <a:defRPr sz="1000"/>
          </a:pPr>
          <a:r>
            <a:rPr lang="fi-FI" sz="800" b="0" i="0" strike="noStrike">
              <a:solidFill>
                <a:srgbClr val="000000"/>
              </a:solidFill>
              <a:latin typeface="Arial"/>
              <a:cs typeface="Arial"/>
            </a:rPr>
            <a:t>1=Calculated tax, 0=standard tax</a:t>
          </a:r>
        </a:p>
      </xdr:txBody>
    </xdr:sp>
    <xdr:clientData/>
  </xdr:twoCellAnchor>
  <xdr:twoCellAnchor>
    <xdr:from>
      <xdr:col>1</xdr:col>
      <xdr:colOff>841375</xdr:colOff>
      <xdr:row>7</xdr:row>
      <xdr:rowOff>0</xdr:rowOff>
    </xdr:from>
    <xdr:to>
      <xdr:col>3</xdr:col>
      <xdr:colOff>3175</xdr:colOff>
      <xdr:row>13</xdr:row>
      <xdr:rowOff>9525</xdr:rowOff>
    </xdr:to>
    <xdr:sp macro="" textlink="">
      <xdr:nvSpPr>
        <xdr:cNvPr id="16" name="Text Box 25">
          <a:extLst>
            <a:ext uri="{FF2B5EF4-FFF2-40B4-BE49-F238E27FC236}">
              <a16:creationId xmlns:a16="http://schemas.microsoft.com/office/drawing/2014/main" id="{00000000-0008-0000-0B00-000010000000}"/>
            </a:ext>
          </a:extLst>
        </xdr:cNvPr>
        <xdr:cNvSpPr txBox="1">
          <a:spLocks noChangeArrowheads="1"/>
        </xdr:cNvSpPr>
      </xdr:nvSpPr>
      <xdr:spPr bwMode="auto">
        <a:xfrm>
          <a:off x="1689100" y="1143000"/>
          <a:ext cx="857250" cy="10001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1">
            <a:defRPr sz="1000"/>
          </a:pPr>
          <a:r>
            <a:rPr lang="fi-FI" sz="1000" b="0" i="0" strike="noStrike">
              <a:solidFill>
                <a:srgbClr val="000000"/>
              </a:solidFill>
              <a:latin typeface="Arial"/>
              <a:cs typeface="Arial"/>
            </a:rPr>
            <a:t>Added in 310:</a:t>
          </a:r>
        </a:p>
        <a:p>
          <a:pPr algn="l" rtl="1">
            <a:defRPr sz="1000"/>
          </a:pPr>
          <a:r>
            <a:rPr lang="fi-FI" sz="1000" b="0" i="0" strike="noStrike">
              <a:solidFill>
                <a:srgbClr val="000000"/>
              </a:solidFill>
              <a:latin typeface="Arial"/>
              <a:cs typeface="Arial"/>
            </a:rPr>
            <a:t>InvOrAcq=3 =impairment test calculation</a:t>
          </a:r>
        </a:p>
      </xdr:txBody>
    </xdr:sp>
    <xdr:clientData/>
  </xdr:twoCellAnchor>
  <xdr:twoCellAnchor>
    <xdr:from>
      <xdr:col>6</xdr:col>
      <xdr:colOff>974725</xdr:colOff>
      <xdr:row>48</xdr:row>
      <xdr:rowOff>3175</xdr:rowOff>
    </xdr:from>
    <xdr:to>
      <xdr:col>8</xdr:col>
      <xdr:colOff>784225</xdr:colOff>
      <xdr:row>49</xdr:row>
      <xdr:rowOff>3175</xdr:rowOff>
    </xdr:to>
    <xdr:sp macro="" textlink="">
      <xdr:nvSpPr>
        <xdr:cNvPr id="17" name="Text Box 26">
          <a:extLst>
            <a:ext uri="{FF2B5EF4-FFF2-40B4-BE49-F238E27FC236}">
              <a16:creationId xmlns:a16="http://schemas.microsoft.com/office/drawing/2014/main" id="{00000000-0008-0000-0B00-000011000000}"/>
            </a:ext>
          </a:extLst>
        </xdr:cNvPr>
        <xdr:cNvSpPr txBox="1">
          <a:spLocks noChangeArrowheads="1"/>
        </xdr:cNvSpPr>
      </xdr:nvSpPr>
      <xdr:spPr bwMode="auto">
        <a:xfrm>
          <a:off x="7289800" y="7823200"/>
          <a:ext cx="1400175" cy="1619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1">
            <a:defRPr sz="1000"/>
          </a:pPr>
          <a:r>
            <a:rPr lang="fi-FI" sz="800" b="0" i="0" strike="noStrike">
              <a:solidFill>
                <a:srgbClr val="000000"/>
              </a:solidFill>
              <a:latin typeface="Arial"/>
              <a:cs typeface="Arial"/>
            </a:rPr>
            <a:t>1=Yes=posttax, 0=No=pretax</a:t>
          </a:r>
        </a:p>
      </xdr:txBody>
    </xdr:sp>
    <xdr:clientData/>
  </xdr:twoCellAnchor>
  <xdr:twoCellAnchor>
    <xdr:from>
      <xdr:col>6</xdr:col>
      <xdr:colOff>974725</xdr:colOff>
      <xdr:row>49</xdr:row>
      <xdr:rowOff>0</xdr:rowOff>
    </xdr:from>
    <xdr:to>
      <xdr:col>8</xdr:col>
      <xdr:colOff>1889125</xdr:colOff>
      <xdr:row>50</xdr:row>
      <xdr:rowOff>12700</xdr:rowOff>
    </xdr:to>
    <xdr:sp macro="" textlink="">
      <xdr:nvSpPr>
        <xdr:cNvPr id="18" name="Text Box 27">
          <a:extLst>
            <a:ext uri="{FF2B5EF4-FFF2-40B4-BE49-F238E27FC236}">
              <a16:creationId xmlns:a16="http://schemas.microsoft.com/office/drawing/2014/main" id="{00000000-0008-0000-0B00-000012000000}"/>
            </a:ext>
          </a:extLst>
        </xdr:cNvPr>
        <xdr:cNvSpPr txBox="1">
          <a:spLocks noChangeArrowheads="1"/>
        </xdr:cNvSpPr>
      </xdr:nvSpPr>
      <xdr:spPr bwMode="auto">
        <a:xfrm>
          <a:off x="7289800" y="7981950"/>
          <a:ext cx="2505075" cy="1746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1">
            <a:defRPr sz="1000"/>
          </a:pPr>
          <a:r>
            <a:rPr lang="fi-FI" sz="800" b="0" i="0" strike="noStrike">
              <a:solidFill>
                <a:srgbClr val="000000"/>
              </a:solidFill>
              <a:latin typeface="Arial"/>
              <a:cs typeface="Arial"/>
            </a:rPr>
            <a:t>1=Yes=include tax effect of financing in FCF, 0=No</a:t>
          </a:r>
        </a:p>
      </xdr:txBody>
    </xdr:sp>
    <xdr:clientData/>
  </xdr:twoCellAnchor>
  <xdr:twoCellAnchor>
    <xdr:from>
      <xdr:col>6</xdr:col>
      <xdr:colOff>974725</xdr:colOff>
      <xdr:row>49</xdr:row>
      <xdr:rowOff>158750</xdr:rowOff>
    </xdr:from>
    <xdr:to>
      <xdr:col>8</xdr:col>
      <xdr:colOff>1889125</xdr:colOff>
      <xdr:row>50</xdr:row>
      <xdr:rowOff>158750</xdr:rowOff>
    </xdr:to>
    <xdr:sp macro="" textlink="">
      <xdr:nvSpPr>
        <xdr:cNvPr id="19" name="Text Box 28">
          <a:extLst>
            <a:ext uri="{FF2B5EF4-FFF2-40B4-BE49-F238E27FC236}">
              <a16:creationId xmlns:a16="http://schemas.microsoft.com/office/drawing/2014/main" id="{00000000-0008-0000-0B00-000013000000}"/>
            </a:ext>
          </a:extLst>
        </xdr:cNvPr>
        <xdr:cNvSpPr txBox="1">
          <a:spLocks noChangeArrowheads="1"/>
        </xdr:cNvSpPr>
      </xdr:nvSpPr>
      <xdr:spPr bwMode="auto">
        <a:xfrm>
          <a:off x="7289800" y="8140700"/>
          <a:ext cx="2505075" cy="1619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1">
            <a:defRPr sz="1000"/>
          </a:pPr>
          <a:r>
            <a:rPr lang="fi-FI" sz="800" b="0" i="0" strike="noStrike">
              <a:solidFill>
                <a:srgbClr val="000000"/>
              </a:solidFill>
              <a:latin typeface="Arial"/>
              <a:cs typeface="Arial"/>
            </a:rPr>
            <a:t>1=Yes=include positive tax effects, 0=No</a:t>
          </a:r>
        </a:p>
      </xdr:txBody>
    </xdr:sp>
    <xdr:clientData/>
  </xdr:twoCellAnchor>
  <xdr:twoCellAnchor>
    <xdr:from>
      <xdr:col>6</xdr:col>
      <xdr:colOff>974725</xdr:colOff>
      <xdr:row>51</xdr:row>
      <xdr:rowOff>0</xdr:rowOff>
    </xdr:from>
    <xdr:to>
      <xdr:col>8</xdr:col>
      <xdr:colOff>1889125</xdr:colOff>
      <xdr:row>52</xdr:row>
      <xdr:rowOff>0</xdr:rowOff>
    </xdr:to>
    <xdr:sp macro="" textlink="">
      <xdr:nvSpPr>
        <xdr:cNvPr id="20" name="Text Box 29">
          <a:extLst>
            <a:ext uri="{FF2B5EF4-FFF2-40B4-BE49-F238E27FC236}">
              <a16:creationId xmlns:a16="http://schemas.microsoft.com/office/drawing/2014/main" id="{00000000-0008-0000-0B00-000014000000}"/>
            </a:ext>
          </a:extLst>
        </xdr:cNvPr>
        <xdr:cNvSpPr txBox="1">
          <a:spLocks noChangeArrowheads="1"/>
        </xdr:cNvSpPr>
      </xdr:nvSpPr>
      <xdr:spPr bwMode="auto">
        <a:xfrm>
          <a:off x="7289800" y="8305800"/>
          <a:ext cx="2505075" cy="1619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1">
            <a:defRPr sz="1000"/>
          </a:pPr>
          <a:r>
            <a:rPr lang="fi-FI" sz="800" b="0" i="0" strike="noStrike">
              <a:solidFill>
                <a:srgbClr val="000000"/>
              </a:solidFill>
              <a:latin typeface="Arial"/>
              <a:cs typeface="Arial"/>
            </a:rPr>
            <a:t>1=Manual, 0=Automatic</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1930400</xdr:colOff>
      <xdr:row>15</xdr:row>
      <xdr:rowOff>0</xdr:rowOff>
    </xdr:from>
    <xdr:to>
      <xdr:col>2</xdr:col>
      <xdr:colOff>2159000</xdr:colOff>
      <xdr:row>16</xdr:row>
      <xdr:rowOff>0</xdr:rowOff>
    </xdr:to>
    <xdr:pic macro="[0]!Distribute">
      <xdr:nvPicPr>
        <xdr:cNvPr id="32" name="DistBtn05" descr="distbtn2">
          <a:extLst>
            <a:ext uri="{FF2B5EF4-FFF2-40B4-BE49-F238E27FC236}">
              <a16:creationId xmlns:a16="http://schemas.microsoft.com/office/drawing/2014/main" id="{00000000-0008-0000-0100-000020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130425" y="495300"/>
          <a:ext cx="228600" cy="142875"/>
        </a:xfrm>
        <a:prstGeom prst="rect">
          <a:avLst/>
        </a:prstGeom>
        <a:noFill/>
        <a:ln w="9525">
          <a:noFill/>
          <a:miter lim="800000"/>
          <a:headEnd/>
          <a:tailEnd/>
        </a:ln>
      </xdr:spPr>
    </xdr:pic>
    <xdr:clientData fPrintsWithSheet="0"/>
  </xdr:twoCellAnchor>
  <xdr:twoCellAnchor editAs="oneCell">
    <xdr:from>
      <xdr:col>2</xdr:col>
      <xdr:colOff>1914525</xdr:colOff>
      <xdr:row>439</xdr:row>
      <xdr:rowOff>0</xdr:rowOff>
    </xdr:from>
    <xdr:to>
      <xdr:col>2</xdr:col>
      <xdr:colOff>2143125</xdr:colOff>
      <xdr:row>440</xdr:row>
      <xdr:rowOff>0</xdr:rowOff>
    </xdr:to>
    <xdr:pic macro="[0]!Distribute">
      <xdr:nvPicPr>
        <xdr:cNvPr id="33" name="DistBtn07" descr="distbtn2">
          <a:extLst>
            <a:ext uri="{FF2B5EF4-FFF2-40B4-BE49-F238E27FC236}">
              <a16:creationId xmlns:a16="http://schemas.microsoft.com/office/drawing/2014/main" id="{00000000-0008-0000-0100-000021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114550" y="6334125"/>
          <a:ext cx="228600" cy="142875"/>
        </a:xfrm>
        <a:prstGeom prst="rect">
          <a:avLst/>
        </a:prstGeom>
        <a:noFill/>
        <a:ln w="9525">
          <a:noFill/>
          <a:miter lim="800000"/>
          <a:headEnd/>
          <a:tailEnd/>
        </a:ln>
      </xdr:spPr>
    </xdr:pic>
    <xdr:clientData fPrintsWithSheet="0"/>
  </xdr:twoCellAnchor>
  <xdr:twoCellAnchor editAs="oneCell">
    <xdr:from>
      <xdr:col>2</xdr:col>
      <xdr:colOff>1752600</xdr:colOff>
      <xdr:row>439</xdr:row>
      <xdr:rowOff>0</xdr:rowOff>
    </xdr:from>
    <xdr:to>
      <xdr:col>2</xdr:col>
      <xdr:colOff>1905000</xdr:colOff>
      <xdr:row>440</xdr:row>
      <xdr:rowOff>0</xdr:rowOff>
    </xdr:to>
    <xdr:pic macro="[0]!BreakEvenCell">
      <xdr:nvPicPr>
        <xdr:cNvPr id="34" name="Button 47" descr="breakeven">
          <a:extLst>
            <a:ext uri="{FF2B5EF4-FFF2-40B4-BE49-F238E27FC236}">
              <a16:creationId xmlns:a16="http://schemas.microsoft.com/office/drawing/2014/main" id="{00000000-0008-0000-0100-000022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952625" y="6334125"/>
          <a:ext cx="152400" cy="142875"/>
        </a:xfrm>
        <a:prstGeom prst="rect">
          <a:avLst/>
        </a:prstGeom>
        <a:noFill/>
        <a:ln w="9525">
          <a:noFill/>
          <a:miter lim="800000"/>
          <a:headEnd/>
          <a:tailEnd/>
        </a:ln>
      </xdr:spPr>
    </xdr:pic>
    <xdr:clientData fPrintsWithSheet="0"/>
  </xdr:twoCellAnchor>
  <xdr:twoCellAnchor editAs="oneCell">
    <xdr:from>
      <xdr:col>2</xdr:col>
      <xdr:colOff>1914525</xdr:colOff>
      <xdr:row>537</xdr:row>
      <xdr:rowOff>0</xdr:rowOff>
    </xdr:from>
    <xdr:to>
      <xdr:col>2</xdr:col>
      <xdr:colOff>2143125</xdr:colOff>
      <xdr:row>538</xdr:row>
      <xdr:rowOff>0</xdr:rowOff>
    </xdr:to>
    <xdr:pic macro="[0]!Distribute">
      <xdr:nvPicPr>
        <xdr:cNvPr id="35" name="DistBtn08" descr="distbtn2">
          <a:extLst>
            <a:ext uri="{FF2B5EF4-FFF2-40B4-BE49-F238E27FC236}">
              <a16:creationId xmlns:a16="http://schemas.microsoft.com/office/drawing/2014/main" id="{00000000-0008-0000-0100-00002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114550" y="17392650"/>
          <a:ext cx="228600" cy="142875"/>
        </a:xfrm>
        <a:prstGeom prst="rect">
          <a:avLst/>
        </a:prstGeom>
        <a:noFill/>
        <a:ln w="9525">
          <a:noFill/>
          <a:miter lim="800000"/>
          <a:headEnd/>
          <a:tailEnd/>
        </a:ln>
      </xdr:spPr>
    </xdr:pic>
    <xdr:clientData fPrintsWithSheet="0"/>
  </xdr:twoCellAnchor>
  <xdr:twoCellAnchor editAs="oneCell">
    <xdr:from>
      <xdr:col>2</xdr:col>
      <xdr:colOff>1752600</xdr:colOff>
      <xdr:row>537</xdr:row>
      <xdr:rowOff>0</xdr:rowOff>
    </xdr:from>
    <xdr:to>
      <xdr:col>2</xdr:col>
      <xdr:colOff>1905000</xdr:colOff>
      <xdr:row>538</xdr:row>
      <xdr:rowOff>0</xdr:rowOff>
    </xdr:to>
    <xdr:pic macro="[0]!BreakEvenCell">
      <xdr:nvPicPr>
        <xdr:cNvPr id="36" name="Button 50" descr="breakeven">
          <a:extLst>
            <a:ext uri="{FF2B5EF4-FFF2-40B4-BE49-F238E27FC236}">
              <a16:creationId xmlns:a16="http://schemas.microsoft.com/office/drawing/2014/main" id="{00000000-0008-0000-0100-00002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952625" y="17392650"/>
          <a:ext cx="152400" cy="142875"/>
        </a:xfrm>
        <a:prstGeom prst="rect">
          <a:avLst/>
        </a:prstGeom>
        <a:noFill/>
        <a:ln w="9525">
          <a:noFill/>
          <a:miter lim="800000"/>
          <a:headEnd/>
          <a:tailEnd/>
        </a:ln>
      </xdr:spPr>
    </xdr:pic>
    <xdr:clientData fPrintsWithSheet="0"/>
  </xdr:twoCellAnchor>
  <xdr:twoCellAnchor editAs="oneCell">
    <xdr:from>
      <xdr:col>2</xdr:col>
      <xdr:colOff>1914525</xdr:colOff>
      <xdr:row>625</xdr:row>
      <xdr:rowOff>0</xdr:rowOff>
    </xdr:from>
    <xdr:to>
      <xdr:col>2</xdr:col>
      <xdr:colOff>2143125</xdr:colOff>
      <xdr:row>626</xdr:row>
      <xdr:rowOff>0</xdr:rowOff>
    </xdr:to>
    <xdr:pic macro="[0]!Distribute">
      <xdr:nvPicPr>
        <xdr:cNvPr id="37" name="DistBtn09" descr="distbtn2">
          <a:extLst>
            <a:ext uri="{FF2B5EF4-FFF2-40B4-BE49-F238E27FC236}">
              <a16:creationId xmlns:a16="http://schemas.microsoft.com/office/drawing/2014/main" id="{00000000-0008-0000-0100-00002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114550" y="21955125"/>
          <a:ext cx="228600" cy="142875"/>
        </a:xfrm>
        <a:prstGeom prst="rect">
          <a:avLst/>
        </a:prstGeom>
        <a:noFill/>
        <a:ln w="9525">
          <a:noFill/>
          <a:miter lim="800000"/>
          <a:headEnd/>
          <a:tailEnd/>
        </a:ln>
      </xdr:spPr>
    </xdr:pic>
    <xdr:clientData fPrintsWithSheet="0"/>
  </xdr:twoCellAnchor>
  <xdr:twoCellAnchor editAs="oneCell">
    <xdr:from>
      <xdr:col>3</xdr:col>
      <xdr:colOff>311150</xdr:colOff>
      <xdr:row>15</xdr:row>
      <xdr:rowOff>0</xdr:rowOff>
    </xdr:from>
    <xdr:to>
      <xdr:col>3</xdr:col>
      <xdr:colOff>463550</xdr:colOff>
      <xdr:row>16</xdr:row>
      <xdr:rowOff>0</xdr:rowOff>
    </xdr:to>
    <xdr:pic macro="[0]!AutoVBA.GotoLastPeriod">
      <xdr:nvPicPr>
        <xdr:cNvPr id="38" name="LastColBtn05" descr="lastcol">
          <a:extLst>
            <a:ext uri="{FF2B5EF4-FFF2-40B4-BE49-F238E27FC236}">
              <a16:creationId xmlns:a16="http://schemas.microsoft.com/office/drawing/2014/main" id="{00000000-0008-0000-0100-000026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2692400" y="2152650"/>
          <a:ext cx="152400" cy="142875"/>
        </a:xfrm>
        <a:prstGeom prst="rect">
          <a:avLst/>
        </a:prstGeom>
        <a:noFill/>
        <a:ln w="9525">
          <a:noFill/>
          <a:miter lim="800000"/>
          <a:headEnd/>
          <a:tailEnd/>
        </a:ln>
      </xdr:spPr>
    </xdr:pic>
    <xdr:clientData fPrintsWithSheet="0"/>
  </xdr:twoCellAnchor>
  <xdr:twoCellAnchor editAs="oneCell">
    <xdr:from>
      <xdr:col>3</xdr:col>
      <xdr:colOff>488950</xdr:colOff>
      <xdr:row>15</xdr:row>
      <xdr:rowOff>0</xdr:rowOff>
    </xdr:from>
    <xdr:to>
      <xdr:col>3</xdr:col>
      <xdr:colOff>641350</xdr:colOff>
      <xdr:row>16</xdr:row>
      <xdr:rowOff>0</xdr:rowOff>
    </xdr:to>
    <xdr:pic macro="[0]!ToggleHistoryColumns">
      <xdr:nvPicPr>
        <xdr:cNvPr id="39" name="btnHistory05" descr="historybtn">
          <a:extLst>
            <a:ext uri="{FF2B5EF4-FFF2-40B4-BE49-F238E27FC236}">
              <a16:creationId xmlns:a16="http://schemas.microsoft.com/office/drawing/2014/main" id="{00000000-0008-0000-0100-000027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2870200" y="2152650"/>
          <a:ext cx="152400" cy="142875"/>
        </a:xfrm>
        <a:prstGeom prst="rect">
          <a:avLst/>
        </a:prstGeom>
        <a:noFill/>
        <a:ln w="9525">
          <a:noFill/>
          <a:miter lim="800000"/>
          <a:headEnd/>
          <a:tailEnd/>
        </a:ln>
      </xdr:spPr>
    </xdr:pic>
    <xdr:clientData fPrintsWithSheet="0"/>
  </xdr:twoCellAnchor>
  <xdr:twoCellAnchor editAs="oneCell">
    <xdr:from>
      <xdr:col>3</xdr:col>
      <xdr:colOff>171450</xdr:colOff>
      <xdr:row>15</xdr:row>
      <xdr:rowOff>0</xdr:rowOff>
    </xdr:from>
    <xdr:to>
      <xdr:col>3</xdr:col>
      <xdr:colOff>323850</xdr:colOff>
      <xdr:row>16</xdr:row>
      <xdr:rowOff>0</xdr:rowOff>
    </xdr:to>
    <xdr:pic macro="[0]!AutoVBA.GotoFirstPeriod">
      <xdr:nvPicPr>
        <xdr:cNvPr id="40" name="FirstColBtn05" descr="firstcol">
          <a:extLst>
            <a:ext uri="{FF2B5EF4-FFF2-40B4-BE49-F238E27FC236}">
              <a16:creationId xmlns:a16="http://schemas.microsoft.com/office/drawing/2014/main" id="{00000000-0008-0000-0100-000028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2552700" y="2152650"/>
          <a:ext cx="152400" cy="142875"/>
        </a:xfrm>
        <a:prstGeom prst="rect">
          <a:avLst/>
        </a:prstGeom>
        <a:noFill/>
        <a:ln w="9525">
          <a:noFill/>
          <a:miter lim="800000"/>
          <a:headEnd/>
          <a:tailEnd/>
        </a:ln>
      </xdr:spPr>
    </xdr:pic>
    <xdr:clientData fPrintsWithSheet="0"/>
  </xdr:twoCellAnchor>
  <xdr:twoCellAnchor editAs="oneCell">
    <xdr:from>
      <xdr:col>3</xdr:col>
      <xdr:colOff>323850</xdr:colOff>
      <xdr:row>439</xdr:row>
      <xdr:rowOff>0</xdr:rowOff>
    </xdr:from>
    <xdr:to>
      <xdr:col>3</xdr:col>
      <xdr:colOff>476250</xdr:colOff>
      <xdr:row>440</xdr:row>
      <xdr:rowOff>0</xdr:rowOff>
    </xdr:to>
    <xdr:pic macro="[0]!AutoVBA.GotoLastPeriod">
      <xdr:nvPicPr>
        <xdr:cNvPr id="41" name="LastColBtn07" descr="lastcol">
          <a:extLst>
            <a:ext uri="{FF2B5EF4-FFF2-40B4-BE49-F238E27FC236}">
              <a16:creationId xmlns:a16="http://schemas.microsoft.com/office/drawing/2014/main" id="{00000000-0008-0000-0100-000029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2705100" y="64027050"/>
          <a:ext cx="152400" cy="142875"/>
        </a:xfrm>
        <a:prstGeom prst="rect">
          <a:avLst/>
        </a:prstGeom>
        <a:noFill/>
        <a:ln w="9525">
          <a:noFill/>
          <a:miter lim="800000"/>
          <a:headEnd/>
          <a:tailEnd/>
        </a:ln>
      </xdr:spPr>
    </xdr:pic>
    <xdr:clientData fPrintsWithSheet="0"/>
  </xdr:twoCellAnchor>
  <xdr:twoCellAnchor editAs="oneCell">
    <xdr:from>
      <xdr:col>3</xdr:col>
      <xdr:colOff>488950</xdr:colOff>
      <xdr:row>439</xdr:row>
      <xdr:rowOff>0</xdr:rowOff>
    </xdr:from>
    <xdr:to>
      <xdr:col>3</xdr:col>
      <xdr:colOff>641350</xdr:colOff>
      <xdr:row>440</xdr:row>
      <xdr:rowOff>0</xdr:rowOff>
    </xdr:to>
    <xdr:pic macro="[0]!ToggleHistoryColumns">
      <xdr:nvPicPr>
        <xdr:cNvPr id="42" name="btnHistory07" descr="historybtn">
          <a:extLst>
            <a:ext uri="{FF2B5EF4-FFF2-40B4-BE49-F238E27FC236}">
              <a16:creationId xmlns:a16="http://schemas.microsoft.com/office/drawing/2014/main" id="{00000000-0008-0000-0100-00002A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2870200" y="64027050"/>
          <a:ext cx="152400" cy="142875"/>
        </a:xfrm>
        <a:prstGeom prst="rect">
          <a:avLst/>
        </a:prstGeom>
        <a:noFill/>
        <a:ln w="9525">
          <a:noFill/>
          <a:miter lim="800000"/>
          <a:headEnd/>
          <a:tailEnd/>
        </a:ln>
      </xdr:spPr>
    </xdr:pic>
    <xdr:clientData fPrintsWithSheet="0"/>
  </xdr:twoCellAnchor>
  <xdr:twoCellAnchor editAs="oneCell">
    <xdr:from>
      <xdr:col>3</xdr:col>
      <xdr:colOff>184150</xdr:colOff>
      <xdr:row>439</xdr:row>
      <xdr:rowOff>0</xdr:rowOff>
    </xdr:from>
    <xdr:to>
      <xdr:col>3</xdr:col>
      <xdr:colOff>336550</xdr:colOff>
      <xdr:row>440</xdr:row>
      <xdr:rowOff>0</xdr:rowOff>
    </xdr:to>
    <xdr:pic macro="[0]!AutoVBA.GotoFirstPeriod">
      <xdr:nvPicPr>
        <xdr:cNvPr id="43" name="FirstColBtn" descr="firstcol">
          <a:extLst>
            <a:ext uri="{FF2B5EF4-FFF2-40B4-BE49-F238E27FC236}">
              <a16:creationId xmlns:a16="http://schemas.microsoft.com/office/drawing/2014/main" id="{00000000-0008-0000-0100-00002B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2565400" y="64027050"/>
          <a:ext cx="152400" cy="142875"/>
        </a:xfrm>
        <a:prstGeom prst="rect">
          <a:avLst/>
        </a:prstGeom>
        <a:noFill/>
        <a:ln w="9525">
          <a:noFill/>
          <a:miter lim="800000"/>
          <a:headEnd/>
          <a:tailEnd/>
        </a:ln>
      </xdr:spPr>
    </xdr:pic>
    <xdr:clientData fPrintsWithSheet="0"/>
  </xdr:twoCellAnchor>
  <xdr:twoCellAnchor editAs="oneCell">
    <xdr:from>
      <xdr:col>3</xdr:col>
      <xdr:colOff>323850</xdr:colOff>
      <xdr:row>537</xdr:row>
      <xdr:rowOff>0</xdr:rowOff>
    </xdr:from>
    <xdr:to>
      <xdr:col>3</xdr:col>
      <xdr:colOff>476250</xdr:colOff>
      <xdr:row>538</xdr:row>
      <xdr:rowOff>0</xdr:rowOff>
    </xdr:to>
    <xdr:pic macro="[0]!AutoVBA.GotoLastPeriod">
      <xdr:nvPicPr>
        <xdr:cNvPr id="44" name="LastColBtn08" descr="lastcol">
          <a:extLst>
            <a:ext uri="{FF2B5EF4-FFF2-40B4-BE49-F238E27FC236}">
              <a16:creationId xmlns:a16="http://schemas.microsoft.com/office/drawing/2014/main" id="{00000000-0008-0000-0100-00002C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2705100" y="76085700"/>
          <a:ext cx="152400" cy="142875"/>
        </a:xfrm>
        <a:prstGeom prst="rect">
          <a:avLst/>
        </a:prstGeom>
        <a:noFill/>
        <a:ln w="9525">
          <a:noFill/>
          <a:miter lim="800000"/>
          <a:headEnd/>
          <a:tailEnd/>
        </a:ln>
      </xdr:spPr>
    </xdr:pic>
    <xdr:clientData fPrintsWithSheet="0"/>
  </xdr:twoCellAnchor>
  <xdr:twoCellAnchor editAs="oneCell">
    <xdr:from>
      <xdr:col>3</xdr:col>
      <xdr:colOff>488950</xdr:colOff>
      <xdr:row>537</xdr:row>
      <xdr:rowOff>0</xdr:rowOff>
    </xdr:from>
    <xdr:to>
      <xdr:col>3</xdr:col>
      <xdr:colOff>641350</xdr:colOff>
      <xdr:row>538</xdr:row>
      <xdr:rowOff>0</xdr:rowOff>
    </xdr:to>
    <xdr:pic macro="[0]!ToggleHistoryColumns">
      <xdr:nvPicPr>
        <xdr:cNvPr id="45" name="btnHistory08" descr="historybtn">
          <a:extLst>
            <a:ext uri="{FF2B5EF4-FFF2-40B4-BE49-F238E27FC236}">
              <a16:creationId xmlns:a16="http://schemas.microsoft.com/office/drawing/2014/main" id="{00000000-0008-0000-0100-00002D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2870200" y="76085700"/>
          <a:ext cx="152400" cy="142875"/>
        </a:xfrm>
        <a:prstGeom prst="rect">
          <a:avLst/>
        </a:prstGeom>
        <a:noFill/>
        <a:ln w="9525">
          <a:noFill/>
          <a:miter lim="800000"/>
          <a:headEnd/>
          <a:tailEnd/>
        </a:ln>
      </xdr:spPr>
    </xdr:pic>
    <xdr:clientData fPrintsWithSheet="0"/>
  </xdr:twoCellAnchor>
  <xdr:twoCellAnchor editAs="oneCell">
    <xdr:from>
      <xdr:col>3</xdr:col>
      <xdr:colOff>184150</xdr:colOff>
      <xdr:row>537</xdr:row>
      <xdr:rowOff>0</xdr:rowOff>
    </xdr:from>
    <xdr:to>
      <xdr:col>3</xdr:col>
      <xdr:colOff>336550</xdr:colOff>
      <xdr:row>538</xdr:row>
      <xdr:rowOff>0</xdr:rowOff>
    </xdr:to>
    <xdr:pic macro="[0]!AutoVBA.GotoFirstPeriod">
      <xdr:nvPicPr>
        <xdr:cNvPr id="46" name="FirstColBtn08" descr="firstcol">
          <a:extLst>
            <a:ext uri="{FF2B5EF4-FFF2-40B4-BE49-F238E27FC236}">
              <a16:creationId xmlns:a16="http://schemas.microsoft.com/office/drawing/2014/main" id="{00000000-0008-0000-0100-00002E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2565400" y="76085700"/>
          <a:ext cx="152400" cy="142875"/>
        </a:xfrm>
        <a:prstGeom prst="rect">
          <a:avLst/>
        </a:prstGeom>
        <a:noFill/>
        <a:ln w="9525">
          <a:noFill/>
          <a:miter lim="800000"/>
          <a:headEnd/>
          <a:tailEnd/>
        </a:ln>
      </xdr:spPr>
    </xdr:pic>
    <xdr:clientData fPrintsWithSheet="0"/>
  </xdr:twoCellAnchor>
  <xdr:twoCellAnchor editAs="oneCell">
    <xdr:from>
      <xdr:col>3</xdr:col>
      <xdr:colOff>323850</xdr:colOff>
      <xdr:row>625</xdr:row>
      <xdr:rowOff>0</xdr:rowOff>
    </xdr:from>
    <xdr:to>
      <xdr:col>3</xdr:col>
      <xdr:colOff>476250</xdr:colOff>
      <xdr:row>626</xdr:row>
      <xdr:rowOff>0</xdr:rowOff>
    </xdr:to>
    <xdr:pic macro="[0]!AutoVBA.GotoLastPeriod">
      <xdr:nvPicPr>
        <xdr:cNvPr id="47" name="LastColBtn09" descr="lastcol">
          <a:extLst>
            <a:ext uri="{FF2B5EF4-FFF2-40B4-BE49-F238E27FC236}">
              <a16:creationId xmlns:a16="http://schemas.microsoft.com/office/drawing/2014/main" id="{00000000-0008-0000-0100-00002F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2705100" y="80648175"/>
          <a:ext cx="152400" cy="142875"/>
        </a:xfrm>
        <a:prstGeom prst="rect">
          <a:avLst/>
        </a:prstGeom>
        <a:noFill/>
        <a:ln w="9525">
          <a:noFill/>
          <a:miter lim="800000"/>
          <a:headEnd/>
          <a:tailEnd/>
        </a:ln>
      </xdr:spPr>
    </xdr:pic>
    <xdr:clientData fPrintsWithSheet="0"/>
  </xdr:twoCellAnchor>
  <xdr:twoCellAnchor editAs="oneCell">
    <xdr:from>
      <xdr:col>3</xdr:col>
      <xdr:colOff>488950</xdr:colOff>
      <xdr:row>625</xdr:row>
      <xdr:rowOff>0</xdr:rowOff>
    </xdr:from>
    <xdr:to>
      <xdr:col>3</xdr:col>
      <xdr:colOff>641350</xdr:colOff>
      <xdr:row>626</xdr:row>
      <xdr:rowOff>0</xdr:rowOff>
    </xdr:to>
    <xdr:pic macro="[0]!ToggleHistoryColumns">
      <xdr:nvPicPr>
        <xdr:cNvPr id="48" name="btnHistory09" descr="historybtn">
          <a:extLst>
            <a:ext uri="{FF2B5EF4-FFF2-40B4-BE49-F238E27FC236}">
              <a16:creationId xmlns:a16="http://schemas.microsoft.com/office/drawing/2014/main" id="{00000000-0008-0000-0100-000030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2870200" y="80648175"/>
          <a:ext cx="152400" cy="142875"/>
        </a:xfrm>
        <a:prstGeom prst="rect">
          <a:avLst/>
        </a:prstGeom>
        <a:noFill/>
        <a:ln w="9525">
          <a:noFill/>
          <a:miter lim="800000"/>
          <a:headEnd/>
          <a:tailEnd/>
        </a:ln>
      </xdr:spPr>
    </xdr:pic>
    <xdr:clientData fPrintsWithSheet="0"/>
  </xdr:twoCellAnchor>
  <xdr:twoCellAnchor editAs="oneCell">
    <xdr:from>
      <xdr:col>3</xdr:col>
      <xdr:colOff>184150</xdr:colOff>
      <xdr:row>625</xdr:row>
      <xdr:rowOff>0</xdr:rowOff>
    </xdr:from>
    <xdr:to>
      <xdr:col>3</xdr:col>
      <xdr:colOff>336550</xdr:colOff>
      <xdr:row>626</xdr:row>
      <xdr:rowOff>0</xdr:rowOff>
    </xdr:to>
    <xdr:pic macro="[0]!AutoVBA.GotoFirstPeriod">
      <xdr:nvPicPr>
        <xdr:cNvPr id="49" name="FirstColBtn09" descr="firstcol">
          <a:extLst>
            <a:ext uri="{FF2B5EF4-FFF2-40B4-BE49-F238E27FC236}">
              <a16:creationId xmlns:a16="http://schemas.microsoft.com/office/drawing/2014/main" id="{00000000-0008-0000-0100-000031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2565400" y="80648175"/>
          <a:ext cx="152400" cy="142875"/>
        </a:xfrm>
        <a:prstGeom prst="rect">
          <a:avLst/>
        </a:prstGeom>
        <a:noFill/>
        <a:ln w="9525">
          <a:noFill/>
          <a:miter lim="800000"/>
          <a:headEnd/>
          <a:tailEnd/>
        </a:ln>
      </xdr:spPr>
    </xdr:pic>
    <xdr:clientData fPrintsWithSheet="0"/>
  </xdr:twoCellAnchor>
  <xdr:twoCellAnchor editAs="oneCell">
    <xdr:from>
      <xdr:col>3</xdr:col>
      <xdr:colOff>323850</xdr:colOff>
      <xdr:row>707</xdr:row>
      <xdr:rowOff>0</xdr:rowOff>
    </xdr:from>
    <xdr:to>
      <xdr:col>3</xdr:col>
      <xdr:colOff>476250</xdr:colOff>
      <xdr:row>708</xdr:row>
      <xdr:rowOff>0</xdr:rowOff>
    </xdr:to>
    <xdr:pic macro="[0]!AutoVBA.GotoLastPeriod">
      <xdr:nvPicPr>
        <xdr:cNvPr id="50" name="LastColBtn10" descr="lastcol">
          <a:extLst>
            <a:ext uri="{FF2B5EF4-FFF2-40B4-BE49-F238E27FC236}">
              <a16:creationId xmlns:a16="http://schemas.microsoft.com/office/drawing/2014/main" id="{00000000-0008-0000-0100-000032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2705100" y="91287600"/>
          <a:ext cx="152400" cy="142875"/>
        </a:xfrm>
        <a:prstGeom prst="rect">
          <a:avLst/>
        </a:prstGeom>
        <a:noFill/>
        <a:ln w="9525">
          <a:noFill/>
          <a:miter lim="800000"/>
          <a:headEnd/>
          <a:tailEnd/>
        </a:ln>
      </xdr:spPr>
    </xdr:pic>
    <xdr:clientData fPrintsWithSheet="0"/>
  </xdr:twoCellAnchor>
  <xdr:twoCellAnchor editAs="oneCell">
    <xdr:from>
      <xdr:col>3</xdr:col>
      <xdr:colOff>488950</xdr:colOff>
      <xdr:row>707</xdr:row>
      <xdr:rowOff>0</xdr:rowOff>
    </xdr:from>
    <xdr:to>
      <xdr:col>3</xdr:col>
      <xdr:colOff>641350</xdr:colOff>
      <xdr:row>708</xdr:row>
      <xdr:rowOff>0</xdr:rowOff>
    </xdr:to>
    <xdr:pic macro="[0]!ToggleHistoryColumns">
      <xdr:nvPicPr>
        <xdr:cNvPr id="51" name="btnHistory10" descr="historybtn">
          <a:extLst>
            <a:ext uri="{FF2B5EF4-FFF2-40B4-BE49-F238E27FC236}">
              <a16:creationId xmlns:a16="http://schemas.microsoft.com/office/drawing/2014/main" id="{00000000-0008-0000-0100-000033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2870200" y="91287600"/>
          <a:ext cx="152400" cy="142875"/>
        </a:xfrm>
        <a:prstGeom prst="rect">
          <a:avLst/>
        </a:prstGeom>
        <a:noFill/>
        <a:ln w="9525">
          <a:noFill/>
          <a:miter lim="800000"/>
          <a:headEnd/>
          <a:tailEnd/>
        </a:ln>
      </xdr:spPr>
    </xdr:pic>
    <xdr:clientData fPrintsWithSheet="0"/>
  </xdr:twoCellAnchor>
  <xdr:twoCellAnchor editAs="oneCell">
    <xdr:from>
      <xdr:col>3</xdr:col>
      <xdr:colOff>184150</xdr:colOff>
      <xdr:row>707</xdr:row>
      <xdr:rowOff>0</xdr:rowOff>
    </xdr:from>
    <xdr:to>
      <xdr:col>3</xdr:col>
      <xdr:colOff>336550</xdr:colOff>
      <xdr:row>708</xdr:row>
      <xdr:rowOff>0</xdr:rowOff>
    </xdr:to>
    <xdr:pic macro="[0]!AutoVBA.GotoFirstPeriod">
      <xdr:nvPicPr>
        <xdr:cNvPr id="52" name="FirstColBtn10" descr="firstcol">
          <a:extLst>
            <a:ext uri="{FF2B5EF4-FFF2-40B4-BE49-F238E27FC236}">
              <a16:creationId xmlns:a16="http://schemas.microsoft.com/office/drawing/2014/main" id="{00000000-0008-0000-0100-000034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2565400" y="91287600"/>
          <a:ext cx="152400" cy="142875"/>
        </a:xfrm>
        <a:prstGeom prst="rect">
          <a:avLst/>
        </a:prstGeom>
        <a:noFill/>
        <a:ln w="9525">
          <a:noFill/>
          <a:miter lim="800000"/>
          <a:headEnd/>
          <a:tailEnd/>
        </a:ln>
      </xdr:spPr>
    </xdr:pic>
    <xdr:clientData fPrintsWithSheet="0"/>
  </xdr:twoCellAnchor>
  <xdr:twoCellAnchor editAs="oneCell">
    <xdr:from>
      <xdr:col>1</xdr:col>
      <xdr:colOff>0</xdr:colOff>
      <xdr:row>15</xdr:row>
      <xdr:rowOff>0</xdr:rowOff>
    </xdr:from>
    <xdr:to>
      <xdr:col>1</xdr:col>
      <xdr:colOff>152400</xdr:colOff>
      <xdr:row>16</xdr:row>
      <xdr:rowOff>0</xdr:rowOff>
    </xdr:to>
    <xdr:pic macro="[0]!ShowHideRows">
      <xdr:nvPicPr>
        <xdr:cNvPr id="53" name="btnShowHide01" descr="showhidebtn">
          <a:extLst>
            <a:ext uri="{FF2B5EF4-FFF2-40B4-BE49-F238E27FC236}">
              <a16:creationId xmlns:a16="http://schemas.microsoft.com/office/drawing/2014/main" id="{00000000-0008-0000-0100-000035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38100" y="2152650"/>
          <a:ext cx="152400" cy="142875"/>
        </a:xfrm>
        <a:prstGeom prst="rect">
          <a:avLst/>
        </a:prstGeom>
        <a:noFill/>
        <a:ln w="9525">
          <a:noFill/>
          <a:miter lim="800000"/>
          <a:headEnd/>
          <a:tailEnd/>
        </a:ln>
      </xdr:spPr>
    </xdr:pic>
    <xdr:clientData fPrintsWithSheet="0"/>
  </xdr:twoCellAnchor>
  <xdr:twoCellAnchor editAs="oneCell">
    <xdr:from>
      <xdr:col>1</xdr:col>
      <xdr:colOff>0</xdr:colOff>
      <xdr:row>439</xdr:row>
      <xdr:rowOff>0</xdr:rowOff>
    </xdr:from>
    <xdr:to>
      <xdr:col>1</xdr:col>
      <xdr:colOff>152400</xdr:colOff>
      <xdr:row>440</xdr:row>
      <xdr:rowOff>0</xdr:rowOff>
    </xdr:to>
    <xdr:pic macro="[0]!ShowHideProfitRows">
      <xdr:nvPicPr>
        <xdr:cNvPr id="54" name="btnShowHide02" descr="showhidebtn">
          <a:extLst>
            <a:ext uri="{FF2B5EF4-FFF2-40B4-BE49-F238E27FC236}">
              <a16:creationId xmlns:a16="http://schemas.microsoft.com/office/drawing/2014/main" id="{00000000-0008-0000-0100-000036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38100" y="64027050"/>
          <a:ext cx="152400" cy="142875"/>
        </a:xfrm>
        <a:prstGeom prst="rect">
          <a:avLst/>
        </a:prstGeom>
        <a:noFill/>
        <a:ln w="9525">
          <a:noFill/>
          <a:miter lim="800000"/>
          <a:headEnd/>
          <a:tailEnd/>
        </a:ln>
      </xdr:spPr>
    </xdr:pic>
    <xdr:clientData fPrintsWithSheet="0"/>
  </xdr:twoCellAnchor>
  <xdr:twoCellAnchor editAs="oneCell">
    <xdr:from>
      <xdr:col>1</xdr:col>
      <xdr:colOff>0</xdr:colOff>
      <xdr:row>537</xdr:row>
      <xdr:rowOff>0</xdr:rowOff>
    </xdr:from>
    <xdr:to>
      <xdr:col>1</xdr:col>
      <xdr:colOff>152400</xdr:colOff>
      <xdr:row>538</xdr:row>
      <xdr:rowOff>0</xdr:rowOff>
    </xdr:to>
    <xdr:pic macro="[0]!ShowHideProfitRows">
      <xdr:nvPicPr>
        <xdr:cNvPr id="55" name="btnShowHide03" descr="showhidebtn">
          <a:extLst>
            <a:ext uri="{FF2B5EF4-FFF2-40B4-BE49-F238E27FC236}">
              <a16:creationId xmlns:a16="http://schemas.microsoft.com/office/drawing/2014/main" id="{00000000-0008-0000-0100-000037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38100" y="76085700"/>
          <a:ext cx="152400" cy="142875"/>
        </a:xfrm>
        <a:prstGeom prst="rect">
          <a:avLst/>
        </a:prstGeom>
        <a:noFill/>
        <a:ln w="9525">
          <a:noFill/>
          <a:miter lim="800000"/>
          <a:headEnd/>
          <a:tailEnd/>
        </a:ln>
      </xdr:spPr>
    </xdr:pic>
    <xdr:clientData fPrintsWithSheet="0"/>
  </xdr:twoCellAnchor>
  <xdr:twoCellAnchor editAs="oneCell">
    <xdr:from>
      <xdr:col>1</xdr:col>
      <xdr:colOff>0</xdr:colOff>
      <xdr:row>625</xdr:row>
      <xdr:rowOff>0</xdr:rowOff>
    </xdr:from>
    <xdr:to>
      <xdr:col>1</xdr:col>
      <xdr:colOff>152400</xdr:colOff>
      <xdr:row>626</xdr:row>
      <xdr:rowOff>0</xdr:rowOff>
    </xdr:to>
    <xdr:pic macro="[0]!ShowHideProfitRows">
      <xdr:nvPicPr>
        <xdr:cNvPr id="56" name="btnShowHide04" descr="showhidebtn">
          <a:extLst>
            <a:ext uri="{FF2B5EF4-FFF2-40B4-BE49-F238E27FC236}">
              <a16:creationId xmlns:a16="http://schemas.microsoft.com/office/drawing/2014/main" id="{00000000-0008-0000-0100-000038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38100" y="80648175"/>
          <a:ext cx="152400" cy="142875"/>
        </a:xfrm>
        <a:prstGeom prst="rect">
          <a:avLst/>
        </a:prstGeom>
        <a:noFill/>
        <a:ln w="9525">
          <a:noFill/>
          <a:miter lim="800000"/>
          <a:headEnd/>
          <a:tailEnd/>
        </a:ln>
      </xdr:spPr>
    </xdr:pic>
    <xdr:clientData fPrintsWithSheet="0"/>
  </xdr:twoCellAnchor>
  <xdr:twoCellAnchor editAs="oneCell">
    <xdr:from>
      <xdr:col>1</xdr:col>
      <xdr:colOff>0</xdr:colOff>
      <xdr:row>707</xdr:row>
      <xdr:rowOff>0</xdr:rowOff>
    </xdr:from>
    <xdr:to>
      <xdr:col>1</xdr:col>
      <xdr:colOff>152400</xdr:colOff>
      <xdr:row>708</xdr:row>
      <xdr:rowOff>0</xdr:rowOff>
    </xdr:to>
    <xdr:pic macro="[0]!ShowHideProfitRows">
      <xdr:nvPicPr>
        <xdr:cNvPr id="57" name="btnShowHide05" descr="showhidebtn">
          <a:extLst>
            <a:ext uri="{FF2B5EF4-FFF2-40B4-BE49-F238E27FC236}">
              <a16:creationId xmlns:a16="http://schemas.microsoft.com/office/drawing/2014/main" id="{00000000-0008-0000-0100-000039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38100" y="91287600"/>
          <a:ext cx="152400" cy="142875"/>
        </a:xfrm>
        <a:prstGeom prst="rect">
          <a:avLst/>
        </a:prstGeom>
        <a:noFill/>
        <a:ln w="9525">
          <a:noFill/>
          <a:miter lim="800000"/>
          <a:headEnd/>
          <a:tailEnd/>
        </a:ln>
      </xdr:spPr>
    </xdr:pic>
    <xdr:clientData fPrintsWithSheet="0"/>
  </xdr:twoCellAnchor>
  <xdr:twoCellAnchor editAs="oneCell">
    <xdr:from>
      <xdr:col>1</xdr:col>
      <xdr:colOff>12700</xdr:colOff>
      <xdr:row>442</xdr:row>
      <xdr:rowOff>0</xdr:rowOff>
    </xdr:from>
    <xdr:to>
      <xdr:col>2</xdr:col>
      <xdr:colOff>0</xdr:colOff>
      <xdr:row>443</xdr:row>
      <xdr:rowOff>0</xdr:rowOff>
    </xdr:to>
    <xdr:pic macro="[0]!ToggleRowSpec">
      <xdr:nvPicPr>
        <xdr:cNvPr id="58" name="btnRSpec001" descr="rspecB">
          <a:extLst>
            <a:ext uri="{FF2B5EF4-FFF2-40B4-BE49-F238E27FC236}">
              <a16:creationId xmlns:a16="http://schemas.microsoft.com/office/drawing/2014/main" id="{00000000-0008-0000-0100-00003A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64455675"/>
          <a:ext cx="152400" cy="142875"/>
        </a:xfrm>
        <a:prstGeom prst="rect">
          <a:avLst/>
        </a:prstGeom>
        <a:noFill/>
        <a:ln w="9525">
          <a:noFill/>
          <a:miter lim="800000"/>
          <a:headEnd/>
          <a:tailEnd/>
        </a:ln>
      </xdr:spPr>
    </xdr:pic>
    <xdr:clientData fPrintsWithSheet="0"/>
  </xdr:twoCellAnchor>
  <xdr:twoCellAnchor editAs="oneCell">
    <xdr:from>
      <xdr:col>1</xdr:col>
      <xdr:colOff>12700</xdr:colOff>
      <xdr:row>443</xdr:row>
      <xdr:rowOff>0</xdr:rowOff>
    </xdr:from>
    <xdr:to>
      <xdr:col>2</xdr:col>
      <xdr:colOff>0</xdr:colOff>
      <xdr:row>444</xdr:row>
      <xdr:rowOff>0</xdr:rowOff>
    </xdr:to>
    <xdr:pic macro="[0]!ToggleRowSpec">
      <xdr:nvPicPr>
        <xdr:cNvPr id="59" name="btnRSpec002" descr="rspecB">
          <a:extLst>
            <a:ext uri="{FF2B5EF4-FFF2-40B4-BE49-F238E27FC236}">
              <a16:creationId xmlns:a16="http://schemas.microsoft.com/office/drawing/2014/main" id="{00000000-0008-0000-0100-00003B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64598550"/>
          <a:ext cx="152400" cy="142875"/>
        </a:xfrm>
        <a:prstGeom prst="rect">
          <a:avLst/>
        </a:prstGeom>
        <a:noFill/>
        <a:ln w="9525">
          <a:noFill/>
          <a:miter lim="800000"/>
          <a:headEnd/>
          <a:tailEnd/>
        </a:ln>
      </xdr:spPr>
    </xdr:pic>
    <xdr:clientData fPrintsWithSheet="0"/>
  </xdr:twoCellAnchor>
  <xdr:twoCellAnchor editAs="oneCell">
    <xdr:from>
      <xdr:col>1</xdr:col>
      <xdr:colOff>12700</xdr:colOff>
      <xdr:row>444</xdr:row>
      <xdr:rowOff>0</xdr:rowOff>
    </xdr:from>
    <xdr:to>
      <xdr:col>2</xdr:col>
      <xdr:colOff>0</xdr:colOff>
      <xdr:row>445</xdr:row>
      <xdr:rowOff>0</xdr:rowOff>
    </xdr:to>
    <xdr:pic macro="[0]!ToggleRowSpec">
      <xdr:nvPicPr>
        <xdr:cNvPr id="60" name="btnRSpec003" descr="rspecB">
          <a:extLst>
            <a:ext uri="{FF2B5EF4-FFF2-40B4-BE49-F238E27FC236}">
              <a16:creationId xmlns:a16="http://schemas.microsoft.com/office/drawing/2014/main" id="{00000000-0008-0000-0100-00003C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64741425"/>
          <a:ext cx="152400" cy="142875"/>
        </a:xfrm>
        <a:prstGeom prst="rect">
          <a:avLst/>
        </a:prstGeom>
        <a:noFill/>
        <a:ln w="9525">
          <a:noFill/>
          <a:miter lim="800000"/>
          <a:headEnd/>
          <a:tailEnd/>
        </a:ln>
      </xdr:spPr>
    </xdr:pic>
    <xdr:clientData fPrintsWithSheet="0"/>
  </xdr:twoCellAnchor>
  <xdr:twoCellAnchor editAs="oneCell">
    <xdr:from>
      <xdr:col>1</xdr:col>
      <xdr:colOff>12700</xdr:colOff>
      <xdr:row>445</xdr:row>
      <xdr:rowOff>0</xdr:rowOff>
    </xdr:from>
    <xdr:to>
      <xdr:col>2</xdr:col>
      <xdr:colOff>0</xdr:colOff>
      <xdr:row>446</xdr:row>
      <xdr:rowOff>0</xdr:rowOff>
    </xdr:to>
    <xdr:pic macro="[0]!ToggleRowSpec">
      <xdr:nvPicPr>
        <xdr:cNvPr id="61" name="btnRSpec004" descr="rspecB">
          <a:extLst>
            <a:ext uri="{FF2B5EF4-FFF2-40B4-BE49-F238E27FC236}">
              <a16:creationId xmlns:a16="http://schemas.microsoft.com/office/drawing/2014/main" id="{00000000-0008-0000-0100-00003D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64884300"/>
          <a:ext cx="152400" cy="142875"/>
        </a:xfrm>
        <a:prstGeom prst="rect">
          <a:avLst/>
        </a:prstGeom>
        <a:noFill/>
        <a:ln w="9525">
          <a:noFill/>
          <a:miter lim="800000"/>
          <a:headEnd/>
          <a:tailEnd/>
        </a:ln>
      </xdr:spPr>
    </xdr:pic>
    <xdr:clientData fPrintsWithSheet="0"/>
  </xdr:twoCellAnchor>
  <xdr:twoCellAnchor editAs="oneCell">
    <xdr:from>
      <xdr:col>1</xdr:col>
      <xdr:colOff>12700</xdr:colOff>
      <xdr:row>446</xdr:row>
      <xdr:rowOff>0</xdr:rowOff>
    </xdr:from>
    <xdr:to>
      <xdr:col>2</xdr:col>
      <xdr:colOff>0</xdr:colOff>
      <xdr:row>447</xdr:row>
      <xdr:rowOff>0</xdr:rowOff>
    </xdr:to>
    <xdr:pic macro="[0]!ToggleRowSpec">
      <xdr:nvPicPr>
        <xdr:cNvPr id="62" name="btnRSpec005" descr="rspecB">
          <a:extLst>
            <a:ext uri="{FF2B5EF4-FFF2-40B4-BE49-F238E27FC236}">
              <a16:creationId xmlns:a16="http://schemas.microsoft.com/office/drawing/2014/main" id="{00000000-0008-0000-0100-00003E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65027175"/>
          <a:ext cx="152400" cy="142875"/>
        </a:xfrm>
        <a:prstGeom prst="rect">
          <a:avLst/>
        </a:prstGeom>
        <a:noFill/>
        <a:ln w="9525">
          <a:noFill/>
          <a:miter lim="800000"/>
          <a:headEnd/>
          <a:tailEnd/>
        </a:ln>
      </xdr:spPr>
    </xdr:pic>
    <xdr:clientData fPrintsWithSheet="0"/>
  </xdr:twoCellAnchor>
  <xdr:twoCellAnchor editAs="oneCell">
    <xdr:from>
      <xdr:col>1</xdr:col>
      <xdr:colOff>12700</xdr:colOff>
      <xdr:row>454</xdr:row>
      <xdr:rowOff>4763</xdr:rowOff>
    </xdr:from>
    <xdr:to>
      <xdr:col>2</xdr:col>
      <xdr:colOff>0</xdr:colOff>
      <xdr:row>455</xdr:row>
      <xdr:rowOff>4763</xdr:rowOff>
    </xdr:to>
    <xdr:pic macro="[0]!ToggleRowSpec">
      <xdr:nvPicPr>
        <xdr:cNvPr id="63" name="btnRSpec030" descr="rspecB">
          <a:extLst>
            <a:ext uri="{FF2B5EF4-FFF2-40B4-BE49-F238E27FC236}">
              <a16:creationId xmlns:a16="http://schemas.microsoft.com/office/drawing/2014/main" id="{00000000-0008-0000-0100-00003F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37380863"/>
          <a:ext cx="152400" cy="142875"/>
        </a:xfrm>
        <a:prstGeom prst="rect">
          <a:avLst/>
        </a:prstGeom>
        <a:noFill/>
        <a:ln w="9525">
          <a:noFill/>
          <a:miter lim="800000"/>
          <a:headEnd/>
          <a:tailEnd/>
        </a:ln>
      </xdr:spPr>
    </xdr:pic>
    <xdr:clientData fPrintsWithSheet="0"/>
  </xdr:twoCellAnchor>
  <xdr:twoCellAnchor editAs="oneCell">
    <xdr:from>
      <xdr:col>1</xdr:col>
      <xdr:colOff>12700</xdr:colOff>
      <xdr:row>456</xdr:row>
      <xdr:rowOff>0</xdr:rowOff>
    </xdr:from>
    <xdr:to>
      <xdr:col>2</xdr:col>
      <xdr:colOff>0</xdr:colOff>
      <xdr:row>457</xdr:row>
      <xdr:rowOff>0</xdr:rowOff>
    </xdr:to>
    <xdr:pic macro="[0]!ToggleRowSpec">
      <xdr:nvPicPr>
        <xdr:cNvPr id="64" name="btnRSpec006" descr="rspecB">
          <a:extLst>
            <a:ext uri="{FF2B5EF4-FFF2-40B4-BE49-F238E27FC236}">
              <a16:creationId xmlns:a16="http://schemas.microsoft.com/office/drawing/2014/main" id="{00000000-0008-0000-0100-000040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65770125"/>
          <a:ext cx="152400" cy="142875"/>
        </a:xfrm>
        <a:prstGeom prst="rect">
          <a:avLst/>
        </a:prstGeom>
        <a:noFill/>
        <a:ln w="9525">
          <a:noFill/>
          <a:miter lim="800000"/>
          <a:headEnd/>
          <a:tailEnd/>
        </a:ln>
      </xdr:spPr>
    </xdr:pic>
    <xdr:clientData fPrintsWithSheet="0"/>
  </xdr:twoCellAnchor>
  <xdr:twoCellAnchor editAs="oneCell">
    <xdr:from>
      <xdr:col>1</xdr:col>
      <xdr:colOff>12700</xdr:colOff>
      <xdr:row>457</xdr:row>
      <xdr:rowOff>0</xdr:rowOff>
    </xdr:from>
    <xdr:to>
      <xdr:col>2</xdr:col>
      <xdr:colOff>0</xdr:colOff>
      <xdr:row>458</xdr:row>
      <xdr:rowOff>0</xdr:rowOff>
    </xdr:to>
    <xdr:pic macro="[0]!ToggleRowSpec">
      <xdr:nvPicPr>
        <xdr:cNvPr id="65" name="btnRSpec007" descr="rspecB">
          <a:extLst>
            <a:ext uri="{FF2B5EF4-FFF2-40B4-BE49-F238E27FC236}">
              <a16:creationId xmlns:a16="http://schemas.microsoft.com/office/drawing/2014/main" id="{00000000-0008-0000-0100-000041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65913000"/>
          <a:ext cx="152400" cy="142875"/>
        </a:xfrm>
        <a:prstGeom prst="rect">
          <a:avLst/>
        </a:prstGeom>
        <a:noFill/>
        <a:ln w="9525">
          <a:noFill/>
          <a:miter lim="800000"/>
          <a:headEnd/>
          <a:tailEnd/>
        </a:ln>
      </xdr:spPr>
    </xdr:pic>
    <xdr:clientData fPrintsWithSheet="0"/>
  </xdr:twoCellAnchor>
  <xdr:twoCellAnchor editAs="oneCell">
    <xdr:from>
      <xdr:col>1</xdr:col>
      <xdr:colOff>12700</xdr:colOff>
      <xdr:row>458</xdr:row>
      <xdr:rowOff>0</xdr:rowOff>
    </xdr:from>
    <xdr:to>
      <xdr:col>2</xdr:col>
      <xdr:colOff>0</xdr:colOff>
      <xdr:row>459</xdr:row>
      <xdr:rowOff>0</xdr:rowOff>
    </xdr:to>
    <xdr:pic macro="[0]!ToggleRowSpec">
      <xdr:nvPicPr>
        <xdr:cNvPr id="66" name="btnRSpec008" descr="rspecB">
          <a:extLst>
            <a:ext uri="{FF2B5EF4-FFF2-40B4-BE49-F238E27FC236}">
              <a16:creationId xmlns:a16="http://schemas.microsoft.com/office/drawing/2014/main" id="{00000000-0008-0000-0100-000042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66055875"/>
          <a:ext cx="152400" cy="142875"/>
        </a:xfrm>
        <a:prstGeom prst="rect">
          <a:avLst/>
        </a:prstGeom>
        <a:noFill/>
        <a:ln w="9525">
          <a:noFill/>
          <a:miter lim="800000"/>
          <a:headEnd/>
          <a:tailEnd/>
        </a:ln>
      </xdr:spPr>
    </xdr:pic>
    <xdr:clientData fPrintsWithSheet="0"/>
  </xdr:twoCellAnchor>
  <xdr:twoCellAnchor editAs="oneCell">
    <xdr:from>
      <xdr:col>1</xdr:col>
      <xdr:colOff>12700</xdr:colOff>
      <xdr:row>459</xdr:row>
      <xdr:rowOff>0</xdr:rowOff>
    </xdr:from>
    <xdr:to>
      <xdr:col>2</xdr:col>
      <xdr:colOff>0</xdr:colOff>
      <xdr:row>460</xdr:row>
      <xdr:rowOff>0</xdr:rowOff>
    </xdr:to>
    <xdr:pic macro="[0]!ToggleRowSpec">
      <xdr:nvPicPr>
        <xdr:cNvPr id="67" name="btnRSpec009" descr="rspecB">
          <a:extLst>
            <a:ext uri="{FF2B5EF4-FFF2-40B4-BE49-F238E27FC236}">
              <a16:creationId xmlns:a16="http://schemas.microsoft.com/office/drawing/2014/main" id="{00000000-0008-0000-0100-000043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66198750"/>
          <a:ext cx="152400" cy="142875"/>
        </a:xfrm>
        <a:prstGeom prst="rect">
          <a:avLst/>
        </a:prstGeom>
        <a:noFill/>
        <a:ln w="9525">
          <a:noFill/>
          <a:miter lim="800000"/>
          <a:headEnd/>
          <a:tailEnd/>
        </a:ln>
      </xdr:spPr>
    </xdr:pic>
    <xdr:clientData fPrintsWithSheet="0"/>
  </xdr:twoCellAnchor>
  <xdr:twoCellAnchor editAs="oneCell">
    <xdr:from>
      <xdr:col>1</xdr:col>
      <xdr:colOff>12700</xdr:colOff>
      <xdr:row>470</xdr:row>
      <xdr:rowOff>0</xdr:rowOff>
    </xdr:from>
    <xdr:to>
      <xdr:col>2</xdr:col>
      <xdr:colOff>0</xdr:colOff>
      <xdr:row>471</xdr:row>
      <xdr:rowOff>0</xdr:rowOff>
    </xdr:to>
    <xdr:pic macro="[0]!ToggleRowSpec">
      <xdr:nvPicPr>
        <xdr:cNvPr id="68" name="btnRSpec010" descr="rspecB">
          <a:extLst>
            <a:ext uri="{FF2B5EF4-FFF2-40B4-BE49-F238E27FC236}">
              <a16:creationId xmlns:a16="http://schemas.microsoft.com/office/drawing/2014/main" id="{00000000-0008-0000-0100-000044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67198875"/>
          <a:ext cx="152400" cy="142875"/>
        </a:xfrm>
        <a:prstGeom prst="rect">
          <a:avLst/>
        </a:prstGeom>
        <a:noFill/>
        <a:ln w="9525">
          <a:noFill/>
          <a:miter lim="800000"/>
          <a:headEnd/>
          <a:tailEnd/>
        </a:ln>
      </xdr:spPr>
    </xdr:pic>
    <xdr:clientData fPrintsWithSheet="0"/>
  </xdr:twoCellAnchor>
  <xdr:twoCellAnchor editAs="oneCell">
    <xdr:from>
      <xdr:col>1</xdr:col>
      <xdr:colOff>12700</xdr:colOff>
      <xdr:row>471</xdr:row>
      <xdr:rowOff>0</xdr:rowOff>
    </xdr:from>
    <xdr:to>
      <xdr:col>2</xdr:col>
      <xdr:colOff>0</xdr:colOff>
      <xdr:row>472</xdr:row>
      <xdr:rowOff>0</xdr:rowOff>
    </xdr:to>
    <xdr:pic macro="[0]!ToggleRowSpec">
      <xdr:nvPicPr>
        <xdr:cNvPr id="69" name="btnRSpec011" descr="rspecB">
          <a:extLst>
            <a:ext uri="{FF2B5EF4-FFF2-40B4-BE49-F238E27FC236}">
              <a16:creationId xmlns:a16="http://schemas.microsoft.com/office/drawing/2014/main" id="{00000000-0008-0000-0100-000045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67341750"/>
          <a:ext cx="152400" cy="142875"/>
        </a:xfrm>
        <a:prstGeom prst="rect">
          <a:avLst/>
        </a:prstGeom>
        <a:noFill/>
        <a:ln w="9525">
          <a:noFill/>
          <a:miter lim="800000"/>
          <a:headEnd/>
          <a:tailEnd/>
        </a:ln>
      </xdr:spPr>
    </xdr:pic>
    <xdr:clientData fPrintsWithSheet="0"/>
  </xdr:twoCellAnchor>
  <xdr:twoCellAnchor editAs="oneCell">
    <xdr:from>
      <xdr:col>1</xdr:col>
      <xdr:colOff>12700</xdr:colOff>
      <xdr:row>472</xdr:row>
      <xdr:rowOff>0</xdr:rowOff>
    </xdr:from>
    <xdr:to>
      <xdr:col>2</xdr:col>
      <xdr:colOff>0</xdr:colOff>
      <xdr:row>473</xdr:row>
      <xdr:rowOff>0</xdr:rowOff>
    </xdr:to>
    <xdr:pic macro="[0]!ToggleRowSpec">
      <xdr:nvPicPr>
        <xdr:cNvPr id="70" name="btnRSpec012" descr="rspecB">
          <a:extLst>
            <a:ext uri="{FF2B5EF4-FFF2-40B4-BE49-F238E27FC236}">
              <a16:creationId xmlns:a16="http://schemas.microsoft.com/office/drawing/2014/main" id="{00000000-0008-0000-0100-000046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67484625"/>
          <a:ext cx="152400" cy="142875"/>
        </a:xfrm>
        <a:prstGeom prst="rect">
          <a:avLst/>
        </a:prstGeom>
        <a:noFill/>
        <a:ln w="9525">
          <a:noFill/>
          <a:miter lim="800000"/>
          <a:headEnd/>
          <a:tailEnd/>
        </a:ln>
      </xdr:spPr>
    </xdr:pic>
    <xdr:clientData fPrintsWithSheet="0"/>
  </xdr:twoCellAnchor>
  <xdr:twoCellAnchor editAs="oneCell">
    <xdr:from>
      <xdr:col>1</xdr:col>
      <xdr:colOff>12700</xdr:colOff>
      <xdr:row>473</xdr:row>
      <xdr:rowOff>0</xdr:rowOff>
    </xdr:from>
    <xdr:to>
      <xdr:col>2</xdr:col>
      <xdr:colOff>0</xdr:colOff>
      <xdr:row>474</xdr:row>
      <xdr:rowOff>0</xdr:rowOff>
    </xdr:to>
    <xdr:pic macro="[0]!ToggleRowSpec">
      <xdr:nvPicPr>
        <xdr:cNvPr id="71" name="btnRSpec013" descr="rspecB">
          <a:extLst>
            <a:ext uri="{FF2B5EF4-FFF2-40B4-BE49-F238E27FC236}">
              <a16:creationId xmlns:a16="http://schemas.microsoft.com/office/drawing/2014/main" id="{00000000-0008-0000-0100-000047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67627500"/>
          <a:ext cx="152400" cy="142875"/>
        </a:xfrm>
        <a:prstGeom prst="rect">
          <a:avLst/>
        </a:prstGeom>
        <a:noFill/>
        <a:ln w="9525">
          <a:noFill/>
          <a:miter lim="800000"/>
          <a:headEnd/>
          <a:tailEnd/>
        </a:ln>
      </xdr:spPr>
    </xdr:pic>
    <xdr:clientData fPrintsWithSheet="0"/>
  </xdr:twoCellAnchor>
  <xdr:twoCellAnchor editAs="oneCell">
    <xdr:from>
      <xdr:col>1</xdr:col>
      <xdr:colOff>12700</xdr:colOff>
      <xdr:row>474</xdr:row>
      <xdr:rowOff>0</xdr:rowOff>
    </xdr:from>
    <xdr:to>
      <xdr:col>2</xdr:col>
      <xdr:colOff>0</xdr:colOff>
      <xdr:row>475</xdr:row>
      <xdr:rowOff>0</xdr:rowOff>
    </xdr:to>
    <xdr:pic macro="[0]!ToggleRowSpec">
      <xdr:nvPicPr>
        <xdr:cNvPr id="72" name="btnRSpec014" descr="rspecB">
          <a:extLst>
            <a:ext uri="{FF2B5EF4-FFF2-40B4-BE49-F238E27FC236}">
              <a16:creationId xmlns:a16="http://schemas.microsoft.com/office/drawing/2014/main" id="{00000000-0008-0000-0100-000048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67770375"/>
          <a:ext cx="152400" cy="142875"/>
        </a:xfrm>
        <a:prstGeom prst="rect">
          <a:avLst/>
        </a:prstGeom>
        <a:noFill/>
        <a:ln w="9525">
          <a:noFill/>
          <a:miter lim="800000"/>
          <a:headEnd/>
          <a:tailEnd/>
        </a:ln>
      </xdr:spPr>
    </xdr:pic>
    <xdr:clientData fPrintsWithSheet="0"/>
  </xdr:twoCellAnchor>
  <xdr:twoCellAnchor editAs="oneCell">
    <xdr:from>
      <xdr:col>1</xdr:col>
      <xdr:colOff>12700</xdr:colOff>
      <xdr:row>475</xdr:row>
      <xdr:rowOff>0</xdr:rowOff>
    </xdr:from>
    <xdr:to>
      <xdr:col>2</xdr:col>
      <xdr:colOff>0</xdr:colOff>
      <xdr:row>476</xdr:row>
      <xdr:rowOff>0</xdr:rowOff>
    </xdr:to>
    <xdr:pic macro="[0]!ToggleRowSpec">
      <xdr:nvPicPr>
        <xdr:cNvPr id="73" name="btnRSpec015" descr="rspecB">
          <a:extLst>
            <a:ext uri="{FF2B5EF4-FFF2-40B4-BE49-F238E27FC236}">
              <a16:creationId xmlns:a16="http://schemas.microsoft.com/office/drawing/2014/main" id="{00000000-0008-0000-0100-000049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67913250"/>
          <a:ext cx="152400" cy="142875"/>
        </a:xfrm>
        <a:prstGeom prst="rect">
          <a:avLst/>
        </a:prstGeom>
        <a:noFill/>
        <a:ln w="9525">
          <a:noFill/>
          <a:miter lim="800000"/>
          <a:headEnd/>
          <a:tailEnd/>
        </a:ln>
      </xdr:spPr>
    </xdr:pic>
    <xdr:clientData fPrintsWithSheet="0"/>
  </xdr:twoCellAnchor>
  <xdr:twoCellAnchor editAs="oneCell">
    <xdr:from>
      <xdr:col>1</xdr:col>
      <xdr:colOff>12700</xdr:colOff>
      <xdr:row>492</xdr:row>
      <xdr:rowOff>0</xdr:rowOff>
    </xdr:from>
    <xdr:to>
      <xdr:col>2</xdr:col>
      <xdr:colOff>0</xdr:colOff>
      <xdr:row>493</xdr:row>
      <xdr:rowOff>0</xdr:rowOff>
    </xdr:to>
    <xdr:pic macro="[0]!ToggleRowSpec">
      <xdr:nvPicPr>
        <xdr:cNvPr id="74" name="btnRSpec016" descr="rspecB">
          <a:extLst>
            <a:ext uri="{FF2B5EF4-FFF2-40B4-BE49-F238E27FC236}">
              <a16:creationId xmlns:a16="http://schemas.microsoft.com/office/drawing/2014/main" id="{00000000-0008-0000-0100-00004A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69665850"/>
          <a:ext cx="152400" cy="142875"/>
        </a:xfrm>
        <a:prstGeom prst="rect">
          <a:avLst/>
        </a:prstGeom>
        <a:noFill/>
        <a:ln w="9525">
          <a:noFill/>
          <a:miter lim="800000"/>
          <a:headEnd/>
          <a:tailEnd/>
        </a:ln>
      </xdr:spPr>
    </xdr:pic>
    <xdr:clientData fPrintsWithSheet="0"/>
  </xdr:twoCellAnchor>
  <xdr:twoCellAnchor editAs="oneCell">
    <xdr:from>
      <xdr:col>1</xdr:col>
      <xdr:colOff>12700</xdr:colOff>
      <xdr:row>497</xdr:row>
      <xdr:rowOff>0</xdr:rowOff>
    </xdr:from>
    <xdr:to>
      <xdr:col>2</xdr:col>
      <xdr:colOff>0</xdr:colOff>
      <xdr:row>498</xdr:row>
      <xdr:rowOff>0</xdr:rowOff>
    </xdr:to>
    <xdr:pic macro="[0]!ToggleRowSpec">
      <xdr:nvPicPr>
        <xdr:cNvPr id="75" name="btnRSpec000" descr="rspecB">
          <a:extLst>
            <a:ext uri="{FF2B5EF4-FFF2-40B4-BE49-F238E27FC236}">
              <a16:creationId xmlns:a16="http://schemas.microsoft.com/office/drawing/2014/main" id="{00000000-0008-0000-0100-00004B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70380225"/>
          <a:ext cx="152400" cy="142875"/>
        </a:xfrm>
        <a:prstGeom prst="rect">
          <a:avLst/>
        </a:prstGeom>
        <a:noFill/>
        <a:ln w="9525">
          <a:noFill/>
          <a:miter lim="800000"/>
          <a:headEnd/>
          <a:tailEnd/>
        </a:ln>
      </xdr:spPr>
    </xdr:pic>
    <xdr:clientData fPrintsWithSheet="0"/>
  </xdr:twoCellAnchor>
  <xdr:twoCellAnchor editAs="oneCell">
    <xdr:from>
      <xdr:col>1</xdr:col>
      <xdr:colOff>12700</xdr:colOff>
      <xdr:row>493</xdr:row>
      <xdr:rowOff>0</xdr:rowOff>
    </xdr:from>
    <xdr:to>
      <xdr:col>2</xdr:col>
      <xdr:colOff>0</xdr:colOff>
      <xdr:row>494</xdr:row>
      <xdr:rowOff>0</xdr:rowOff>
    </xdr:to>
    <xdr:pic macro="[0]!FinUpdateFigures">
      <xdr:nvPicPr>
        <xdr:cNvPr id="76" name="btnFinUpdate01" descr="huutomerkki">
          <a:extLst>
            <a:ext uri="{FF2B5EF4-FFF2-40B4-BE49-F238E27FC236}">
              <a16:creationId xmlns:a16="http://schemas.microsoft.com/office/drawing/2014/main" id="{00000000-0008-0000-0100-00004C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50800" y="69808725"/>
          <a:ext cx="152400" cy="142875"/>
        </a:xfrm>
        <a:prstGeom prst="rect">
          <a:avLst/>
        </a:prstGeom>
        <a:noFill/>
        <a:ln w="9525">
          <a:noFill/>
          <a:miter lim="800000"/>
          <a:headEnd/>
          <a:tailEnd/>
        </a:ln>
      </xdr:spPr>
    </xdr:pic>
    <xdr:clientData fPrintsWithSheet="0"/>
  </xdr:twoCellAnchor>
  <xdr:twoCellAnchor editAs="oneCell">
    <xdr:from>
      <xdr:col>1</xdr:col>
      <xdr:colOff>12700</xdr:colOff>
      <xdr:row>19</xdr:row>
      <xdr:rowOff>9525</xdr:rowOff>
    </xdr:from>
    <xdr:to>
      <xdr:col>2</xdr:col>
      <xdr:colOff>0</xdr:colOff>
      <xdr:row>28</xdr:row>
      <xdr:rowOff>9525</xdr:rowOff>
    </xdr:to>
    <xdr:pic macro="[0]!ChangeDepr">
      <xdr:nvPicPr>
        <xdr:cNvPr id="77" name="btnInv01" descr="timebtn2b" hidden="1">
          <a:extLst>
            <a:ext uri="{FF2B5EF4-FFF2-40B4-BE49-F238E27FC236}">
              <a16:creationId xmlns:a16="http://schemas.microsoft.com/office/drawing/2014/main" id="{00000000-0008-0000-0100-00004D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2733675"/>
          <a:ext cx="152400" cy="142875"/>
        </a:xfrm>
        <a:prstGeom prst="rect">
          <a:avLst/>
        </a:prstGeom>
        <a:noFill/>
        <a:ln w="9525">
          <a:noFill/>
          <a:miter lim="800000"/>
          <a:headEnd/>
          <a:tailEnd/>
        </a:ln>
      </xdr:spPr>
    </xdr:pic>
    <xdr:clientData fPrintsWithSheet="0"/>
  </xdr:twoCellAnchor>
  <xdr:twoCellAnchor editAs="oneCell">
    <xdr:from>
      <xdr:col>1</xdr:col>
      <xdr:colOff>12700</xdr:colOff>
      <xdr:row>29</xdr:row>
      <xdr:rowOff>9525</xdr:rowOff>
    </xdr:from>
    <xdr:to>
      <xdr:col>2</xdr:col>
      <xdr:colOff>0</xdr:colOff>
      <xdr:row>38</xdr:row>
      <xdr:rowOff>9525</xdr:rowOff>
    </xdr:to>
    <xdr:pic macro="[0]!ChangeDepr">
      <xdr:nvPicPr>
        <xdr:cNvPr id="78" name="btnInv02" descr="timebtn2b" hidden="1">
          <a:extLst>
            <a:ext uri="{FF2B5EF4-FFF2-40B4-BE49-F238E27FC236}">
              <a16:creationId xmlns:a16="http://schemas.microsoft.com/office/drawing/2014/main" id="{00000000-0008-0000-0100-00004E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4162425"/>
          <a:ext cx="152400" cy="142875"/>
        </a:xfrm>
        <a:prstGeom prst="rect">
          <a:avLst/>
        </a:prstGeom>
        <a:noFill/>
        <a:ln w="9525">
          <a:noFill/>
          <a:miter lim="800000"/>
          <a:headEnd/>
          <a:tailEnd/>
        </a:ln>
      </xdr:spPr>
    </xdr:pic>
    <xdr:clientData fPrintsWithSheet="0"/>
  </xdr:twoCellAnchor>
  <xdr:twoCellAnchor editAs="oneCell">
    <xdr:from>
      <xdr:col>1</xdr:col>
      <xdr:colOff>12700</xdr:colOff>
      <xdr:row>39</xdr:row>
      <xdr:rowOff>9525</xdr:rowOff>
    </xdr:from>
    <xdr:to>
      <xdr:col>2</xdr:col>
      <xdr:colOff>0</xdr:colOff>
      <xdr:row>48</xdr:row>
      <xdr:rowOff>9525</xdr:rowOff>
    </xdr:to>
    <xdr:pic macro="[0]!ChangeDepr">
      <xdr:nvPicPr>
        <xdr:cNvPr id="79" name="btnInv03" descr="timebtn2b" hidden="1">
          <a:extLst>
            <a:ext uri="{FF2B5EF4-FFF2-40B4-BE49-F238E27FC236}">
              <a16:creationId xmlns:a16="http://schemas.microsoft.com/office/drawing/2014/main" id="{00000000-0008-0000-0100-00004F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5591175"/>
          <a:ext cx="152400" cy="142875"/>
        </a:xfrm>
        <a:prstGeom prst="rect">
          <a:avLst/>
        </a:prstGeom>
        <a:noFill/>
        <a:ln w="9525">
          <a:noFill/>
          <a:miter lim="800000"/>
          <a:headEnd/>
          <a:tailEnd/>
        </a:ln>
      </xdr:spPr>
    </xdr:pic>
    <xdr:clientData fPrintsWithSheet="0"/>
  </xdr:twoCellAnchor>
  <xdr:twoCellAnchor editAs="oneCell">
    <xdr:from>
      <xdr:col>1</xdr:col>
      <xdr:colOff>12700</xdr:colOff>
      <xdr:row>49</xdr:row>
      <xdr:rowOff>9525</xdr:rowOff>
    </xdr:from>
    <xdr:to>
      <xdr:col>2</xdr:col>
      <xdr:colOff>0</xdr:colOff>
      <xdr:row>58</xdr:row>
      <xdr:rowOff>9525</xdr:rowOff>
    </xdr:to>
    <xdr:pic macro="[0]!ChangeDepr">
      <xdr:nvPicPr>
        <xdr:cNvPr id="80" name="btnInv04" descr="timebtn2b" hidden="1">
          <a:extLst>
            <a:ext uri="{FF2B5EF4-FFF2-40B4-BE49-F238E27FC236}">
              <a16:creationId xmlns:a16="http://schemas.microsoft.com/office/drawing/2014/main" id="{00000000-0008-0000-0100-000050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7019925"/>
          <a:ext cx="152400" cy="142875"/>
        </a:xfrm>
        <a:prstGeom prst="rect">
          <a:avLst/>
        </a:prstGeom>
        <a:noFill/>
        <a:ln w="9525">
          <a:noFill/>
          <a:miter lim="800000"/>
          <a:headEnd/>
          <a:tailEnd/>
        </a:ln>
      </xdr:spPr>
    </xdr:pic>
    <xdr:clientData fPrintsWithSheet="0"/>
  </xdr:twoCellAnchor>
  <xdr:twoCellAnchor editAs="oneCell">
    <xdr:from>
      <xdr:col>1</xdr:col>
      <xdr:colOff>12700</xdr:colOff>
      <xdr:row>59</xdr:row>
      <xdr:rowOff>9525</xdr:rowOff>
    </xdr:from>
    <xdr:to>
      <xdr:col>2</xdr:col>
      <xdr:colOff>0</xdr:colOff>
      <xdr:row>68</xdr:row>
      <xdr:rowOff>9525</xdr:rowOff>
    </xdr:to>
    <xdr:pic macro="[0]!ChangeDepr">
      <xdr:nvPicPr>
        <xdr:cNvPr id="81" name="btnInv05" descr="timebtn2b" hidden="1">
          <a:extLst>
            <a:ext uri="{FF2B5EF4-FFF2-40B4-BE49-F238E27FC236}">
              <a16:creationId xmlns:a16="http://schemas.microsoft.com/office/drawing/2014/main" id="{00000000-0008-0000-0100-000051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8448675"/>
          <a:ext cx="152400" cy="142875"/>
        </a:xfrm>
        <a:prstGeom prst="rect">
          <a:avLst/>
        </a:prstGeom>
        <a:noFill/>
        <a:ln w="9525">
          <a:noFill/>
          <a:miter lim="800000"/>
          <a:headEnd/>
          <a:tailEnd/>
        </a:ln>
      </xdr:spPr>
    </xdr:pic>
    <xdr:clientData fPrintsWithSheet="0"/>
  </xdr:twoCellAnchor>
  <xdr:twoCellAnchor editAs="oneCell">
    <xdr:from>
      <xdr:col>1</xdr:col>
      <xdr:colOff>12700</xdr:colOff>
      <xdr:row>69</xdr:row>
      <xdr:rowOff>9525</xdr:rowOff>
    </xdr:from>
    <xdr:to>
      <xdr:col>2</xdr:col>
      <xdr:colOff>0</xdr:colOff>
      <xdr:row>78</xdr:row>
      <xdr:rowOff>9525</xdr:rowOff>
    </xdr:to>
    <xdr:pic macro="[0]!ChangeDepr">
      <xdr:nvPicPr>
        <xdr:cNvPr id="82" name="btnInv06" descr="timebtn2b" hidden="1">
          <a:extLst>
            <a:ext uri="{FF2B5EF4-FFF2-40B4-BE49-F238E27FC236}">
              <a16:creationId xmlns:a16="http://schemas.microsoft.com/office/drawing/2014/main" id="{00000000-0008-0000-0100-000052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9877425"/>
          <a:ext cx="152400" cy="142875"/>
        </a:xfrm>
        <a:prstGeom prst="rect">
          <a:avLst/>
        </a:prstGeom>
        <a:noFill/>
        <a:ln w="9525">
          <a:noFill/>
          <a:miter lim="800000"/>
          <a:headEnd/>
          <a:tailEnd/>
        </a:ln>
      </xdr:spPr>
    </xdr:pic>
    <xdr:clientData fPrintsWithSheet="0"/>
  </xdr:twoCellAnchor>
  <xdr:twoCellAnchor editAs="oneCell">
    <xdr:from>
      <xdr:col>1</xdr:col>
      <xdr:colOff>12700</xdr:colOff>
      <xdr:row>79</xdr:row>
      <xdr:rowOff>9525</xdr:rowOff>
    </xdr:from>
    <xdr:to>
      <xdr:col>2</xdr:col>
      <xdr:colOff>0</xdr:colOff>
      <xdr:row>88</xdr:row>
      <xdr:rowOff>9525</xdr:rowOff>
    </xdr:to>
    <xdr:pic macro="[0]!ChangeDepr">
      <xdr:nvPicPr>
        <xdr:cNvPr id="83" name="btnInv07" descr="timebtn2b" hidden="1">
          <a:extLst>
            <a:ext uri="{FF2B5EF4-FFF2-40B4-BE49-F238E27FC236}">
              <a16:creationId xmlns:a16="http://schemas.microsoft.com/office/drawing/2014/main" id="{00000000-0008-0000-0100-000053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11306175"/>
          <a:ext cx="152400" cy="142875"/>
        </a:xfrm>
        <a:prstGeom prst="rect">
          <a:avLst/>
        </a:prstGeom>
        <a:noFill/>
        <a:ln w="9525">
          <a:noFill/>
          <a:miter lim="800000"/>
          <a:headEnd/>
          <a:tailEnd/>
        </a:ln>
      </xdr:spPr>
    </xdr:pic>
    <xdr:clientData fPrintsWithSheet="0"/>
  </xdr:twoCellAnchor>
  <xdr:twoCellAnchor editAs="oneCell">
    <xdr:from>
      <xdr:col>1</xdr:col>
      <xdr:colOff>12700</xdr:colOff>
      <xdr:row>89</xdr:row>
      <xdr:rowOff>9525</xdr:rowOff>
    </xdr:from>
    <xdr:to>
      <xdr:col>2</xdr:col>
      <xdr:colOff>0</xdr:colOff>
      <xdr:row>98</xdr:row>
      <xdr:rowOff>9525</xdr:rowOff>
    </xdr:to>
    <xdr:pic macro="[0]!ChangeDepr">
      <xdr:nvPicPr>
        <xdr:cNvPr id="84" name="btnInv08" descr="timebtn2b" hidden="1">
          <a:extLst>
            <a:ext uri="{FF2B5EF4-FFF2-40B4-BE49-F238E27FC236}">
              <a16:creationId xmlns:a16="http://schemas.microsoft.com/office/drawing/2014/main" id="{00000000-0008-0000-0100-000054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12734925"/>
          <a:ext cx="152400" cy="142875"/>
        </a:xfrm>
        <a:prstGeom prst="rect">
          <a:avLst/>
        </a:prstGeom>
        <a:noFill/>
        <a:ln w="9525">
          <a:noFill/>
          <a:miter lim="800000"/>
          <a:headEnd/>
          <a:tailEnd/>
        </a:ln>
      </xdr:spPr>
    </xdr:pic>
    <xdr:clientData fPrintsWithSheet="0"/>
  </xdr:twoCellAnchor>
  <xdr:twoCellAnchor editAs="oneCell">
    <xdr:from>
      <xdr:col>3</xdr:col>
      <xdr:colOff>488950</xdr:colOff>
      <xdr:row>509</xdr:row>
      <xdr:rowOff>9525</xdr:rowOff>
    </xdr:from>
    <xdr:to>
      <xdr:col>3</xdr:col>
      <xdr:colOff>641350</xdr:colOff>
      <xdr:row>510</xdr:row>
      <xdr:rowOff>9525</xdr:rowOff>
    </xdr:to>
    <xdr:pic macro="[0]!Ratios">
      <xdr:nvPicPr>
        <xdr:cNvPr id="85" name="btnRatios" descr="timebtn2b">
          <a:extLst>
            <a:ext uri="{FF2B5EF4-FFF2-40B4-BE49-F238E27FC236}">
              <a16:creationId xmlns:a16="http://schemas.microsoft.com/office/drawing/2014/main" id="{00000000-0008-0000-0100-000055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2870200" y="72104250"/>
          <a:ext cx="152400" cy="142875"/>
        </a:xfrm>
        <a:prstGeom prst="rect">
          <a:avLst/>
        </a:prstGeom>
        <a:noFill/>
        <a:ln w="9525">
          <a:noFill/>
          <a:miter lim="800000"/>
          <a:headEnd/>
          <a:tailEnd/>
        </a:ln>
      </xdr:spPr>
    </xdr:pic>
    <xdr:clientData fPrintsWithSheet="0"/>
  </xdr:twoCellAnchor>
  <xdr:twoCellAnchor editAs="oneCell">
    <xdr:from>
      <xdr:col>1</xdr:col>
      <xdr:colOff>152400</xdr:colOff>
      <xdr:row>625</xdr:row>
      <xdr:rowOff>0</xdr:rowOff>
    </xdr:from>
    <xdr:to>
      <xdr:col>2</xdr:col>
      <xdr:colOff>142875</xdr:colOff>
      <xdr:row>626</xdr:row>
      <xdr:rowOff>0</xdr:rowOff>
    </xdr:to>
    <xdr:pic macro="[0]!ToggleAllDetail">
      <xdr:nvPicPr>
        <xdr:cNvPr id="86" name="btnCFDetail" descr="rspec2">
          <a:extLst>
            <a:ext uri="{FF2B5EF4-FFF2-40B4-BE49-F238E27FC236}">
              <a16:creationId xmlns:a16="http://schemas.microsoft.com/office/drawing/2014/main" id="{00000000-0008-0000-0100-00005600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190500" y="80648175"/>
          <a:ext cx="152400" cy="142875"/>
        </a:xfrm>
        <a:prstGeom prst="rect">
          <a:avLst/>
        </a:prstGeom>
        <a:noFill/>
        <a:ln w="9525">
          <a:noFill/>
          <a:miter lim="800000"/>
          <a:headEnd/>
          <a:tailEnd/>
        </a:ln>
      </xdr:spPr>
    </xdr:pic>
    <xdr:clientData fPrintsWithSheet="0"/>
  </xdr:twoCellAnchor>
  <xdr:twoCellAnchor editAs="oneCell">
    <xdr:from>
      <xdr:col>1</xdr:col>
      <xdr:colOff>12700</xdr:colOff>
      <xdr:row>683</xdr:row>
      <xdr:rowOff>9525</xdr:rowOff>
    </xdr:from>
    <xdr:to>
      <xdr:col>2</xdr:col>
      <xdr:colOff>0</xdr:colOff>
      <xdr:row>684</xdr:row>
      <xdr:rowOff>0</xdr:rowOff>
    </xdr:to>
    <xdr:pic macro="[0]!ToggleRowSpecBal">
      <xdr:nvPicPr>
        <xdr:cNvPr id="87" name="btnRSpec021" descr="rspec2b">
          <a:extLst>
            <a:ext uri="{FF2B5EF4-FFF2-40B4-BE49-F238E27FC236}">
              <a16:creationId xmlns:a16="http://schemas.microsoft.com/office/drawing/2014/main" id="{00000000-0008-0000-0100-00005700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50800" y="87810975"/>
          <a:ext cx="152400" cy="142875"/>
        </a:xfrm>
        <a:prstGeom prst="rect">
          <a:avLst/>
        </a:prstGeom>
        <a:noFill/>
        <a:ln w="9525">
          <a:noFill/>
          <a:miter lim="800000"/>
          <a:headEnd/>
          <a:tailEnd/>
        </a:ln>
      </xdr:spPr>
    </xdr:pic>
    <xdr:clientData fPrintsWithSheet="0"/>
  </xdr:twoCellAnchor>
  <xdr:twoCellAnchor editAs="oneCell">
    <xdr:from>
      <xdr:col>1</xdr:col>
      <xdr:colOff>12700</xdr:colOff>
      <xdr:row>695</xdr:row>
      <xdr:rowOff>9525</xdr:rowOff>
    </xdr:from>
    <xdr:to>
      <xdr:col>2</xdr:col>
      <xdr:colOff>0</xdr:colOff>
      <xdr:row>696</xdr:row>
      <xdr:rowOff>0</xdr:rowOff>
    </xdr:to>
    <xdr:pic macro="[0]!ToggleRowSpecBal">
      <xdr:nvPicPr>
        <xdr:cNvPr id="88" name="btnRSpec022" descr="rspec2b">
          <a:extLst>
            <a:ext uri="{FF2B5EF4-FFF2-40B4-BE49-F238E27FC236}">
              <a16:creationId xmlns:a16="http://schemas.microsoft.com/office/drawing/2014/main" id="{00000000-0008-0000-0100-00005800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50800" y="89487375"/>
          <a:ext cx="152400" cy="149225"/>
        </a:xfrm>
        <a:prstGeom prst="rect">
          <a:avLst/>
        </a:prstGeom>
        <a:noFill/>
        <a:ln w="9525">
          <a:noFill/>
          <a:miter lim="800000"/>
          <a:headEnd/>
          <a:tailEnd/>
        </a:ln>
      </xdr:spPr>
    </xdr:pic>
    <xdr:clientData fPrintsWithSheet="0"/>
  </xdr:twoCellAnchor>
  <xdr:twoCellAnchor editAs="oneCell">
    <xdr:from>
      <xdr:col>1</xdr:col>
      <xdr:colOff>152400</xdr:colOff>
      <xdr:row>707</xdr:row>
      <xdr:rowOff>0</xdr:rowOff>
    </xdr:from>
    <xdr:to>
      <xdr:col>2</xdr:col>
      <xdr:colOff>142875</xdr:colOff>
      <xdr:row>708</xdr:row>
      <xdr:rowOff>0</xdr:rowOff>
    </xdr:to>
    <xdr:pic macro="[0]!ToggleAllDetail">
      <xdr:nvPicPr>
        <xdr:cNvPr id="89" name="btnBalDetail" descr="rspec2">
          <a:extLst>
            <a:ext uri="{FF2B5EF4-FFF2-40B4-BE49-F238E27FC236}">
              <a16:creationId xmlns:a16="http://schemas.microsoft.com/office/drawing/2014/main" id="{00000000-0008-0000-0100-00005900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190500" y="91287600"/>
          <a:ext cx="152400" cy="142875"/>
        </a:xfrm>
        <a:prstGeom prst="rect">
          <a:avLst/>
        </a:prstGeom>
        <a:noFill/>
        <a:ln w="9525">
          <a:noFill/>
          <a:miter lim="800000"/>
          <a:headEnd/>
          <a:tailEnd/>
        </a:ln>
      </xdr:spPr>
    </xdr:pic>
    <xdr:clientData fPrintsWithSheet="0"/>
  </xdr:twoCellAnchor>
  <xdr:twoCellAnchor editAs="oneCell">
    <xdr:from>
      <xdr:col>1</xdr:col>
      <xdr:colOff>12700</xdr:colOff>
      <xdr:row>711</xdr:row>
      <xdr:rowOff>28575</xdr:rowOff>
    </xdr:from>
    <xdr:to>
      <xdr:col>2</xdr:col>
      <xdr:colOff>0</xdr:colOff>
      <xdr:row>712</xdr:row>
      <xdr:rowOff>0</xdr:rowOff>
    </xdr:to>
    <xdr:pic macro="[0]!ToggleRowSpecBal">
      <xdr:nvPicPr>
        <xdr:cNvPr id="90" name="btnRSpec018" descr="rspec2b">
          <a:extLst>
            <a:ext uri="{FF2B5EF4-FFF2-40B4-BE49-F238E27FC236}">
              <a16:creationId xmlns:a16="http://schemas.microsoft.com/office/drawing/2014/main" id="{00000000-0008-0000-0100-00005A00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50800" y="91925775"/>
          <a:ext cx="152400" cy="136525"/>
        </a:xfrm>
        <a:prstGeom prst="rect">
          <a:avLst/>
        </a:prstGeom>
        <a:noFill/>
        <a:ln w="9525">
          <a:noFill/>
          <a:miter lim="800000"/>
          <a:headEnd/>
          <a:tailEnd/>
        </a:ln>
      </xdr:spPr>
    </xdr:pic>
    <xdr:clientData fPrintsWithSheet="0"/>
  </xdr:twoCellAnchor>
  <xdr:twoCellAnchor editAs="oneCell">
    <xdr:from>
      <xdr:col>1</xdr:col>
      <xdr:colOff>12700</xdr:colOff>
      <xdr:row>728</xdr:row>
      <xdr:rowOff>19050</xdr:rowOff>
    </xdr:from>
    <xdr:to>
      <xdr:col>2</xdr:col>
      <xdr:colOff>0</xdr:colOff>
      <xdr:row>729</xdr:row>
      <xdr:rowOff>0</xdr:rowOff>
    </xdr:to>
    <xdr:pic macro="[0]!ToggleRowSpecBal">
      <xdr:nvPicPr>
        <xdr:cNvPr id="91" name="btnRSpec019" descr="rspec2b">
          <a:extLst>
            <a:ext uri="{FF2B5EF4-FFF2-40B4-BE49-F238E27FC236}">
              <a16:creationId xmlns:a16="http://schemas.microsoft.com/office/drawing/2014/main" id="{00000000-0008-0000-0100-00005B00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50800" y="94821375"/>
          <a:ext cx="152400" cy="142875"/>
        </a:xfrm>
        <a:prstGeom prst="rect">
          <a:avLst/>
        </a:prstGeom>
        <a:noFill/>
        <a:ln w="9525">
          <a:noFill/>
          <a:miter lim="800000"/>
          <a:headEnd/>
          <a:tailEnd/>
        </a:ln>
      </xdr:spPr>
    </xdr:pic>
    <xdr:clientData fPrintsWithSheet="0"/>
  </xdr:twoCellAnchor>
  <xdr:twoCellAnchor editAs="oneCell">
    <xdr:from>
      <xdr:col>1</xdr:col>
      <xdr:colOff>12700</xdr:colOff>
      <xdr:row>749</xdr:row>
      <xdr:rowOff>9525</xdr:rowOff>
    </xdr:from>
    <xdr:to>
      <xdr:col>2</xdr:col>
      <xdr:colOff>0</xdr:colOff>
      <xdr:row>749</xdr:row>
      <xdr:rowOff>158750</xdr:rowOff>
    </xdr:to>
    <xdr:pic macro="[0]!ToggleRowSpecBal">
      <xdr:nvPicPr>
        <xdr:cNvPr id="92" name="btnRSpec020" descr="rspec2b">
          <a:extLst>
            <a:ext uri="{FF2B5EF4-FFF2-40B4-BE49-F238E27FC236}">
              <a16:creationId xmlns:a16="http://schemas.microsoft.com/office/drawing/2014/main" id="{00000000-0008-0000-0100-00005C00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50800" y="98450400"/>
          <a:ext cx="152400" cy="149225"/>
        </a:xfrm>
        <a:prstGeom prst="rect">
          <a:avLst/>
        </a:prstGeom>
        <a:noFill/>
        <a:ln w="9525">
          <a:noFill/>
          <a:miter lim="800000"/>
          <a:headEnd/>
          <a:tailEnd/>
        </a:ln>
      </xdr:spPr>
    </xdr:pic>
    <xdr:clientData fPrintsWithSheet="0"/>
  </xdr:twoCellAnchor>
  <xdr:twoCellAnchor editAs="oneCell">
    <xdr:from>
      <xdr:col>1</xdr:col>
      <xdr:colOff>12700</xdr:colOff>
      <xdr:row>804</xdr:row>
      <xdr:rowOff>28575</xdr:rowOff>
    </xdr:from>
    <xdr:to>
      <xdr:col>2</xdr:col>
      <xdr:colOff>0</xdr:colOff>
      <xdr:row>805</xdr:row>
      <xdr:rowOff>0</xdr:rowOff>
    </xdr:to>
    <xdr:pic macro="[0]!ToggleRowSpecBal">
      <xdr:nvPicPr>
        <xdr:cNvPr id="93" name="btnRSpec026" descr="rspec2b">
          <a:extLst>
            <a:ext uri="{FF2B5EF4-FFF2-40B4-BE49-F238E27FC236}">
              <a16:creationId xmlns:a16="http://schemas.microsoft.com/office/drawing/2014/main" id="{00000000-0008-0000-0100-00005D00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50800" y="107137200"/>
          <a:ext cx="152400" cy="139700"/>
        </a:xfrm>
        <a:prstGeom prst="rect">
          <a:avLst/>
        </a:prstGeom>
        <a:noFill/>
        <a:ln w="9525">
          <a:noFill/>
          <a:miter lim="800000"/>
          <a:headEnd/>
          <a:tailEnd/>
        </a:ln>
      </xdr:spPr>
    </xdr:pic>
    <xdr:clientData fPrintsWithSheet="0"/>
  </xdr:twoCellAnchor>
  <xdr:twoCellAnchor editAs="oneCell">
    <xdr:from>
      <xdr:col>1</xdr:col>
      <xdr:colOff>12700</xdr:colOff>
      <xdr:row>810</xdr:row>
      <xdr:rowOff>19050</xdr:rowOff>
    </xdr:from>
    <xdr:to>
      <xdr:col>2</xdr:col>
      <xdr:colOff>0</xdr:colOff>
      <xdr:row>811</xdr:row>
      <xdr:rowOff>0</xdr:rowOff>
    </xdr:to>
    <xdr:pic macro="[0]!ToggleRowSpecBal">
      <xdr:nvPicPr>
        <xdr:cNvPr id="94" name="btnRSpec027" descr="rspec2b">
          <a:extLst>
            <a:ext uri="{FF2B5EF4-FFF2-40B4-BE49-F238E27FC236}">
              <a16:creationId xmlns:a16="http://schemas.microsoft.com/office/drawing/2014/main" id="{00000000-0008-0000-0100-00005E00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50800" y="107937300"/>
          <a:ext cx="152400" cy="142875"/>
        </a:xfrm>
        <a:prstGeom prst="rect">
          <a:avLst/>
        </a:prstGeom>
        <a:noFill/>
        <a:ln w="9525">
          <a:noFill/>
          <a:miter lim="800000"/>
          <a:headEnd/>
          <a:tailEnd/>
        </a:ln>
      </xdr:spPr>
    </xdr:pic>
    <xdr:clientData fPrintsWithSheet="0"/>
  </xdr:twoCellAnchor>
  <xdr:twoCellAnchor editAs="oneCell">
    <xdr:from>
      <xdr:col>2</xdr:col>
      <xdr:colOff>3175</xdr:colOff>
      <xdr:row>685</xdr:row>
      <xdr:rowOff>19050</xdr:rowOff>
    </xdr:from>
    <xdr:to>
      <xdr:col>2</xdr:col>
      <xdr:colOff>155575</xdr:colOff>
      <xdr:row>690</xdr:row>
      <xdr:rowOff>142875</xdr:rowOff>
    </xdr:to>
    <xdr:pic macro="[0]!ToggleRowSpec">
      <xdr:nvPicPr>
        <xdr:cNvPr id="95" name="btnRSpec017" descr="rspecB" hidden="1">
          <a:extLst>
            <a:ext uri="{FF2B5EF4-FFF2-40B4-BE49-F238E27FC236}">
              <a16:creationId xmlns:a16="http://schemas.microsoft.com/office/drawing/2014/main" id="{00000000-0008-0000-0100-00005F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203200" y="88125300"/>
          <a:ext cx="152400" cy="142875"/>
        </a:xfrm>
        <a:prstGeom prst="rect">
          <a:avLst/>
        </a:prstGeom>
        <a:noFill/>
        <a:ln w="9525">
          <a:noFill/>
          <a:miter lim="800000"/>
          <a:headEnd/>
          <a:tailEnd/>
        </a:ln>
      </xdr:spPr>
    </xdr:pic>
    <xdr:clientData fPrintsWithSheet="0"/>
  </xdr:twoCellAnchor>
  <xdr:twoCellAnchor editAs="oneCell">
    <xdr:from>
      <xdr:col>2</xdr:col>
      <xdr:colOff>3175</xdr:colOff>
      <xdr:row>686</xdr:row>
      <xdr:rowOff>9525</xdr:rowOff>
    </xdr:from>
    <xdr:to>
      <xdr:col>2</xdr:col>
      <xdr:colOff>155575</xdr:colOff>
      <xdr:row>690</xdr:row>
      <xdr:rowOff>142875</xdr:rowOff>
    </xdr:to>
    <xdr:pic macro="[0]!FinUpdateFigures">
      <xdr:nvPicPr>
        <xdr:cNvPr id="96" name="btnFinUpdate02" descr="huutomerkki" hidden="1">
          <a:extLst>
            <a:ext uri="{FF2B5EF4-FFF2-40B4-BE49-F238E27FC236}">
              <a16:creationId xmlns:a16="http://schemas.microsoft.com/office/drawing/2014/main" id="{00000000-0008-0000-0100-000060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203200" y="88268175"/>
          <a:ext cx="152400" cy="142875"/>
        </a:xfrm>
        <a:prstGeom prst="rect">
          <a:avLst/>
        </a:prstGeom>
        <a:noFill/>
        <a:ln w="9525">
          <a:noFill/>
          <a:miter lim="800000"/>
          <a:headEnd/>
          <a:tailEnd/>
        </a:ln>
      </xdr:spPr>
    </xdr:pic>
    <xdr:clientData fPrintsWithSheet="0"/>
  </xdr:twoCellAnchor>
  <xdr:twoCellAnchor editAs="oneCell">
    <xdr:from>
      <xdr:col>3</xdr:col>
      <xdr:colOff>488950</xdr:colOff>
      <xdr:row>424</xdr:row>
      <xdr:rowOff>0</xdr:rowOff>
    </xdr:from>
    <xdr:to>
      <xdr:col>3</xdr:col>
      <xdr:colOff>641350</xdr:colOff>
      <xdr:row>436</xdr:row>
      <xdr:rowOff>98425</xdr:rowOff>
    </xdr:to>
    <xdr:pic macro="[0]!GoodwillDetails">
      <xdr:nvPicPr>
        <xdr:cNvPr id="97" name="btnGW" descr="timebtn2b" hidden="1">
          <a:extLst>
            <a:ext uri="{FF2B5EF4-FFF2-40B4-BE49-F238E27FC236}">
              <a16:creationId xmlns:a16="http://schemas.microsoft.com/office/drawing/2014/main" id="{00000000-0008-0000-0100-000061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2870200" y="61798200"/>
          <a:ext cx="152400" cy="146050"/>
        </a:xfrm>
        <a:prstGeom prst="rect">
          <a:avLst/>
        </a:prstGeom>
        <a:noFill/>
        <a:ln w="9525">
          <a:noFill/>
          <a:miter lim="800000"/>
          <a:headEnd/>
          <a:tailEnd/>
        </a:ln>
      </xdr:spPr>
    </xdr:pic>
    <xdr:clientData fPrintsWithSheet="0"/>
  </xdr:twoCellAnchor>
  <xdr:twoCellAnchor editAs="oneCell">
    <xdr:from>
      <xdr:col>3</xdr:col>
      <xdr:colOff>488950</xdr:colOff>
      <xdr:row>429</xdr:row>
      <xdr:rowOff>9525</xdr:rowOff>
    </xdr:from>
    <xdr:to>
      <xdr:col>3</xdr:col>
      <xdr:colOff>641350</xdr:colOff>
      <xdr:row>436</xdr:row>
      <xdr:rowOff>98425</xdr:rowOff>
    </xdr:to>
    <xdr:pic macro="[0]!GroupLoan">
      <xdr:nvPicPr>
        <xdr:cNvPr id="98" name="btnAcqDebt" descr="timebtn2b" hidden="1">
          <a:extLst>
            <a:ext uri="{FF2B5EF4-FFF2-40B4-BE49-F238E27FC236}">
              <a16:creationId xmlns:a16="http://schemas.microsoft.com/office/drawing/2014/main" id="{00000000-0008-0000-0100-000062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2870200" y="62569725"/>
          <a:ext cx="152400" cy="146050"/>
        </a:xfrm>
        <a:prstGeom prst="rect">
          <a:avLst/>
        </a:prstGeom>
        <a:noFill/>
        <a:ln w="9525">
          <a:noFill/>
          <a:miter lim="800000"/>
          <a:headEnd/>
          <a:tailEnd/>
        </a:ln>
      </xdr:spPr>
    </xdr:pic>
    <xdr:clientData fPrintsWithSheet="0"/>
  </xdr:twoCellAnchor>
  <xdr:twoCellAnchor editAs="oneCell">
    <xdr:from>
      <xdr:col>1</xdr:col>
      <xdr:colOff>12700</xdr:colOff>
      <xdr:row>99</xdr:row>
      <xdr:rowOff>9525</xdr:rowOff>
    </xdr:from>
    <xdr:to>
      <xdr:col>2</xdr:col>
      <xdr:colOff>0</xdr:colOff>
      <xdr:row>108</xdr:row>
      <xdr:rowOff>15875</xdr:rowOff>
    </xdr:to>
    <xdr:pic macro="[0]!ChangeDepr">
      <xdr:nvPicPr>
        <xdr:cNvPr id="99" name="btnInv09" descr="timebtn2b" hidden="1">
          <a:extLst>
            <a:ext uri="{FF2B5EF4-FFF2-40B4-BE49-F238E27FC236}">
              <a16:creationId xmlns:a16="http://schemas.microsoft.com/office/drawing/2014/main" id="{00000000-0008-0000-0100-000063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14163675"/>
          <a:ext cx="152400" cy="149225"/>
        </a:xfrm>
        <a:prstGeom prst="rect">
          <a:avLst/>
        </a:prstGeom>
        <a:noFill/>
        <a:ln w="9525">
          <a:noFill/>
          <a:miter lim="800000"/>
          <a:headEnd/>
          <a:tailEnd/>
        </a:ln>
      </xdr:spPr>
    </xdr:pic>
    <xdr:clientData fPrintsWithSheet="0"/>
  </xdr:twoCellAnchor>
  <xdr:twoCellAnchor editAs="oneCell">
    <xdr:from>
      <xdr:col>1</xdr:col>
      <xdr:colOff>12700</xdr:colOff>
      <xdr:row>109</xdr:row>
      <xdr:rowOff>9525</xdr:rowOff>
    </xdr:from>
    <xdr:to>
      <xdr:col>2</xdr:col>
      <xdr:colOff>0</xdr:colOff>
      <xdr:row>118</xdr:row>
      <xdr:rowOff>15875</xdr:rowOff>
    </xdr:to>
    <xdr:pic macro="[0]!ChangeDepr">
      <xdr:nvPicPr>
        <xdr:cNvPr id="100" name="btnInv10" descr="timebtn2b" hidden="1">
          <a:extLst>
            <a:ext uri="{FF2B5EF4-FFF2-40B4-BE49-F238E27FC236}">
              <a16:creationId xmlns:a16="http://schemas.microsoft.com/office/drawing/2014/main" id="{00000000-0008-0000-0100-000064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15592425"/>
          <a:ext cx="152400" cy="149225"/>
        </a:xfrm>
        <a:prstGeom prst="rect">
          <a:avLst/>
        </a:prstGeom>
        <a:noFill/>
        <a:ln w="9525">
          <a:noFill/>
          <a:miter lim="800000"/>
          <a:headEnd/>
          <a:tailEnd/>
        </a:ln>
      </xdr:spPr>
    </xdr:pic>
    <xdr:clientData fPrintsWithSheet="0"/>
  </xdr:twoCellAnchor>
  <xdr:twoCellAnchor editAs="oneCell">
    <xdr:from>
      <xdr:col>1</xdr:col>
      <xdr:colOff>12700</xdr:colOff>
      <xdr:row>119</xdr:row>
      <xdr:rowOff>9525</xdr:rowOff>
    </xdr:from>
    <xdr:to>
      <xdr:col>2</xdr:col>
      <xdr:colOff>0</xdr:colOff>
      <xdr:row>128</xdr:row>
      <xdr:rowOff>15875</xdr:rowOff>
    </xdr:to>
    <xdr:pic macro="[0]!ChangeDepr">
      <xdr:nvPicPr>
        <xdr:cNvPr id="101" name="btnInv11" descr="timebtn2b" hidden="1">
          <a:extLst>
            <a:ext uri="{FF2B5EF4-FFF2-40B4-BE49-F238E27FC236}">
              <a16:creationId xmlns:a16="http://schemas.microsoft.com/office/drawing/2014/main" id="{00000000-0008-0000-0100-000065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17021175"/>
          <a:ext cx="152400" cy="149225"/>
        </a:xfrm>
        <a:prstGeom prst="rect">
          <a:avLst/>
        </a:prstGeom>
        <a:noFill/>
        <a:ln w="9525">
          <a:noFill/>
          <a:miter lim="800000"/>
          <a:headEnd/>
          <a:tailEnd/>
        </a:ln>
      </xdr:spPr>
    </xdr:pic>
    <xdr:clientData fPrintsWithSheet="0"/>
  </xdr:twoCellAnchor>
  <xdr:twoCellAnchor editAs="oneCell">
    <xdr:from>
      <xdr:col>1</xdr:col>
      <xdr:colOff>12700</xdr:colOff>
      <xdr:row>129</xdr:row>
      <xdr:rowOff>9525</xdr:rowOff>
    </xdr:from>
    <xdr:to>
      <xdr:col>2</xdr:col>
      <xdr:colOff>0</xdr:colOff>
      <xdr:row>138</xdr:row>
      <xdr:rowOff>15875</xdr:rowOff>
    </xdr:to>
    <xdr:pic macro="[0]!ChangeDepr">
      <xdr:nvPicPr>
        <xdr:cNvPr id="102" name="btnInv12" descr="timebtn2b" hidden="1">
          <a:extLst>
            <a:ext uri="{FF2B5EF4-FFF2-40B4-BE49-F238E27FC236}">
              <a16:creationId xmlns:a16="http://schemas.microsoft.com/office/drawing/2014/main" id="{00000000-0008-0000-0100-000066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18449925"/>
          <a:ext cx="152400" cy="149225"/>
        </a:xfrm>
        <a:prstGeom prst="rect">
          <a:avLst/>
        </a:prstGeom>
        <a:noFill/>
        <a:ln w="9525">
          <a:noFill/>
          <a:miter lim="800000"/>
          <a:headEnd/>
          <a:tailEnd/>
        </a:ln>
      </xdr:spPr>
    </xdr:pic>
    <xdr:clientData fPrintsWithSheet="0"/>
  </xdr:twoCellAnchor>
  <xdr:twoCellAnchor editAs="oneCell">
    <xdr:from>
      <xdr:col>1</xdr:col>
      <xdr:colOff>12700</xdr:colOff>
      <xdr:row>139</xdr:row>
      <xdr:rowOff>9525</xdr:rowOff>
    </xdr:from>
    <xdr:to>
      <xdr:col>2</xdr:col>
      <xdr:colOff>0</xdr:colOff>
      <xdr:row>317</xdr:row>
      <xdr:rowOff>15875</xdr:rowOff>
    </xdr:to>
    <xdr:pic macro="[0]!ChangeDepr">
      <xdr:nvPicPr>
        <xdr:cNvPr id="103" name="btnInv13" descr="timebtn2b" hidden="1">
          <a:extLst>
            <a:ext uri="{FF2B5EF4-FFF2-40B4-BE49-F238E27FC236}">
              <a16:creationId xmlns:a16="http://schemas.microsoft.com/office/drawing/2014/main" id="{00000000-0008-0000-0100-000067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19878675"/>
          <a:ext cx="152400" cy="149225"/>
        </a:xfrm>
        <a:prstGeom prst="rect">
          <a:avLst/>
        </a:prstGeom>
        <a:noFill/>
        <a:ln w="9525">
          <a:noFill/>
          <a:miter lim="800000"/>
          <a:headEnd/>
          <a:tailEnd/>
        </a:ln>
      </xdr:spPr>
    </xdr:pic>
    <xdr:clientData fPrintsWithSheet="0"/>
  </xdr:twoCellAnchor>
  <xdr:twoCellAnchor editAs="oneCell">
    <xdr:from>
      <xdr:col>1</xdr:col>
      <xdr:colOff>12700</xdr:colOff>
      <xdr:row>149</xdr:row>
      <xdr:rowOff>9525</xdr:rowOff>
    </xdr:from>
    <xdr:to>
      <xdr:col>2</xdr:col>
      <xdr:colOff>0</xdr:colOff>
      <xdr:row>318</xdr:row>
      <xdr:rowOff>6350</xdr:rowOff>
    </xdr:to>
    <xdr:pic macro="[0]!ChangeDepr">
      <xdr:nvPicPr>
        <xdr:cNvPr id="104" name="btnInv14" descr="timebtn2b" hidden="1">
          <a:extLst>
            <a:ext uri="{FF2B5EF4-FFF2-40B4-BE49-F238E27FC236}">
              <a16:creationId xmlns:a16="http://schemas.microsoft.com/office/drawing/2014/main" id="{00000000-0008-0000-0100-000068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21307425"/>
          <a:ext cx="152400" cy="149225"/>
        </a:xfrm>
        <a:prstGeom prst="rect">
          <a:avLst/>
        </a:prstGeom>
        <a:noFill/>
        <a:ln w="9525">
          <a:noFill/>
          <a:miter lim="800000"/>
          <a:headEnd/>
          <a:tailEnd/>
        </a:ln>
      </xdr:spPr>
    </xdr:pic>
    <xdr:clientData fPrintsWithSheet="0"/>
  </xdr:twoCellAnchor>
  <xdr:twoCellAnchor editAs="oneCell">
    <xdr:from>
      <xdr:col>1</xdr:col>
      <xdr:colOff>12700</xdr:colOff>
      <xdr:row>159</xdr:row>
      <xdr:rowOff>9525</xdr:rowOff>
    </xdr:from>
    <xdr:to>
      <xdr:col>2</xdr:col>
      <xdr:colOff>0</xdr:colOff>
      <xdr:row>318</xdr:row>
      <xdr:rowOff>6350</xdr:rowOff>
    </xdr:to>
    <xdr:pic macro="[0]!ChangeDepr">
      <xdr:nvPicPr>
        <xdr:cNvPr id="105" name="btnInv15" descr="timebtn2b" hidden="1">
          <a:extLst>
            <a:ext uri="{FF2B5EF4-FFF2-40B4-BE49-F238E27FC236}">
              <a16:creationId xmlns:a16="http://schemas.microsoft.com/office/drawing/2014/main" id="{00000000-0008-0000-0100-000069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22736175"/>
          <a:ext cx="152400" cy="149225"/>
        </a:xfrm>
        <a:prstGeom prst="rect">
          <a:avLst/>
        </a:prstGeom>
        <a:noFill/>
        <a:ln w="9525">
          <a:noFill/>
          <a:miter lim="800000"/>
          <a:headEnd/>
          <a:tailEnd/>
        </a:ln>
      </xdr:spPr>
    </xdr:pic>
    <xdr:clientData fPrintsWithSheet="0"/>
  </xdr:twoCellAnchor>
  <xdr:twoCellAnchor editAs="oneCell">
    <xdr:from>
      <xdr:col>1</xdr:col>
      <xdr:colOff>12700</xdr:colOff>
      <xdr:row>169</xdr:row>
      <xdr:rowOff>9525</xdr:rowOff>
    </xdr:from>
    <xdr:to>
      <xdr:col>2</xdr:col>
      <xdr:colOff>0</xdr:colOff>
      <xdr:row>318</xdr:row>
      <xdr:rowOff>6350</xdr:rowOff>
    </xdr:to>
    <xdr:pic macro="[0]!ChangeDepr">
      <xdr:nvPicPr>
        <xdr:cNvPr id="106" name="btnInv16" descr="timebtn2b" hidden="1">
          <a:extLst>
            <a:ext uri="{FF2B5EF4-FFF2-40B4-BE49-F238E27FC236}">
              <a16:creationId xmlns:a16="http://schemas.microsoft.com/office/drawing/2014/main" id="{00000000-0008-0000-0100-00006A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24164925"/>
          <a:ext cx="152400" cy="149225"/>
        </a:xfrm>
        <a:prstGeom prst="rect">
          <a:avLst/>
        </a:prstGeom>
        <a:noFill/>
        <a:ln w="9525">
          <a:noFill/>
          <a:miter lim="800000"/>
          <a:headEnd/>
          <a:tailEnd/>
        </a:ln>
      </xdr:spPr>
    </xdr:pic>
    <xdr:clientData fPrintsWithSheet="0"/>
  </xdr:twoCellAnchor>
  <xdr:twoCellAnchor editAs="oneCell">
    <xdr:from>
      <xdr:col>1</xdr:col>
      <xdr:colOff>12700</xdr:colOff>
      <xdr:row>179</xdr:row>
      <xdr:rowOff>9525</xdr:rowOff>
    </xdr:from>
    <xdr:to>
      <xdr:col>2</xdr:col>
      <xdr:colOff>0</xdr:colOff>
      <xdr:row>318</xdr:row>
      <xdr:rowOff>6350</xdr:rowOff>
    </xdr:to>
    <xdr:pic macro="[0]!ChangeDepr">
      <xdr:nvPicPr>
        <xdr:cNvPr id="107" name="btnInv17" descr="timebtn2b" hidden="1">
          <a:extLst>
            <a:ext uri="{FF2B5EF4-FFF2-40B4-BE49-F238E27FC236}">
              <a16:creationId xmlns:a16="http://schemas.microsoft.com/office/drawing/2014/main" id="{00000000-0008-0000-0100-00006B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25593675"/>
          <a:ext cx="152400" cy="149225"/>
        </a:xfrm>
        <a:prstGeom prst="rect">
          <a:avLst/>
        </a:prstGeom>
        <a:noFill/>
        <a:ln w="9525">
          <a:noFill/>
          <a:miter lim="800000"/>
          <a:headEnd/>
          <a:tailEnd/>
        </a:ln>
      </xdr:spPr>
    </xdr:pic>
    <xdr:clientData fPrintsWithSheet="0"/>
  </xdr:twoCellAnchor>
  <xdr:twoCellAnchor editAs="oneCell">
    <xdr:from>
      <xdr:col>1</xdr:col>
      <xdr:colOff>12700</xdr:colOff>
      <xdr:row>189</xdr:row>
      <xdr:rowOff>9525</xdr:rowOff>
    </xdr:from>
    <xdr:to>
      <xdr:col>2</xdr:col>
      <xdr:colOff>0</xdr:colOff>
      <xdr:row>318</xdr:row>
      <xdr:rowOff>6350</xdr:rowOff>
    </xdr:to>
    <xdr:pic macro="[0]!ChangeDepr">
      <xdr:nvPicPr>
        <xdr:cNvPr id="108" name="btnInv18" descr="timebtn2b" hidden="1">
          <a:extLst>
            <a:ext uri="{FF2B5EF4-FFF2-40B4-BE49-F238E27FC236}">
              <a16:creationId xmlns:a16="http://schemas.microsoft.com/office/drawing/2014/main" id="{00000000-0008-0000-0100-00006C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27022425"/>
          <a:ext cx="152400" cy="149225"/>
        </a:xfrm>
        <a:prstGeom prst="rect">
          <a:avLst/>
        </a:prstGeom>
        <a:noFill/>
        <a:ln w="9525">
          <a:noFill/>
          <a:miter lim="800000"/>
          <a:headEnd/>
          <a:tailEnd/>
        </a:ln>
      </xdr:spPr>
    </xdr:pic>
    <xdr:clientData fPrintsWithSheet="0"/>
  </xdr:twoCellAnchor>
  <xdr:twoCellAnchor editAs="oneCell">
    <xdr:from>
      <xdr:col>1</xdr:col>
      <xdr:colOff>12700</xdr:colOff>
      <xdr:row>199</xdr:row>
      <xdr:rowOff>9525</xdr:rowOff>
    </xdr:from>
    <xdr:to>
      <xdr:col>2</xdr:col>
      <xdr:colOff>0</xdr:colOff>
      <xdr:row>318</xdr:row>
      <xdr:rowOff>6350</xdr:rowOff>
    </xdr:to>
    <xdr:pic macro="[0]!ChangeDepr">
      <xdr:nvPicPr>
        <xdr:cNvPr id="109" name="btnInv19" descr="timebtn2b" hidden="1">
          <a:extLst>
            <a:ext uri="{FF2B5EF4-FFF2-40B4-BE49-F238E27FC236}">
              <a16:creationId xmlns:a16="http://schemas.microsoft.com/office/drawing/2014/main" id="{00000000-0008-0000-0100-00006D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28451175"/>
          <a:ext cx="152400" cy="149225"/>
        </a:xfrm>
        <a:prstGeom prst="rect">
          <a:avLst/>
        </a:prstGeom>
        <a:noFill/>
        <a:ln w="9525">
          <a:noFill/>
          <a:miter lim="800000"/>
          <a:headEnd/>
          <a:tailEnd/>
        </a:ln>
      </xdr:spPr>
    </xdr:pic>
    <xdr:clientData fPrintsWithSheet="0"/>
  </xdr:twoCellAnchor>
  <xdr:twoCellAnchor editAs="oneCell">
    <xdr:from>
      <xdr:col>1</xdr:col>
      <xdr:colOff>12700</xdr:colOff>
      <xdr:row>209</xdr:row>
      <xdr:rowOff>9525</xdr:rowOff>
    </xdr:from>
    <xdr:to>
      <xdr:col>2</xdr:col>
      <xdr:colOff>0</xdr:colOff>
      <xdr:row>318</xdr:row>
      <xdr:rowOff>6350</xdr:rowOff>
    </xdr:to>
    <xdr:pic macro="[0]!ChangeDepr">
      <xdr:nvPicPr>
        <xdr:cNvPr id="110" name="btnInv20" descr="timebtn2b" hidden="1">
          <a:extLst>
            <a:ext uri="{FF2B5EF4-FFF2-40B4-BE49-F238E27FC236}">
              <a16:creationId xmlns:a16="http://schemas.microsoft.com/office/drawing/2014/main" id="{00000000-0008-0000-0100-00006E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29879925"/>
          <a:ext cx="152400" cy="149225"/>
        </a:xfrm>
        <a:prstGeom prst="rect">
          <a:avLst/>
        </a:prstGeom>
        <a:noFill/>
        <a:ln w="9525">
          <a:noFill/>
          <a:miter lim="800000"/>
          <a:headEnd/>
          <a:tailEnd/>
        </a:ln>
      </xdr:spPr>
    </xdr:pic>
    <xdr:clientData fPrintsWithSheet="0"/>
  </xdr:twoCellAnchor>
  <xdr:twoCellAnchor editAs="oneCell">
    <xdr:from>
      <xdr:col>1</xdr:col>
      <xdr:colOff>12700</xdr:colOff>
      <xdr:row>219</xdr:row>
      <xdr:rowOff>9525</xdr:rowOff>
    </xdr:from>
    <xdr:to>
      <xdr:col>2</xdr:col>
      <xdr:colOff>0</xdr:colOff>
      <xdr:row>318</xdr:row>
      <xdr:rowOff>6350</xdr:rowOff>
    </xdr:to>
    <xdr:pic macro="[0]!ChangeDepr">
      <xdr:nvPicPr>
        <xdr:cNvPr id="111" name="btnInv21" descr="timebtn2b" hidden="1">
          <a:extLst>
            <a:ext uri="{FF2B5EF4-FFF2-40B4-BE49-F238E27FC236}">
              <a16:creationId xmlns:a16="http://schemas.microsoft.com/office/drawing/2014/main" id="{00000000-0008-0000-0100-00006F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31308675"/>
          <a:ext cx="152400" cy="149225"/>
        </a:xfrm>
        <a:prstGeom prst="rect">
          <a:avLst/>
        </a:prstGeom>
        <a:noFill/>
        <a:ln w="9525">
          <a:noFill/>
          <a:miter lim="800000"/>
          <a:headEnd/>
          <a:tailEnd/>
        </a:ln>
      </xdr:spPr>
    </xdr:pic>
    <xdr:clientData fPrintsWithSheet="0"/>
  </xdr:twoCellAnchor>
  <xdr:twoCellAnchor editAs="oneCell">
    <xdr:from>
      <xdr:col>1</xdr:col>
      <xdr:colOff>12700</xdr:colOff>
      <xdr:row>229</xdr:row>
      <xdr:rowOff>9525</xdr:rowOff>
    </xdr:from>
    <xdr:to>
      <xdr:col>2</xdr:col>
      <xdr:colOff>0</xdr:colOff>
      <xdr:row>318</xdr:row>
      <xdr:rowOff>6350</xdr:rowOff>
    </xdr:to>
    <xdr:pic macro="[0]!ChangeDepr">
      <xdr:nvPicPr>
        <xdr:cNvPr id="112" name="btnInv22" descr="timebtn2b" hidden="1">
          <a:extLst>
            <a:ext uri="{FF2B5EF4-FFF2-40B4-BE49-F238E27FC236}">
              <a16:creationId xmlns:a16="http://schemas.microsoft.com/office/drawing/2014/main" id="{00000000-0008-0000-0100-000070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32737425"/>
          <a:ext cx="152400" cy="149225"/>
        </a:xfrm>
        <a:prstGeom prst="rect">
          <a:avLst/>
        </a:prstGeom>
        <a:noFill/>
        <a:ln w="9525">
          <a:noFill/>
          <a:miter lim="800000"/>
          <a:headEnd/>
          <a:tailEnd/>
        </a:ln>
      </xdr:spPr>
    </xdr:pic>
    <xdr:clientData fPrintsWithSheet="0"/>
  </xdr:twoCellAnchor>
  <xdr:twoCellAnchor editAs="oneCell">
    <xdr:from>
      <xdr:col>1</xdr:col>
      <xdr:colOff>12700</xdr:colOff>
      <xdr:row>239</xdr:row>
      <xdr:rowOff>9525</xdr:rowOff>
    </xdr:from>
    <xdr:to>
      <xdr:col>2</xdr:col>
      <xdr:colOff>0</xdr:colOff>
      <xdr:row>318</xdr:row>
      <xdr:rowOff>6350</xdr:rowOff>
    </xdr:to>
    <xdr:pic macro="[0]!ChangeDepr">
      <xdr:nvPicPr>
        <xdr:cNvPr id="113" name="btnInv23" descr="timebtn2b" hidden="1">
          <a:extLst>
            <a:ext uri="{FF2B5EF4-FFF2-40B4-BE49-F238E27FC236}">
              <a16:creationId xmlns:a16="http://schemas.microsoft.com/office/drawing/2014/main" id="{00000000-0008-0000-0100-000071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34166175"/>
          <a:ext cx="152400" cy="149225"/>
        </a:xfrm>
        <a:prstGeom prst="rect">
          <a:avLst/>
        </a:prstGeom>
        <a:noFill/>
        <a:ln w="9525">
          <a:noFill/>
          <a:miter lim="800000"/>
          <a:headEnd/>
          <a:tailEnd/>
        </a:ln>
      </xdr:spPr>
    </xdr:pic>
    <xdr:clientData fPrintsWithSheet="0"/>
  </xdr:twoCellAnchor>
  <xdr:twoCellAnchor editAs="oneCell">
    <xdr:from>
      <xdr:col>1</xdr:col>
      <xdr:colOff>12700</xdr:colOff>
      <xdr:row>249</xdr:row>
      <xdr:rowOff>9525</xdr:rowOff>
    </xdr:from>
    <xdr:to>
      <xdr:col>2</xdr:col>
      <xdr:colOff>0</xdr:colOff>
      <xdr:row>318</xdr:row>
      <xdr:rowOff>6350</xdr:rowOff>
    </xdr:to>
    <xdr:pic macro="[0]!ChangeDepr">
      <xdr:nvPicPr>
        <xdr:cNvPr id="114" name="btnInv24" descr="timebtn2b" hidden="1">
          <a:extLst>
            <a:ext uri="{FF2B5EF4-FFF2-40B4-BE49-F238E27FC236}">
              <a16:creationId xmlns:a16="http://schemas.microsoft.com/office/drawing/2014/main" id="{00000000-0008-0000-0100-000072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35594925"/>
          <a:ext cx="152400" cy="149225"/>
        </a:xfrm>
        <a:prstGeom prst="rect">
          <a:avLst/>
        </a:prstGeom>
        <a:noFill/>
        <a:ln w="9525">
          <a:noFill/>
          <a:miter lim="800000"/>
          <a:headEnd/>
          <a:tailEnd/>
        </a:ln>
      </xdr:spPr>
    </xdr:pic>
    <xdr:clientData fPrintsWithSheet="0"/>
  </xdr:twoCellAnchor>
  <xdr:twoCellAnchor editAs="oneCell">
    <xdr:from>
      <xdr:col>1</xdr:col>
      <xdr:colOff>12700</xdr:colOff>
      <xdr:row>259</xdr:row>
      <xdr:rowOff>9525</xdr:rowOff>
    </xdr:from>
    <xdr:to>
      <xdr:col>2</xdr:col>
      <xdr:colOff>0</xdr:colOff>
      <xdr:row>318</xdr:row>
      <xdr:rowOff>6350</xdr:rowOff>
    </xdr:to>
    <xdr:pic macro="[0]!ChangeDepr">
      <xdr:nvPicPr>
        <xdr:cNvPr id="115" name="btnInv25" descr="timebtn2b" hidden="1">
          <a:extLst>
            <a:ext uri="{FF2B5EF4-FFF2-40B4-BE49-F238E27FC236}">
              <a16:creationId xmlns:a16="http://schemas.microsoft.com/office/drawing/2014/main" id="{00000000-0008-0000-0100-000073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37023675"/>
          <a:ext cx="152400" cy="149225"/>
        </a:xfrm>
        <a:prstGeom prst="rect">
          <a:avLst/>
        </a:prstGeom>
        <a:noFill/>
        <a:ln w="9525">
          <a:noFill/>
          <a:miter lim="800000"/>
          <a:headEnd/>
          <a:tailEnd/>
        </a:ln>
      </xdr:spPr>
    </xdr:pic>
    <xdr:clientData fPrintsWithSheet="0"/>
  </xdr:twoCellAnchor>
  <xdr:twoCellAnchor editAs="oneCell">
    <xdr:from>
      <xdr:col>1</xdr:col>
      <xdr:colOff>12700</xdr:colOff>
      <xdr:row>269</xdr:row>
      <xdr:rowOff>9525</xdr:rowOff>
    </xdr:from>
    <xdr:to>
      <xdr:col>2</xdr:col>
      <xdr:colOff>0</xdr:colOff>
      <xdr:row>318</xdr:row>
      <xdr:rowOff>6350</xdr:rowOff>
    </xdr:to>
    <xdr:pic macro="[0]!ChangeDepr">
      <xdr:nvPicPr>
        <xdr:cNvPr id="116" name="btnInv26" descr="timebtn2b" hidden="1">
          <a:extLst>
            <a:ext uri="{FF2B5EF4-FFF2-40B4-BE49-F238E27FC236}">
              <a16:creationId xmlns:a16="http://schemas.microsoft.com/office/drawing/2014/main" id="{00000000-0008-0000-0100-000074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38452425"/>
          <a:ext cx="152400" cy="149225"/>
        </a:xfrm>
        <a:prstGeom prst="rect">
          <a:avLst/>
        </a:prstGeom>
        <a:noFill/>
        <a:ln w="9525">
          <a:noFill/>
          <a:miter lim="800000"/>
          <a:headEnd/>
          <a:tailEnd/>
        </a:ln>
      </xdr:spPr>
    </xdr:pic>
    <xdr:clientData fPrintsWithSheet="0"/>
  </xdr:twoCellAnchor>
  <xdr:twoCellAnchor editAs="oneCell">
    <xdr:from>
      <xdr:col>1</xdr:col>
      <xdr:colOff>12700</xdr:colOff>
      <xdr:row>279</xdr:row>
      <xdr:rowOff>9525</xdr:rowOff>
    </xdr:from>
    <xdr:to>
      <xdr:col>2</xdr:col>
      <xdr:colOff>0</xdr:colOff>
      <xdr:row>318</xdr:row>
      <xdr:rowOff>6350</xdr:rowOff>
    </xdr:to>
    <xdr:pic macro="[0]!ChangeDepr">
      <xdr:nvPicPr>
        <xdr:cNvPr id="117" name="btnInv27" descr="timebtn2b" hidden="1">
          <a:extLst>
            <a:ext uri="{FF2B5EF4-FFF2-40B4-BE49-F238E27FC236}">
              <a16:creationId xmlns:a16="http://schemas.microsoft.com/office/drawing/2014/main" id="{00000000-0008-0000-0100-000075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39881175"/>
          <a:ext cx="152400" cy="149225"/>
        </a:xfrm>
        <a:prstGeom prst="rect">
          <a:avLst/>
        </a:prstGeom>
        <a:noFill/>
        <a:ln w="9525">
          <a:noFill/>
          <a:miter lim="800000"/>
          <a:headEnd/>
          <a:tailEnd/>
        </a:ln>
      </xdr:spPr>
    </xdr:pic>
    <xdr:clientData fPrintsWithSheet="0"/>
  </xdr:twoCellAnchor>
  <xdr:twoCellAnchor editAs="oneCell">
    <xdr:from>
      <xdr:col>1</xdr:col>
      <xdr:colOff>12700</xdr:colOff>
      <xdr:row>289</xdr:row>
      <xdr:rowOff>9525</xdr:rowOff>
    </xdr:from>
    <xdr:to>
      <xdr:col>2</xdr:col>
      <xdr:colOff>0</xdr:colOff>
      <xdr:row>318</xdr:row>
      <xdr:rowOff>6350</xdr:rowOff>
    </xdr:to>
    <xdr:pic macro="[0]!ChangeDepr">
      <xdr:nvPicPr>
        <xdr:cNvPr id="118" name="btnInv28" descr="timebtn2b" hidden="1">
          <a:extLst>
            <a:ext uri="{FF2B5EF4-FFF2-40B4-BE49-F238E27FC236}">
              <a16:creationId xmlns:a16="http://schemas.microsoft.com/office/drawing/2014/main" id="{00000000-0008-0000-0100-000076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41309925"/>
          <a:ext cx="152400" cy="149225"/>
        </a:xfrm>
        <a:prstGeom prst="rect">
          <a:avLst/>
        </a:prstGeom>
        <a:noFill/>
        <a:ln w="9525">
          <a:noFill/>
          <a:miter lim="800000"/>
          <a:headEnd/>
          <a:tailEnd/>
        </a:ln>
      </xdr:spPr>
    </xdr:pic>
    <xdr:clientData fPrintsWithSheet="0"/>
  </xdr:twoCellAnchor>
  <xdr:twoCellAnchor editAs="oneCell">
    <xdr:from>
      <xdr:col>1</xdr:col>
      <xdr:colOff>12700</xdr:colOff>
      <xdr:row>299</xdr:row>
      <xdr:rowOff>9525</xdr:rowOff>
    </xdr:from>
    <xdr:to>
      <xdr:col>2</xdr:col>
      <xdr:colOff>0</xdr:colOff>
      <xdr:row>318</xdr:row>
      <xdr:rowOff>6350</xdr:rowOff>
    </xdr:to>
    <xdr:pic macro="[0]!ChangeDepr">
      <xdr:nvPicPr>
        <xdr:cNvPr id="119" name="btnInv29" descr="timebtn2b" hidden="1">
          <a:extLst>
            <a:ext uri="{FF2B5EF4-FFF2-40B4-BE49-F238E27FC236}">
              <a16:creationId xmlns:a16="http://schemas.microsoft.com/office/drawing/2014/main" id="{00000000-0008-0000-0100-000077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42738675"/>
          <a:ext cx="152400" cy="149225"/>
        </a:xfrm>
        <a:prstGeom prst="rect">
          <a:avLst/>
        </a:prstGeom>
        <a:noFill/>
        <a:ln w="9525">
          <a:noFill/>
          <a:miter lim="800000"/>
          <a:headEnd/>
          <a:tailEnd/>
        </a:ln>
      </xdr:spPr>
    </xdr:pic>
    <xdr:clientData fPrintsWithSheet="0"/>
  </xdr:twoCellAnchor>
  <xdr:twoCellAnchor editAs="oneCell">
    <xdr:from>
      <xdr:col>1</xdr:col>
      <xdr:colOff>12700</xdr:colOff>
      <xdr:row>309</xdr:row>
      <xdr:rowOff>9525</xdr:rowOff>
    </xdr:from>
    <xdr:to>
      <xdr:col>2</xdr:col>
      <xdr:colOff>0</xdr:colOff>
      <xdr:row>318</xdr:row>
      <xdr:rowOff>6350</xdr:rowOff>
    </xdr:to>
    <xdr:pic macro="[0]!ChangeDepr">
      <xdr:nvPicPr>
        <xdr:cNvPr id="120" name="btnInv30" descr="timebtn2b" hidden="1">
          <a:extLst>
            <a:ext uri="{FF2B5EF4-FFF2-40B4-BE49-F238E27FC236}">
              <a16:creationId xmlns:a16="http://schemas.microsoft.com/office/drawing/2014/main" id="{00000000-0008-0000-0100-000078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44167425"/>
          <a:ext cx="152400" cy="149225"/>
        </a:xfrm>
        <a:prstGeom prst="rect">
          <a:avLst/>
        </a:prstGeom>
        <a:noFill/>
        <a:ln w="9525">
          <a:noFill/>
          <a:miter lim="800000"/>
          <a:headEnd/>
          <a:tailEnd/>
        </a:ln>
      </xdr:spPr>
    </xdr:pic>
    <xdr:clientData fPrintsWithSheet="0"/>
  </xdr:twoCellAnchor>
  <xdr:twoCellAnchor editAs="oneCell">
    <xdr:from>
      <xdr:col>2</xdr:col>
      <xdr:colOff>1565275</xdr:colOff>
      <xdr:row>10</xdr:row>
      <xdr:rowOff>0</xdr:rowOff>
    </xdr:from>
    <xdr:to>
      <xdr:col>2</xdr:col>
      <xdr:colOff>1793875</xdr:colOff>
      <xdr:row>14</xdr:row>
      <xdr:rowOff>142875</xdr:rowOff>
    </xdr:to>
    <xdr:pic macro="[0]!Distribute">
      <xdr:nvPicPr>
        <xdr:cNvPr id="121" name="DistBtn05cf" descr="distbtn2" hidden="1">
          <a:extLst>
            <a:ext uri="{FF2B5EF4-FFF2-40B4-BE49-F238E27FC236}">
              <a16:creationId xmlns:a16="http://schemas.microsoft.com/office/drawing/2014/main" id="{00000000-0008-0000-0100-000079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5300" y="1419225"/>
          <a:ext cx="228600" cy="142875"/>
        </a:xfrm>
        <a:prstGeom prst="rect">
          <a:avLst/>
        </a:prstGeom>
        <a:noFill/>
        <a:ln w="9525">
          <a:noFill/>
          <a:miter lim="800000"/>
          <a:headEnd/>
          <a:tailEnd/>
        </a:ln>
      </xdr:spPr>
    </xdr:pic>
    <xdr:clientData fPrintsWithSheet="0"/>
  </xdr:twoCellAnchor>
  <xdr:twoCellAnchor editAs="oneCell">
    <xdr:from>
      <xdr:col>3</xdr:col>
      <xdr:colOff>349250</xdr:colOff>
      <xdr:row>10</xdr:row>
      <xdr:rowOff>0</xdr:rowOff>
    </xdr:from>
    <xdr:to>
      <xdr:col>3</xdr:col>
      <xdr:colOff>501650</xdr:colOff>
      <xdr:row>14</xdr:row>
      <xdr:rowOff>142875</xdr:rowOff>
    </xdr:to>
    <xdr:pic macro="[0]!AutoVBA.GotoLastPeriod">
      <xdr:nvPicPr>
        <xdr:cNvPr id="122" name="LastColBtn05cf" descr="lastcol" hidden="1">
          <a:extLst>
            <a:ext uri="{FF2B5EF4-FFF2-40B4-BE49-F238E27FC236}">
              <a16:creationId xmlns:a16="http://schemas.microsoft.com/office/drawing/2014/main" id="{00000000-0008-0000-0100-00007A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2730500" y="1419225"/>
          <a:ext cx="152400" cy="142875"/>
        </a:xfrm>
        <a:prstGeom prst="rect">
          <a:avLst/>
        </a:prstGeom>
        <a:noFill/>
        <a:ln w="9525">
          <a:noFill/>
          <a:miter lim="800000"/>
          <a:headEnd/>
          <a:tailEnd/>
        </a:ln>
      </xdr:spPr>
    </xdr:pic>
    <xdr:clientData fPrintsWithSheet="0"/>
  </xdr:twoCellAnchor>
  <xdr:twoCellAnchor editAs="oneCell">
    <xdr:from>
      <xdr:col>3</xdr:col>
      <xdr:colOff>501650</xdr:colOff>
      <xdr:row>10</xdr:row>
      <xdr:rowOff>0</xdr:rowOff>
    </xdr:from>
    <xdr:to>
      <xdr:col>4</xdr:col>
      <xdr:colOff>0</xdr:colOff>
      <xdr:row>14</xdr:row>
      <xdr:rowOff>142875</xdr:rowOff>
    </xdr:to>
    <xdr:pic macro="[0]!ToggleHistoryColumns">
      <xdr:nvPicPr>
        <xdr:cNvPr id="123" name="btnHistory05cf" descr="historybtn" hidden="1">
          <a:extLst>
            <a:ext uri="{FF2B5EF4-FFF2-40B4-BE49-F238E27FC236}">
              <a16:creationId xmlns:a16="http://schemas.microsoft.com/office/drawing/2014/main" id="{00000000-0008-0000-0100-00007B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2882900" y="1419225"/>
          <a:ext cx="146050" cy="142875"/>
        </a:xfrm>
        <a:prstGeom prst="rect">
          <a:avLst/>
        </a:prstGeom>
        <a:noFill/>
        <a:ln w="9525">
          <a:noFill/>
          <a:miter lim="800000"/>
          <a:headEnd/>
          <a:tailEnd/>
        </a:ln>
      </xdr:spPr>
    </xdr:pic>
    <xdr:clientData fPrintsWithSheet="0"/>
  </xdr:twoCellAnchor>
  <xdr:twoCellAnchor editAs="oneCell">
    <xdr:from>
      <xdr:col>3</xdr:col>
      <xdr:colOff>196850</xdr:colOff>
      <xdr:row>10</xdr:row>
      <xdr:rowOff>0</xdr:rowOff>
    </xdr:from>
    <xdr:to>
      <xdr:col>3</xdr:col>
      <xdr:colOff>349250</xdr:colOff>
      <xdr:row>14</xdr:row>
      <xdr:rowOff>142875</xdr:rowOff>
    </xdr:to>
    <xdr:pic macro="[0]!AutoVBA.GotoFirstPeriod">
      <xdr:nvPicPr>
        <xdr:cNvPr id="124" name="FirstColBtn05cf" descr="firstcol" hidden="1">
          <a:extLst>
            <a:ext uri="{FF2B5EF4-FFF2-40B4-BE49-F238E27FC236}">
              <a16:creationId xmlns:a16="http://schemas.microsoft.com/office/drawing/2014/main" id="{00000000-0008-0000-0100-00007C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2578100" y="1419225"/>
          <a:ext cx="152400" cy="142875"/>
        </a:xfrm>
        <a:prstGeom prst="rect">
          <a:avLst/>
        </a:prstGeom>
        <a:noFill/>
        <a:ln w="9525">
          <a:noFill/>
          <a:miter lim="800000"/>
          <a:headEnd/>
          <a:tailEnd/>
        </a:ln>
      </xdr:spPr>
    </xdr:pic>
    <xdr:clientData fPrintsWithSheet="0"/>
  </xdr:twoCellAnchor>
  <xdr:twoCellAnchor editAs="oneCell">
    <xdr:from>
      <xdr:col>1</xdr:col>
      <xdr:colOff>12700</xdr:colOff>
      <xdr:row>460</xdr:row>
      <xdr:rowOff>0</xdr:rowOff>
    </xdr:from>
    <xdr:to>
      <xdr:col>2</xdr:col>
      <xdr:colOff>0</xdr:colOff>
      <xdr:row>461</xdr:row>
      <xdr:rowOff>0</xdr:rowOff>
    </xdr:to>
    <xdr:pic macro="[0]!ToggleRowSpec">
      <xdr:nvPicPr>
        <xdr:cNvPr id="125" name="btnRSpec040" descr="rspecB">
          <a:extLst>
            <a:ext uri="{FF2B5EF4-FFF2-40B4-BE49-F238E27FC236}">
              <a16:creationId xmlns:a16="http://schemas.microsoft.com/office/drawing/2014/main" id="{00000000-0008-0000-0100-00007D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66341625"/>
          <a:ext cx="152400" cy="142875"/>
        </a:xfrm>
        <a:prstGeom prst="rect">
          <a:avLst/>
        </a:prstGeom>
        <a:noFill/>
        <a:ln w="9525">
          <a:noFill/>
          <a:miter lim="800000"/>
          <a:headEnd/>
          <a:tailEnd/>
        </a:ln>
      </xdr:spPr>
    </xdr:pic>
    <xdr:clientData fPrintsWithSheet="0"/>
  </xdr:twoCellAnchor>
  <xdr:twoCellAnchor editAs="oneCell">
    <xdr:from>
      <xdr:col>1</xdr:col>
      <xdr:colOff>12700</xdr:colOff>
      <xdr:row>461</xdr:row>
      <xdr:rowOff>0</xdr:rowOff>
    </xdr:from>
    <xdr:to>
      <xdr:col>2</xdr:col>
      <xdr:colOff>0</xdr:colOff>
      <xdr:row>462</xdr:row>
      <xdr:rowOff>0</xdr:rowOff>
    </xdr:to>
    <xdr:pic macro="[0]!ToggleRowSpec">
      <xdr:nvPicPr>
        <xdr:cNvPr id="126" name="btnRSpec041" descr="rspecB">
          <a:extLst>
            <a:ext uri="{FF2B5EF4-FFF2-40B4-BE49-F238E27FC236}">
              <a16:creationId xmlns:a16="http://schemas.microsoft.com/office/drawing/2014/main" id="{00000000-0008-0000-0100-00007E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66484500"/>
          <a:ext cx="152400" cy="142875"/>
        </a:xfrm>
        <a:prstGeom prst="rect">
          <a:avLst/>
        </a:prstGeom>
        <a:noFill/>
        <a:ln w="9525">
          <a:noFill/>
          <a:miter lim="800000"/>
          <a:headEnd/>
          <a:tailEnd/>
        </a:ln>
      </xdr:spPr>
    </xdr:pic>
    <xdr:clientData fPrintsWithSheet="0"/>
  </xdr:twoCellAnchor>
  <xdr:twoCellAnchor editAs="oneCell">
    <xdr:from>
      <xdr:col>1</xdr:col>
      <xdr:colOff>12700</xdr:colOff>
      <xdr:row>628</xdr:row>
      <xdr:rowOff>9525</xdr:rowOff>
    </xdr:from>
    <xdr:to>
      <xdr:col>2</xdr:col>
      <xdr:colOff>0</xdr:colOff>
      <xdr:row>629</xdr:row>
      <xdr:rowOff>0</xdr:rowOff>
    </xdr:to>
    <xdr:pic macro="[0]!ToggleRowSpecBal">
      <xdr:nvPicPr>
        <xdr:cNvPr id="127" name="btnRSpec042" descr="rspec2b">
          <a:extLst>
            <a:ext uri="{FF2B5EF4-FFF2-40B4-BE49-F238E27FC236}">
              <a16:creationId xmlns:a16="http://schemas.microsoft.com/office/drawing/2014/main" id="{00000000-0008-0000-0100-00007F00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50800" y="81143475"/>
          <a:ext cx="152400" cy="142875"/>
        </a:xfrm>
        <a:prstGeom prst="rect">
          <a:avLst/>
        </a:prstGeom>
        <a:noFill/>
        <a:ln w="9525">
          <a:noFill/>
          <a:miter lim="800000"/>
          <a:headEnd/>
          <a:tailEnd/>
        </a:ln>
      </xdr:spPr>
    </xdr:pic>
    <xdr:clientData fPrintsWithSheet="0"/>
  </xdr:twoCellAnchor>
  <xdr:twoCellAnchor editAs="oneCell">
    <xdr:from>
      <xdr:col>1</xdr:col>
      <xdr:colOff>12700</xdr:colOff>
      <xdr:row>639</xdr:row>
      <xdr:rowOff>9525</xdr:rowOff>
    </xdr:from>
    <xdr:to>
      <xdr:col>2</xdr:col>
      <xdr:colOff>0</xdr:colOff>
      <xdr:row>640</xdr:row>
      <xdr:rowOff>0</xdr:rowOff>
    </xdr:to>
    <xdr:pic macro="[0]!ToggleRowSpecBal">
      <xdr:nvPicPr>
        <xdr:cNvPr id="128" name="btnRSpec043" descr="rspec2b">
          <a:extLst>
            <a:ext uri="{FF2B5EF4-FFF2-40B4-BE49-F238E27FC236}">
              <a16:creationId xmlns:a16="http://schemas.microsoft.com/office/drawing/2014/main" id="{00000000-0008-0000-0100-00008000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50800" y="82057875"/>
          <a:ext cx="152400" cy="149225"/>
        </a:xfrm>
        <a:prstGeom prst="rect">
          <a:avLst/>
        </a:prstGeom>
        <a:noFill/>
        <a:ln w="9525">
          <a:noFill/>
          <a:miter lim="800000"/>
          <a:headEnd/>
          <a:tailEnd/>
        </a:ln>
      </xdr:spPr>
    </xdr:pic>
    <xdr:clientData fPrintsWithSheet="0"/>
  </xdr:twoCellAnchor>
  <xdr:twoCellAnchor editAs="oneCell">
    <xdr:from>
      <xdr:col>1</xdr:col>
      <xdr:colOff>12700</xdr:colOff>
      <xdr:row>650</xdr:row>
      <xdr:rowOff>9525</xdr:rowOff>
    </xdr:from>
    <xdr:to>
      <xdr:col>2</xdr:col>
      <xdr:colOff>0</xdr:colOff>
      <xdr:row>651</xdr:row>
      <xdr:rowOff>0</xdr:rowOff>
    </xdr:to>
    <xdr:pic macro="[0]!ToggleRowSpecBal">
      <xdr:nvPicPr>
        <xdr:cNvPr id="129" name="btnRSpec044" descr="rspec2b">
          <a:extLst>
            <a:ext uri="{FF2B5EF4-FFF2-40B4-BE49-F238E27FC236}">
              <a16:creationId xmlns:a16="http://schemas.microsoft.com/office/drawing/2014/main" id="{00000000-0008-0000-0100-00008100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50800" y="83124675"/>
          <a:ext cx="152400" cy="149225"/>
        </a:xfrm>
        <a:prstGeom prst="rect">
          <a:avLst/>
        </a:prstGeom>
        <a:noFill/>
        <a:ln w="9525">
          <a:noFill/>
          <a:miter lim="800000"/>
          <a:headEnd/>
          <a:tailEnd/>
        </a:ln>
      </xdr:spPr>
    </xdr:pic>
    <xdr:clientData fPrintsWithSheet="0"/>
  </xdr:twoCellAnchor>
  <xdr:twoCellAnchor editAs="oneCell">
    <xdr:from>
      <xdr:col>1</xdr:col>
      <xdr:colOff>12700</xdr:colOff>
      <xdr:row>663</xdr:row>
      <xdr:rowOff>9525</xdr:rowOff>
    </xdr:from>
    <xdr:to>
      <xdr:col>2</xdr:col>
      <xdr:colOff>0</xdr:colOff>
      <xdr:row>664</xdr:row>
      <xdr:rowOff>0</xdr:rowOff>
    </xdr:to>
    <xdr:pic macro="[0]!ToggleRowSpecBal">
      <xdr:nvPicPr>
        <xdr:cNvPr id="130" name="btnRSpec045" descr="rspec2b">
          <a:extLst>
            <a:ext uri="{FF2B5EF4-FFF2-40B4-BE49-F238E27FC236}">
              <a16:creationId xmlns:a16="http://schemas.microsoft.com/office/drawing/2014/main" id="{00000000-0008-0000-0100-00008200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50800" y="84496275"/>
          <a:ext cx="152400" cy="142875"/>
        </a:xfrm>
        <a:prstGeom prst="rect">
          <a:avLst/>
        </a:prstGeom>
        <a:noFill/>
        <a:ln w="9525">
          <a:noFill/>
          <a:miter lim="800000"/>
          <a:headEnd/>
          <a:tailEnd/>
        </a:ln>
      </xdr:spPr>
    </xdr:pic>
    <xdr:clientData fPrintsWithSheet="0"/>
  </xdr:twoCellAnchor>
  <xdr:twoCellAnchor editAs="oneCell">
    <xdr:from>
      <xdr:col>2</xdr:col>
      <xdr:colOff>1768475</xdr:colOff>
      <xdr:row>15</xdr:row>
      <xdr:rowOff>0</xdr:rowOff>
    </xdr:from>
    <xdr:to>
      <xdr:col>2</xdr:col>
      <xdr:colOff>1920875</xdr:colOff>
      <xdr:row>16</xdr:row>
      <xdr:rowOff>0</xdr:rowOff>
    </xdr:to>
    <xdr:pic macro="[0]!BreakEvenCell">
      <xdr:nvPicPr>
        <xdr:cNvPr id="131" name="Button 44" descr="breakeven">
          <a:extLst>
            <a:ext uri="{FF2B5EF4-FFF2-40B4-BE49-F238E27FC236}">
              <a16:creationId xmlns:a16="http://schemas.microsoft.com/office/drawing/2014/main" id="{00000000-0008-0000-0100-00008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968500" y="2152650"/>
          <a:ext cx="152400" cy="142875"/>
        </a:xfrm>
        <a:prstGeom prst="rect">
          <a:avLst/>
        </a:prstGeom>
        <a:noFill/>
        <a:ln w="9525">
          <a:noFill/>
          <a:miter lim="800000"/>
          <a:headEnd/>
          <a:tailEnd/>
        </a:ln>
      </xdr:spPr>
    </xdr:pic>
    <xdr:clientData fPrintsWithSheet="0"/>
  </xdr:twoCellAnchor>
  <xdr:twoCellAnchor editAs="oneCell">
    <xdr:from>
      <xdr:col>1</xdr:col>
      <xdr:colOff>12700</xdr:colOff>
      <xdr:row>346</xdr:row>
      <xdr:rowOff>0</xdr:rowOff>
    </xdr:from>
    <xdr:to>
      <xdr:col>2</xdr:col>
      <xdr:colOff>0</xdr:colOff>
      <xdr:row>436</xdr:row>
      <xdr:rowOff>98425</xdr:rowOff>
    </xdr:to>
    <xdr:pic macro="[0]!ToggleAllocatedOvervalue">
      <xdr:nvPicPr>
        <xdr:cNvPr id="138" name="btnIFRSAllocOVDetail" descr="rspec2" hidden="1">
          <a:extLst>
            <a:ext uri="{FF2B5EF4-FFF2-40B4-BE49-F238E27FC236}">
              <a16:creationId xmlns:a16="http://schemas.microsoft.com/office/drawing/2014/main" id="{00000000-0008-0000-0100-00008A00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50800" y="49282350"/>
          <a:ext cx="152400" cy="146050"/>
        </a:xfrm>
        <a:prstGeom prst="rect">
          <a:avLst/>
        </a:prstGeom>
        <a:noFill/>
        <a:ln w="9525">
          <a:noFill/>
          <a:miter lim="800000"/>
          <a:headEnd/>
          <a:tailEnd/>
        </a:ln>
      </xdr:spPr>
    </xdr:pic>
    <xdr:clientData fPrintsWithSheet="0"/>
  </xdr:twoCellAnchor>
  <xdr:twoCellAnchor editAs="oneCell">
    <xdr:from>
      <xdr:col>1</xdr:col>
      <xdr:colOff>12700</xdr:colOff>
      <xdr:row>350</xdr:row>
      <xdr:rowOff>9525</xdr:rowOff>
    </xdr:from>
    <xdr:to>
      <xdr:col>2</xdr:col>
      <xdr:colOff>0</xdr:colOff>
      <xdr:row>436</xdr:row>
      <xdr:rowOff>98425</xdr:rowOff>
    </xdr:to>
    <xdr:pic macro="[0]!IFRSAllocPlusPressed">
      <xdr:nvPicPr>
        <xdr:cNvPr id="139" name="btnAllocPlus01" hidden="1">
          <a:extLst>
            <a:ext uri="{FF2B5EF4-FFF2-40B4-BE49-F238E27FC236}">
              <a16:creationId xmlns:a16="http://schemas.microsoft.com/office/drawing/2014/main" id="{00000000-0008-0000-0100-00008B00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50800" y="49977675"/>
          <a:ext cx="152400" cy="146050"/>
        </a:xfrm>
        <a:prstGeom prst="rect">
          <a:avLst/>
        </a:prstGeom>
        <a:noFill/>
        <a:ln w="9525">
          <a:noFill/>
          <a:miter lim="800000"/>
          <a:headEnd/>
          <a:tailEnd/>
        </a:ln>
      </xdr:spPr>
    </xdr:pic>
    <xdr:clientData fPrintsWithSheet="0"/>
  </xdr:twoCellAnchor>
  <xdr:twoCellAnchor editAs="oneCell">
    <xdr:from>
      <xdr:col>1</xdr:col>
      <xdr:colOff>12700</xdr:colOff>
      <xdr:row>351</xdr:row>
      <xdr:rowOff>0</xdr:rowOff>
    </xdr:from>
    <xdr:to>
      <xdr:col>2</xdr:col>
      <xdr:colOff>0</xdr:colOff>
      <xdr:row>436</xdr:row>
      <xdr:rowOff>98425</xdr:rowOff>
    </xdr:to>
    <xdr:pic macro="[0]!IFRSAllocMinusPressed">
      <xdr:nvPicPr>
        <xdr:cNvPr id="140" name="btnAllocMinus02" hidden="1">
          <a:extLst>
            <a:ext uri="{FF2B5EF4-FFF2-40B4-BE49-F238E27FC236}">
              <a16:creationId xmlns:a16="http://schemas.microsoft.com/office/drawing/2014/main" id="{00000000-0008-0000-0100-00008C00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50800" y="50111025"/>
          <a:ext cx="152400" cy="146050"/>
        </a:xfrm>
        <a:prstGeom prst="rect">
          <a:avLst/>
        </a:prstGeom>
        <a:noFill/>
        <a:ln w="9525">
          <a:noFill/>
          <a:miter lim="800000"/>
          <a:headEnd/>
          <a:tailEnd/>
        </a:ln>
      </xdr:spPr>
    </xdr:pic>
    <xdr:clientData fPrintsWithSheet="0"/>
  </xdr:twoCellAnchor>
  <xdr:twoCellAnchor editAs="oneCell">
    <xdr:from>
      <xdr:col>1</xdr:col>
      <xdr:colOff>12700</xdr:colOff>
      <xdr:row>353</xdr:row>
      <xdr:rowOff>9525</xdr:rowOff>
    </xdr:from>
    <xdr:to>
      <xdr:col>2</xdr:col>
      <xdr:colOff>0</xdr:colOff>
      <xdr:row>436</xdr:row>
      <xdr:rowOff>98425</xdr:rowOff>
    </xdr:to>
    <xdr:pic macro="[0]!IFRSAllocPlusPressed">
      <xdr:nvPicPr>
        <xdr:cNvPr id="141" name="btnAllocPlus02" hidden="1">
          <a:extLst>
            <a:ext uri="{FF2B5EF4-FFF2-40B4-BE49-F238E27FC236}">
              <a16:creationId xmlns:a16="http://schemas.microsoft.com/office/drawing/2014/main" id="{00000000-0008-0000-0100-00008D00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50800" y="50520600"/>
          <a:ext cx="152400" cy="146050"/>
        </a:xfrm>
        <a:prstGeom prst="rect">
          <a:avLst/>
        </a:prstGeom>
        <a:noFill/>
        <a:ln w="9525">
          <a:noFill/>
          <a:miter lim="800000"/>
          <a:headEnd/>
          <a:tailEnd/>
        </a:ln>
      </xdr:spPr>
    </xdr:pic>
    <xdr:clientData fPrintsWithSheet="0"/>
  </xdr:twoCellAnchor>
  <xdr:twoCellAnchor editAs="oneCell">
    <xdr:from>
      <xdr:col>1</xdr:col>
      <xdr:colOff>12700</xdr:colOff>
      <xdr:row>354</xdr:row>
      <xdr:rowOff>0</xdr:rowOff>
    </xdr:from>
    <xdr:to>
      <xdr:col>2</xdr:col>
      <xdr:colOff>0</xdr:colOff>
      <xdr:row>436</xdr:row>
      <xdr:rowOff>98425</xdr:rowOff>
    </xdr:to>
    <xdr:pic macro="[0]!IFRSAllocMinusPressed">
      <xdr:nvPicPr>
        <xdr:cNvPr id="142" name="btnAllocMinus03" hidden="1">
          <a:extLst>
            <a:ext uri="{FF2B5EF4-FFF2-40B4-BE49-F238E27FC236}">
              <a16:creationId xmlns:a16="http://schemas.microsoft.com/office/drawing/2014/main" id="{00000000-0008-0000-0100-00008E00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50800" y="50653950"/>
          <a:ext cx="152400" cy="146050"/>
        </a:xfrm>
        <a:prstGeom prst="rect">
          <a:avLst/>
        </a:prstGeom>
        <a:noFill/>
        <a:ln w="9525">
          <a:noFill/>
          <a:miter lim="800000"/>
          <a:headEnd/>
          <a:tailEnd/>
        </a:ln>
      </xdr:spPr>
    </xdr:pic>
    <xdr:clientData fPrintsWithSheet="0"/>
  </xdr:twoCellAnchor>
  <xdr:twoCellAnchor editAs="oneCell">
    <xdr:from>
      <xdr:col>1</xdr:col>
      <xdr:colOff>12700</xdr:colOff>
      <xdr:row>356</xdr:row>
      <xdr:rowOff>9525</xdr:rowOff>
    </xdr:from>
    <xdr:to>
      <xdr:col>2</xdr:col>
      <xdr:colOff>0</xdr:colOff>
      <xdr:row>436</xdr:row>
      <xdr:rowOff>98425</xdr:rowOff>
    </xdr:to>
    <xdr:pic macro="[0]!IFRSAllocPlusPressed">
      <xdr:nvPicPr>
        <xdr:cNvPr id="143" name="btnAllocPlus03" hidden="1">
          <a:extLst>
            <a:ext uri="{FF2B5EF4-FFF2-40B4-BE49-F238E27FC236}">
              <a16:creationId xmlns:a16="http://schemas.microsoft.com/office/drawing/2014/main" id="{00000000-0008-0000-0100-00008F00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50800" y="51063525"/>
          <a:ext cx="152400" cy="146050"/>
        </a:xfrm>
        <a:prstGeom prst="rect">
          <a:avLst/>
        </a:prstGeom>
        <a:noFill/>
        <a:ln w="9525">
          <a:noFill/>
          <a:miter lim="800000"/>
          <a:headEnd/>
          <a:tailEnd/>
        </a:ln>
      </xdr:spPr>
    </xdr:pic>
    <xdr:clientData fPrintsWithSheet="0"/>
  </xdr:twoCellAnchor>
  <xdr:twoCellAnchor editAs="oneCell">
    <xdr:from>
      <xdr:col>1</xdr:col>
      <xdr:colOff>12700</xdr:colOff>
      <xdr:row>357</xdr:row>
      <xdr:rowOff>0</xdr:rowOff>
    </xdr:from>
    <xdr:to>
      <xdr:col>2</xdr:col>
      <xdr:colOff>0</xdr:colOff>
      <xdr:row>436</xdr:row>
      <xdr:rowOff>98425</xdr:rowOff>
    </xdr:to>
    <xdr:pic macro="[0]!IFRSAllocMinusPressed">
      <xdr:nvPicPr>
        <xdr:cNvPr id="144" name="btnAllocMinus04" hidden="1">
          <a:extLst>
            <a:ext uri="{FF2B5EF4-FFF2-40B4-BE49-F238E27FC236}">
              <a16:creationId xmlns:a16="http://schemas.microsoft.com/office/drawing/2014/main" id="{00000000-0008-0000-0100-00009000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50800" y="51196875"/>
          <a:ext cx="152400" cy="146050"/>
        </a:xfrm>
        <a:prstGeom prst="rect">
          <a:avLst/>
        </a:prstGeom>
        <a:noFill/>
        <a:ln w="9525">
          <a:noFill/>
          <a:miter lim="800000"/>
          <a:headEnd/>
          <a:tailEnd/>
        </a:ln>
      </xdr:spPr>
    </xdr:pic>
    <xdr:clientData fPrintsWithSheet="0"/>
  </xdr:twoCellAnchor>
  <xdr:twoCellAnchor editAs="oneCell">
    <xdr:from>
      <xdr:col>1</xdr:col>
      <xdr:colOff>12700</xdr:colOff>
      <xdr:row>359</xdr:row>
      <xdr:rowOff>9525</xdr:rowOff>
    </xdr:from>
    <xdr:to>
      <xdr:col>2</xdr:col>
      <xdr:colOff>0</xdr:colOff>
      <xdr:row>436</xdr:row>
      <xdr:rowOff>98425</xdr:rowOff>
    </xdr:to>
    <xdr:pic macro="[0]!IFRSAllocPlusPressed">
      <xdr:nvPicPr>
        <xdr:cNvPr id="145" name="btnAllocPlus04" hidden="1">
          <a:extLst>
            <a:ext uri="{FF2B5EF4-FFF2-40B4-BE49-F238E27FC236}">
              <a16:creationId xmlns:a16="http://schemas.microsoft.com/office/drawing/2014/main" id="{00000000-0008-0000-0100-00009100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50800" y="51606450"/>
          <a:ext cx="152400" cy="146050"/>
        </a:xfrm>
        <a:prstGeom prst="rect">
          <a:avLst/>
        </a:prstGeom>
        <a:noFill/>
        <a:ln w="9525">
          <a:noFill/>
          <a:miter lim="800000"/>
          <a:headEnd/>
          <a:tailEnd/>
        </a:ln>
      </xdr:spPr>
    </xdr:pic>
    <xdr:clientData fPrintsWithSheet="0"/>
  </xdr:twoCellAnchor>
  <xdr:twoCellAnchor editAs="oneCell">
    <xdr:from>
      <xdr:col>1</xdr:col>
      <xdr:colOff>12700</xdr:colOff>
      <xdr:row>360</xdr:row>
      <xdr:rowOff>0</xdr:rowOff>
    </xdr:from>
    <xdr:to>
      <xdr:col>2</xdr:col>
      <xdr:colOff>0</xdr:colOff>
      <xdr:row>436</xdr:row>
      <xdr:rowOff>98425</xdr:rowOff>
    </xdr:to>
    <xdr:pic macro="[0]!IFRSAllocMinusPressed">
      <xdr:nvPicPr>
        <xdr:cNvPr id="146" name="btnAllocMinus05" hidden="1">
          <a:extLst>
            <a:ext uri="{FF2B5EF4-FFF2-40B4-BE49-F238E27FC236}">
              <a16:creationId xmlns:a16="http://schemas.microsoft.com/office/drawing/2014/main" id="{00000000-0008-0000-0100-00009200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50800" y="51739800"/>
          <a:ext cx="152400" cy="146050"/>
        </a:xfrm>
        <a:prstGeom prst="rect">
          <a:avLst/>
        </a:prstGeom>
        <a:noFill/>
        <a:ln w="9525">
          <a:noFill/>
          <a:miter lim="800000"/>
          <a:headEnd/>
          <a:tailEnd/>
        </a:ln>
      </xdr:spPr>
    </xdr:pic>
    <xdr:clientData fPrintsWithSheet="0"/>
  </xdr:twoCellAnchor>
  <xdr:twoCellAnchor editAs="oneCell">
    <xdr:from>
      <xdr:col>1</xdr:col>
      <xdr:colOff>12700</xdr:colOff>
      <xdr:row>362</xdr:row>
      <xdr:rowOff>9525</xdr:rowOff>
    </xdr:from>
    <xdr:to>
      <xdr:col>2</xdr:col>
      <xdr:colOff>0</xdr:colOff>
      <xdr:row>436</xdr:row>
      <xdr:rowOff>98425</xdr:rowOff>
    </xdr:to>
    <xdr:pic macro="[0]!IFRSAllocPlusPressed">
      <xdr:nvPicPr>
        <xdr:cNvPr id="147" name="btnAllocPlus05" hidden="1">
          <a:extLst>
            <a:ext uri="{FF2B5EF4-FFF2-40B4-BE49-F238E27FC236}">
              <a16:creationId xmlns:a16="http://schemas.microsoft.com/office/drawing/2014/main" id="{00000000-0008-0000-0100-00009300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50800" y="52149375"/>
          <a:ext cx="152400" cy="146050"/>
        </a:xfrm>
        <a:prstGeom prst="rect">
          <a:avLst/>
        </a:prstGeom>
        <a:noFill/>
        <a:ln w="9525">
          <a:noFill/>
          <a:miter lim="800000"/>
          <a:headEnd/>
          <a:tailEnd/>
        </a:ln>
      </xdr:spPr>
    </xdr:pic>
    <xdr:clientData fPrintsWithSheet="0"/>
  </xdr:twoCellAnchor>
  <xdr:twoCellAnchor editAs="oneCell">
    <xdr:from>
      <xdr:col>1</xdr:col>
      <xdr:colOff>12700</xdr:colOff>
      <xdr:row>363</xdr:row>
      <xdr:rowOff>0</xdr:rowOff>
    </xdr:from>
    <xdr:to>
      <xdr:col>2</xdr:col>
      <xdr:colOff>0</xdr:colOff>
      <xdr:row>436</xdr:row>
      <xdr:rowOff>98425</xdr:rowOff>
    </xdr:to>
    <xdr:pic macro="[0]!IFRSAllocMinusPressed">
      <xdr:nvPicPr>
        <xdr:cNvPr id="148" name="btnAllocMinus06" hidden="1">
          <a:extLst>
            <a:ext uri="{FF2B5EF4-FFF2-40B4-BE49-F238E27FC236}">
              <a16:creationId xmlns:a16="http://schemas.microsoft.com/office/drawing/2014/main" id="{00000000-0008-0000-0100-00009400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50800" y="52282725"/>
          <a:ext cx="152400" cy="146050"/>
        </a:xfrm>
        <a:prstGeom prst="rect">
          <a:avLst/>
        </a:prstGeom>
        <a:noFill/>
        <a:ln w="9525">
          <a:noFill/>
          <a:miter lim="800000"/>
          <a:headEnd/>
          <a:tailEnd/>
        </a:ln>
      </xdr:spPr>
    </xdr:pic>
    <xdr:clientData fPrintsWithSheet="0"/>
  </xdr:twoCellAnchor>
  <xdr:twoCellAnchor editAs="oneCell">
    <xdr:from>
      <xdr:col>1</xdr:col>
      <xdr:colOff>12700</xdr:colOff>
      <xdr:row>365</xdr:row>
      <xdr:rowOff>9525</xdr:rowOff>
    </xdr:from>
    <xdr:to>
      <xdr:col>2</xdr:col>
      <xdr:colOff>0</xdr:colOff>
      <xdr:row>436</xdr:row>
      <xdr:rowOff>98425</xdr:rowOff>
    </xdr:to>
    <xdr:pic macro="[0]!IFRSAllocPlusPressed">
      <xdr:nvPicPr>
        <xdr:cNvPr id="149" name="btnAllocPlus06" hidden="1">
          <a:extLst>
            <a:ext uri="{FF2B5EF4-FFF2-40B4-BE49-F238E27FC236}">
              <a16:creationId xmlns:a16="http://schemas.microsoft.com/office/drawing/2014/main" id="{00000000-0008-0000-0100-00009500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50800" y="52692300"/>
          <a:ext cx="152400" cy="146050"/>
        </a:xfrm>
        <a:prstGeom prst="rect">
          <a:avLst/>
        </a:prstGeom>
        <a:noFill/>
        <a:ln w="9525">
          <a:noFill/>
          <a:miter lim="800000"/>
          <a:headEnd/>
          <a:tailEnd/>
        </a:ln>
      </xdr:spPr>
    </xdr:pic>
    <xdr:clientData fPrintsWithSheet="0"/>
  </xdr:twoCellAnchor>
  <xdr:twoCellAnchor editAs="oneCell">
    <xdr:from>
      <xdr:col>1</xdr:col>
      <xdr:colOff>12700</xdr:colOff>
      <xdr:row>366</xdr:row>
      <xdr:rowOff>0</xdr:rowOff>
    </xdr:from>
    <xdr:to>
      <xdr:col>2</xdr:col>
      <xdr:colOff>0</xdr:colOff>
      <xdr:row>436</xdr:row>
      <xdr:rowOff>98425</xdr:rowOff>
    </xdr:to>
    <xdr:pic macro="[0]!IFRSAllocMinusPressed">
      <xdr:nvPicPr>
        <xdr:cNvPr id="150" name="btnAllocMinus07" hidden="1">
          <a:extLst>
            <a:ext uri="{FF2B5EF4-FFF2-40B4-BE49-F238E27FC236}">
              <a16:creationId xmlns:a16="http://schemas.microsoft.com/office/drawing/2014/main" id="{00000000-0008-0000-0100-00009600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50800" y="52825650"/>
          <a:ext cx="152400" cy="146050"/>
        </a:xfrm>
        <a:prstGeom prst="rect">
          <a:avLst/>
        </a:prstGeom>
        <a:noFill/>
        <a:ln w="9525">
          <a:noFill/>
          <a:miter lim="800000"/>
          <a:headEnd/>
          <a:tailEnd/>
        </a:ln>
      </xdr:spPr>
    </xdr:pic>
    <xdr:clientData fPrintsWithSheet="0"/>
  </xdr:twoCellAnchor>
  <xdr:twoCellAnchor editAs="oneCell">
    <xdr:from>
      <xdr:col>1</xdr:col>
      <xdr:colOff>12700</xdr:colOff>
      <xdr:row>368</xdr:row>
      <xdr:rowOff>9525</xdr:rowOff>
    </xdr:from>
    <xdr:to>
      <xdr:col>2</xdr:col>
      <xdr:colOff>0</xdr:colOff>
      <xdr:row>436</xdr:row>
      <xdr:rowOff>98425</xdr:rowOff>
    </xdr:to>
    <xdr:pic macro="[0]!IFRSAllocPlusPressed">
      <xdr:nvPicPr>
        <xdr:cNvPr id="151" name="btnAllocPlus07" hidden="1">
          <a:extLst>
            <a:ext uri="{FF2B5EF4-FFF2-40B4-BE49-F238E27FC236}">
              <a16:creationId xmlns:a16="http://schemas.microsoft.com/office/drawing/2014/main" id="{00000000-0008-0000-0100-00009700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50800" y="53235225"/>
          <a:ext cx="152400" cy="146050"/>
        </a:xfrm>
        <a:prstGeom prst="rect">
          <a:avLst/>
        </a:prstGeom>
        <a:noFill/>
        <a:ln w="9525">
          <a:noFill/>
          <a:miter lim="800000"/>
          <a:headEnd/>
          <a:tailEnd/>
        </a:ln>
      </xdr:spPr>
    </xdr:pic>
    <xdr:clientData fPrintsWithSheet="0"/>
  </xdr:twoCellAnchor>
  <xdr:twoCellAnchor editAs="oneCell">
    <xdr:from>
      <xdr:col>1</xdr:col>
      <xdr:colOff>12700</xdr:colOff>
      <xdr:row>369</xdr:row>
      <xdr:rowOff>0</xdr:rowOff>
    </xdr:from>
    <xdr:to>
      <xdr:col>2</xdr:col>
      <xdr:colOff>0</xdr:colOff>
      <xdr:row>436</xdr:row>
      <xdr:rowOff>98425</xdr:rowOff>
    </xdr:to>
    <xdr:pic macro="[0]!IFRSAllocMinusPressed">
      <xdr:nvPicPr>
        <xdr:cNvPr id="152" name="btnAllocMinus08" hidden="1">
          <a:extLst>
            <a:ext uri="{FF2B5EF4-FFF2-40B4-BE49-F238E27FC236}">
              <a16:creationId xmlns:a16="http://schemas.microsoft.com/office/drawing/2014/main" id="{00000000-0008-0000-0100-00009800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50800" y="53368575"/>
          <a:ext cx="152400" cy="146050"/>
        </a:xfrm>
        <a:prstGeom prst="rect">
          <a:avLst/>
        </a:prstGeom>
        <a:noFill/>
        <a:ln w="9525">
          <a:noFill/>
          <a:miter lim="800000"/>
          <a:headEnd/>
          <a:tailEnd/>
        </a:ln>
      </xdr:spPr>
    </xdr:pic>
    <xdr:clientData fPrintsWithSheet="0"/>
  </xdr:twoCellAnchor>
  <xdr:twoCellAnchor editAs="oneCell">
    <xdr:from>
      <xdr:col>1</xdr:col>
      <xdr:colOff>12700</xdr:colOff>
      <xdr:row>371</xdr:row>
      <xdr:rowOff>9525</xdr:rowOff>
    </xdr:from>
    <xdr:to>
      <xdr:col>2</xdr:col>
      <xdr:colOff>0</xdr:colOff>
      <xdr:row>436</xdr:row>
      <xdr:rowOff>98425</xdr:rowOff>
    </xdr:to>
    <xdr:pic macro="[0]!IFRSAllocPlusPressed">
      <xdr:nvPicPr>
        <xdr:cNvPr id="153" name="btnAllocPlus08" hidden="1">
          <a:extLst>
            <a:ext uri="{FF2B5EF4-FFF2-40B4-BE49-F238E27FC236}">
              <a16:creationId xmlns:a16="http://schemas.microsoft.com/office/drawing/2014/main" id="{00000000-0008-0000-0100-00009900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50800" y="53778150"/>
          <a:ext cx="152400" cy="146050"/>
        </a:xfrm>
        <a:prstGeom prst="rect">
          <a:avLst/>
        </a:prstGeom>
        <a:noFill/>
        <a:ln w="9525">
          <a:noFill/>
          <a:miter lim="800000"/>
          <a:headEnd/>
          <a:tailEnd/>
        </a:ln>
      </xdr:spPr>
    </xdr:pic>
    <xdr:clientData fPrintsWithSheet="0"/>
  </xdr:twoCellAnchor>
  <xdr:twoCellAnchor editAs="oneCell">
    <xdr:from>
      <xdr:col>1</xdr:col>
      <xdr:colOff>12700</xdr:colOff>
      <xdr:row>372</xdr:row>
      <xdr:rowOff>0</xdr:rowOff>
    </xdr:from>
    <xdr:to>
      <xdr:col>2</xdr:col>
      <xdr:colOff>0</xdr:colOff>
      <xdr:row>436</xdr:row>
      <xdr:rowOff>98425</xdr:rowOff>
    </xdr:to>
    <xdr:pic macro="[0]!IFRSAllocMinusPressed">
      <xdr:nvPicPr>
        <xdr:cNvPr id="154" name="btnAllocMinus09" hidden="1">
          <a:extLst>
            <a:ext uri="{FF2B5EF4-FFF2-40B4-BE49-F238E27FC236}">
              <a16:creationId xmlns:a16="http://schemas.microsoft.com/office/drawing/2014/main" id="{00000000-0008-0000-0100-00009A00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50800" y="53911500"/>
          <a:ext cx="152400" cy="146050"/>
        </a:xfrm>
        <a:prstGeom prst="rect">
          <a:avLst/>
        </a:prstGeom>
        <a:noFill/>
        <a:ln w="9525">
          <a:noFill/>
          <a:miter lim="800000"/>
          <a:headEnd/>
          <a:tailEnd/>
        </a:ln>
      </xdr:spPr>
    </xdr:pic>
    <xdr:clientData fPrintsWithSheet="0"/>
  </xdr:twoCellAnchor>
  <xdr:twoCellAnchor editAs="oneCell">
    <xdr:from>
      <xdr:col>1</xdr:col>
      <xdr:colOff>12700</xdr:colOff>
      <xdr:row>374</xdr:row>
      <xdr:rowOff>9525</xdr:rowOff>
    </xdr:from>
    <xdr:to>
      <xdr:col>2</xdr:col>
      <xdr:colOff>0</xdr:colOff>
      <xdr:row>436</xdr:row>
      <xdr:rowOff>98425</xdr:rowOff>
    </xdr:to>
    <xdr:pic macro="[0]!IFRSAllocPlusPressed">
      <xdr:nvPicPr>
        <xdr:cNvPr id="155" name="btnAllocPlus09" hidden="1">
          <a:extLst>
            <a:ext uri="{FF2B5EF4-FFF2-40B4-BE49-F238E27FC236}">
              <a16:creationId xmlns:a16="http://schemas.microsoft.com/office/drawing/2014/main" id="{00000000-0008-0000-0100-00009B00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50800" y="54321075"/>
          <a:ext cx="152400" cy="146050"/>
        </a:xfrm>
        <a:prstGeom prst="rect">
          <a:avLst/>
        </a:prstGeom>
        <a:noFill/>
        <a:ln w="9525">
          <a:noFill/>
          <a:miter lim="800000"/>
          <a:headEnd/>
          <a:tailEnd/>
        </a:ln>
      </xdr:spPr>
    </xdr:pic>
    <xdr:clientData fPrintsWithSheet="0"/>
  </xdr:twoCellAnchor>
  <xdr:twoCellAnchor editAs="oneCell">
    <xdr:from>
      <xdr:col>1</xdr:col>
      <xdr:colOff>12700</xdr:colOff>
      <xdr:row>375</xdr:row>
      <xdr:rowOff>0</xdr:rowOff>
    </xdr:from>
    <xdr:to>
      <xdr:col>2</xdr:col>
      <xdr:colOff>0</xdr:colOff>
      <xdr:row>436</xdr:row>
      <xdr:rowOff>98425</xdr:rowOff>
    </xdr:to>
    <xdr:pic macro="[0]!IFRSAllocMinusPressed">
      <xdr:nvPicPr>
        <xdr:cNvPr id="156" name="btnAllocMinus10" hidden="1">
          <a:extLst>
            <a:ext uri="{FF2B5EF4-FFF2-40B4-BE49-F238E27FC236}">
              <a16:creationId xmlns:a16="http://schemas.microsoft.com/office/drawing/2014/main" id="{00000000-0008-0000-0100-00009C00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50800" y="54454425"/>
          <a:ext cx="152400" cy="146050"/>
        </a:xfrm>
        <a:prstGeom prst="rect">
          <a:avLst/>
        </a:prstGeom>
        <a:noFill/>
        <a:ln w="9525">
          <a:noFill/>
          <a:miter lim="800000"/>
          <a:headEnd/>
          <a:tailEnd/>
        </a:ln>
      </xdr:spPr>
    </xdr:pic>
    <xdr:clientData fPrintsWithSheet="0"/>
  </xdr:twoCellAnchor>
  <xdr:twoCellAnchor editAs="oneCell">
    <xdr:from>
      <xdr:col>1</xdr:col>
      <xdr:colOff>12700</xdr:colOff>
      <xdr:row>377</xdr:row>
      <xdr:rowOff>9525</xdr:rowOff>
    </xdr:from>
    <xdr:to>
      <xdr:col>2</xdr:col>
      <xdr:colOff>0</xdr:colOff>
      <xdr:row>436</xdr:row>
      <xdr:rowOff>98425</xdr:rowOff>
    </xdr:to>
    <xdr:pic macro="[0]!IFRSAllocPlusPressed">
      <xdr:nvPicPr>
        <xdr:cNvPr id="157" name="btnAllocPlus10" hidden="1">
          <a:extLst>
            <a:ext uri="{FF2B5EF4-FFF2-40B4-BE49-F238E27FC236}">
              <a16:creationId xmlns:a16="http://schemas.microsoft.com/office/drawing/2014/main" id="{00000000-0008-0000-0100-00009D00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50800" y="54864000"/>
          <a:ext cx="152400" cy="146050"/>
        </a:xfrm>
        <a:prstGeom prst="rect">
          <a:avLst/>
        </a:prstGeom>
        <a:noFill/>
        <a:ln w="9525">
          <a:noFill/>
          <a:miter lim="800000"/>
          <a:headEnd/>
          <a:tailEnd/>
        </a:ln>
      </xdr:spPr>
    </xdr:pic>
    <xdr:clientData fPrintsWithSheet="0"/>
  </xdr:twoCellAnchor>
  <xdr:twoCellAnchor editAs="oneCell">
    <xdr:from>
      <xdr:col>1</xdr:col>
      <xdr:colOff>12700</xdr:colOff>
      <xdr:row>378</xdr:row>
      <xdr:rowOff>0</xdr:rowOff>
    </xdr:from>
    <xdr:to>
      <xdr:col>2</xdr:col>
      <xdr:colOff>0</xdr:colOff>
      <xdr:row>436</xdr:row>
      <xdr:rowOff>98425</xdr:rowOff>
    </xdr:to>
    <xdr:pic macro="[0]!IFRSAllocMinusPressed">
      <xdr:nvPicPr>
        <xdr:cNvPr id="158" name="btnAllocMinus11" hidden="1">
          <a:extLst>
            <a:ext uri="{FF2B5EF4-FFF2-40B4-BE49-F238E27FC236}">
              <a16:creationId xmlns:a16="http://schemas.microsoft.com/office/drawing/2014/main" id="{00000000-0008-0000-0100-00009E00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50800" y="54997350"/>
          <a:ext cx="152400" cy="146050"/>
        </a:xfrm>
        <a:prstGeom prst="rect">
          <a:avLst/>
        </a:prstGeom>
        <a:noFill/>
        <a:ln w="9525">
          <a:noFill/>
          <a:miter lim="800000"/>
          <a:headEnd/>
          <a:tailEnd/>
        </a:ln>
      </xdr:spPr>
    </xdr:pic>
    <xdr:clientData fPrintsWithSheet="0"/>
  </xdr:twoCellAnchor>
  <xdr:twoCellAnchor editAs="oneCell">
    <xdr:from>
      <xdr:col>1</xdr:col>
      <xdr:colOff>12700</xdr:colOff>
      <xdr:row>380</xdr:row>
      <xdr:rowOff>9525</xdr:rowOff>
    </xdr:from>
    <xdr:to>
      <xdr:col>2</xdr:col>
      <xdr:colOff>0</xdr:colOff>
      <xdr:row>436</xdr:row>
      <xdr:rowOff>98425</xdr:rowOff>
    </xdr:to>
    <xdr:pic macro="[0]!IFRSAllocPlusPressed">
      <xdr:nvPicPr>
        <xdr:cNvPr id="159" name="btnAllocPlus11" hidden="1">
          <a:extLst>
            <a:ext uri="{FF2B5EF4-FFF2-40B4-BE49-F238E27FC236}">
              <a16:creationId xmlns:a16="http://schemas.microsoft.com/office/drawing/2014/main" id="{00000000-0008-0000-0100-00009F00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50800" y="55406925"/>
          <a:ext cx="152400" cy="146050"/>
        </a:xfrm>
        <a:prstGeom prst="rect">
          <a:avLst/>
        </a:prstGeom>
        <a:noFill/>
        <a:ln w="9525">
          <a:noFill/>
          <a:miter lim="800000"/>
          <a:headEnd/>
          <a:tailEnd/>
        </a:ln>
      </xdr:spPr>
    </xdr:pic>
    <xdr:clientData fPrintsWithSheet="0"/>
  </xdr:twoCellAnchor>
  <xdr:twoCellAnchor editAs="oneCell">
    <xdr:from>
      <xdr:col>1</xdr:col>
      <xdr:colOff>12700</xdr:colOff>
      <xdr:row>381</xdr:row>
      <xdr:rowOff>0</xdr:rowOff>
    </xdr:from>
    <xdr:to>
      <xdr:col>2</xdr:col>
      <xdr:colOff>0</xdr:colOff>
      <xdr:row>436</xdr:row>
      <xdr:rowOff>98425</xdr:rowOff>
    </xdr:to>
    <xdr:pic macro="[0]!IFRSAllocMinusPressed">
      <xdr:nvPicPr>
        <xdr:cNvPr id="160" name="btnAllocMinus12" hidden="1">
          <a:extLst>
            <a:ext uri="{FF2B5EF4-FFF2-40B4-BE49-F238E27FC236}">
              <a16:creationId xmlns:a16="http://schemas.microsoft.com/office/drawing/2014/main" id="{00000000-0008-0000-0100-0000A000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50800" y="55540275"/>
          <a:ext cx="152400" cy="146050"/>
        </a:xfrm>
        <a:prstGeom prst="rect">
          <a:avLst/>
        </a:prstGeom>
        <a:noFill/>
        <a:ln w="9525">
          <a:noFill/>
          <a:miter lim="800000"/>
          <a:headEnd/>
          <a:tailEnd/>
        </a:ln>
      </xdr:spPr>
    </xdr:pic>
    <xdr:clientData fPrintsWithSheet="0"/>
  </xdr:twoCellAnchor>
  <xdr:twoCellAnchor editAs="oneCell">
    <xdr:from>
      <xdr:col>1</xdr:col>
      <xdr:colOff>12700</xdr:colOff>
      <xdr:row>384</xdr:row>
      <xdr:rowOff>0</xdr:rowOff>
    </xdr:from>
    <xdr:to>
      <xdr:col>2</xdr:col>
      <xdr:colOff>0</xdr:colOff>
      <xdr:row>436</xdr:row>
      <xdr:rowOff>98425</xdr:rowOff>
    </xdr:to>
    <xdr:pic macro="[0]!ToggleAllocatedTax">
      <xdr:nvPicPr>
        <xdr:cNvPr id="161" name="btnIFRSAllocTaxDetail" descr="rspec2" hidden="1">
          <a:extLst>
            <a:ext uri="{FF2B5EF4-FFF2-40B4-BE49-F238E27FC236}">
              <a16:creationId xmlns:a16="http://schemas.microsoft.com/office/drawing/2014/main" id="{00000000-0008-0000-0100-0000A100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50800" y="56083200"/>
          <a:ext cx="152400" cy="146050"/>
        </a:xfrm>
        <a:prstGeom prst="rect">
          <a:avLst/>
        </a:prstGeom>
        <a:noFill/>
        <a:ln w="9525">
          <a:noFill/>
          <a:miter lim="800000"/>
          <a:headEnd/>
          <a:tailEnd/>
        </a:ln>
      </xdr:spPr>
    </xdr:pic>
    <xdr:clientData fPrintsWithSheet="0"/>
  </xdr:twoCellAnchor>
  <xdr:twoCellAnchor editAs="oneCell">
    <xdr:from>
      <xdr:col>2</xdr:col>
      <xdr:colOff>3175</xdr:colOff>
      <xdr:row>712</xdr:row>
      <xdr:rowOff>38100</xdr:rowOff>
    </xdr:from>
    <xdr:to>
      <xdr:col>2</xdr:col>
      <xdr:colOff>107950</xdr:colOff>
      <xdr:row>728</xdr:row>
      <xdr:rowOff>107950</xdr:rowOff>
    </xdr:to>
    <xdr:pic macro="[0]!FlipAsset">
      <xdr:nvPicPr>
        <xdr:cNvPr id="162" name="btnFlipAsset01" hidden="1">
          <a:extLst>
            <a:ext uri="{FF2B5EF4-FFF2-40B4-BE49-F238E27FC236}">
              <a16:creationId xmlns:a16="http://schemas.microsoft.com/office/drawing/2014/main" id="{00000000-0008-0000-0100-0000A2000000}"/>
            </a:ext>
          </a:extLst>
        </xdr:cNvPr>
        <xdr:cNvPicPr>
          <a:picLocks noChangeAspect="1" noChangeArrowheads="1"/>
        </xdr:cNvPicPr>
      </xdr:nvPicPr>
      <xdr:blipFill>
        <a:blip xmlns:r="http://schemas.openxmlformats.org/officeDocument/2006/relationships" r:embed="rId14" cstate="print"/>
        <a:srcRect/>
        <a:stretch>
          <a:fillRect/>
        </a:stretch>
      </xdr:blipFill>
      <xdr:spPr bwMode="auto">
        <a:xfrm>
          <a:off x="203200" y="92097225"/>
          <a:ext cx="104775" cy="107950"/>
        </a:xfrm>
        <a:prstGeom prst="rect">
          <a:avLst/>
        </a:prstGeom>
        <a:noFill/>
        <a:ln w="9525">
          <a:noFill/>
          <a:miter lim="800000"/>
          <a:headEnd/>
          <a:tailEnd/>
        </a:ln>
      </xdr:spPr>
    </xdr:pic>
    <xdr:clientData fPrintsWithSheet="0"/>
  </xdr:twoCellAnchor>
  <xdr:twoCellAnchor editAs="oneCell">
    <xdr:from>
      <xdr:col>2</xdr:col>
      <xdr:colOff>3175</xdr:colOff>
      <xdr:row>716</xdr:row>
      <xdr:rowOff>38100</xdr:rowOff>
    </xdr:from>
    <xdr:to>
      <xdr:col>2</xdr:col>
      <xdr:colOff>107950</xdr:colOff>
      <xdr:row>728</xdr:row>
      <xdr:rowOff>107950</xdr:rowOff>
    </xdr:to>
    <xdr:pic macro="[0]!FlipAsset">
      <xdr:nvPicPr>
        <xdr:cNvPr id="163" name="btnFlipAsset02" hidden="1">
          <a:extLst>
            <a:ext uri="{FF2B5EF4-FFF2-40B4-BE49-F238E27FC236}">
              <a16:creationId xmlns:a16="http://schemas.microsoft.com/office/drawing/2014/main" id="{00000000-0008-0000-0100-0000A300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203200" y="92783025"/>
          <a:ext cx="104775" cy="107950"/>
        </a:xfrm>
        <a:prstGeom prst="rect">
          <a:avLst/>
        </a:prstGeom>
        <a:noFill/>
        <a:ln w="9525">
          <a:noFill/>
          <a:miter lim="800000"/>
          <a:headEnd/>
          <a:tailEnd/>
        </a:ln>
      </xdr:spPr>
    </xdr:pic>
    <xdr:clientData fPrintsWithSheet="0"/>
  </xdr:twoCellAnchor>
  <xdr:twoCellAnchor editAs="oneCell">
    <xdr:from>
      <xdr:col>2</xdr:col>
      <xdr:colOff>3175</xdr:colOff>
      <xdr:row>720</xdr:row>
      <xdr:rowOff>38100</xdr:rowOff>
    </xdr:from>
    <xdr:to>
      <xdr:col>2</xdr:col>
      <xdr:colOff>107950</xdr:colOff>
      <xdr:row>728</xdr:row>
      <xdr:rowOff>107950</xdr:rowOff>
    </xdr:to>
    <xdr:pic macro="[0]!FlipAsset">
      <xdr:nvPicPr>
        <xdr:cNvPr id="164" name="btnFlipAsset03" hidden="1">
          <a:extLst>
            <a:ext uri="{FF2B5EF4-FFF2-40B4-BE49-F238E27FC236}">
              <a16:creationId xmlns:a16="http://schemas.microsoft.com/office/drawing/2014/main" id="{00000000-0008-0000-0100-0000A400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203200" y="93468825"/>
          <a:ext cx="104775" cy="107950"/>
        </a:xfrm>
        <a:prstGeom prst="rect">
          <a:avLst/>
        </a:prstGeom>
        <a:noFill/>
        <a:ln w="9525">
          <a:noFill/>
          <a:miter lim="800000"/>
          <a:headEnd/>
          <a:tailEnd/>
        </a:ln>
      </xdr:spPr>
    </xdr:pic>
    <xdr:clientData fPrintsWithSheet="0"/>
  </xdr:twoCellAnchor>
  <xdr:twoCellAnchor editAs="oneCell">
    <xdr:from>
      <xdr:col>2</xdr:col>
      <xdr:colOff>3175</xdr:colOff>
      <xdr:row>724</xdr:row>
      <xdr:rowOff>38100</xdr:rowOff>
    </xdr:from>
    <xdr:to>
      <xdr:col>2</xdr:col>
      <xdr:colOff>107950</xdr:colOff>
      <xdr:row>728</xdr:row>
      <xdr:rowOff>107950</xdr:rowOff>
    </xdr:to>
    <xdr:pic macro="[0]!FlipAsset">
      <xdr:nvPicPr>
        <xdr:cNvPr id="165" name="btnFlipAsset04" hidden="1">
          <a:extLst>
            <a:ext uri="{FF2B5EF4-FFF2-40B4-BE49-F238E27FC236}">
              <a16:creationId xmlns:a16="http://schemas.microsoft.com/office/drawing/2014/main" id="{00000000-0008-0000-0100-0000A500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203200" y="94154625"/>
          <a:ext cx="104775" cy="107950"/>
        </a:xfrm>
        <a:prstGeom prst="rect">
          <a:avLst/>
        </a:prstGeom>
        <a:noFill/>
        <a:ln w="9525">
          <a:noFill/>
          <a:miter lim="800000"/>
          <a:headEnd/>
          <a:tailEnd/>
        </a:ln>
      </xdr:spPr>
    </xdr:pic>
    <xdr:clientData fPrintsWithSheet="0"/>
  </xdr:twoCellAnchor>
  <xdr:twoCellAnchor editAs="oneCell">
    <xdr:from>
      <xdr:col>2</xdr:col>
      <xdr:colOff>3175</xdr:colOff>
      <xdr:row>729</xdr:row>
      <xdr:rowOff>38100</xdr:rowOff>
    </xdr:from>
    <xdr:to>
      <xdr:col>2</xdr:col>
      <xdr:colOff>107950</xdr:colOff>
      <xdr:row>749</xdr:row>
      <xdr:rowOff>104775</xdr:rowOff>
    </xdr:to>
    <xdr:pic macro="[0]!FlipAsset">
      <xdr:nvPicPr>
        <xdr:cNvPr id="166" name="btnFlipAsset05" hidden="1">
          <a:extLst>
            <a:ext uri="{FF2B5EF4-FFF2-40B4-BE49-F238E27FC236}">
              <a16:creationId xmlns:a16="http://schemas.microsoft.com/office/drawing/2014/main" id="{00000000-0008-0000-0100-0000A600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203200" y="95002350"/>
          <a:ext cx="104775" cy="104775"/>
        </a:xfrm>
        <a:prstGeom prst="rect">
          <a:avLst/>
        </a:prstGeom>
        <a:noFill/>
        <a:ln w="9525">
          <a:noFill/>
          <a:miter lim="800000"/>
          <a:headEnd/>
          <a:tailEnd/>
        </a:ln>
      </xdr:spPr>
    </xdr:pic>
    <xdr:clientData fPrintsWithSheet="0"/>
  </xdr:twoCellAnchor>
  <xdr:twoCellAnchor editAs="oneCell">
    <xdr:from>
      <xdr:col>2</xdr:col>
      <xdr:colOff>3175</xdr:colOff>
      <xdr:row>733</xdr:row>
      <xdr:rowOff>38100</xdr:rowOff>
    </xdr:from>
    <xdr:to>
      <xdr:col>2</xdr:col>
      <xdr:colOff>107950</xdr:colOff>
      <xdr:row>749</xdr:row>
      <xdr:rowOff>104775</xdr:rowOff>
    </xdr:to>
    <xdr:pic macro="[0]!FlipAsset">
      <xdr:nvPicPr>
        <xdr:cNvPr id="167" name="btnFlipAsset06" hidden="1">
          <a:extLst>
            <a:ext uri="{FF2B5EF4-FFF2-40B4-BE49-F238E27FC236}">
              <a16:creationId xmlns:a16="http://schemas.microsoft.com/office/drawing/2014/main" id="{00000000-0008-0000-0100-0000A700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203200" y="95697675"/>
          <a:ext cx="104775" cy="104775"/>
        </a:xfrm>
        <a:prstGeom prst="rect">
          <a:avLst/>
        </a:prstGeom>
        <a:noFill/>
        <a:ln w="9525">
          <a:noFill/>
          <a:miter lim="800000"/>
          <a:headEnd/>
          <a:tailEnd/>
        </a:ln>
      </xdr:spPr>
    </xdr:pic>
    <xdr:clientData fPrintsWithSheet="0"/>
  </xdr:twoCellAnchor>
  <xdr:twoCellAnchor editAs="oneCell">
    <xdr:from>
      <xdr:col>2</xdr:col>
      <xdr:colOff>3175</xdr:colOff>
      <xdr:row>737</xdr:row>
      <xdr:rowOff>38100</xdr:rowOff>
    </xdr:from>
    <xdr:to>
      <xdr:col>2</xdr:col>
      <xdr:colOff>107950</xdr:colOff>
      <xdr:row>749</xdr:row>
      <xdr:rowOff>104775</xdr:rowOff>
    </xdr:to>
    <xdr:pic macro="[0]!FlipAsset">
      <xdr:nvPicPr>
        <xdr:cNvPr id="168" name="btnFlipAsset07" hidden="1">
          <a:extLst>
            <a:ext uri="{FF2B5EF4-FFF2-40B4-BE49-F238E27FC236}">
              <a16:creationId xmlns:a16="http://schemas.microsoft.com/office/drawing/2014/main" id="{00000000-0008-0000-0100-0000A800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203200" y="96393000"/>
          <a:ext cx="104775" cy="104775"/>
        </a:xfrm>
        <a:prstGeom prst="rect">
          <a:avLst/>
        </a:prstGeom>
        <a:noFill/>
        <a:ln w="9525">
          <a:noFill/>
          <a:miter lim="800000"/>
          <a:headEnd/>
          <a:tailEnd/>
        </a:ln>
      </xdr:spPr>
    </xdr:pic>
    <xdr:clientData fPrintsWithSheet="0"/>
  </xdr:twoCellAnchor>
  <xdr:twoCellAnchor editAs="oneCell">
    <xdr:from>
      <xdr:col>2</xdr:col>
      <xdr:colOff>3175</xdr:colOff>
      <xdr:row>745</xdr:row>
      <xdr:rowOff>38100</xdr:rowOff>
    </xdr:from>
    <xdr:to>
      <xdr:col>2</xdr:col>
      <xdr:colOff>107950</xdr:colOff>
      <xdr:row>749</xdr:row>
      <xdr:rowOff>104775</xdr:rowOff>
    </xdr:to>
    <xdr:pic macro="[0]!FlipAsset">
      <xdr:nvPicPr>
        <xdr:cNvPr id="169" name="btnFlipAsset08" hidden="1">
          <a:extLst>
            <a:ext uri="{FF2B5EF4-FFF2-40B4-BE49-F238E27FC236}">
              <a16:creationId xmlns:a16="http://schemas.microsoft.com/office/drawing/2014/main" id="{00000000-0008-0000-0100-0000A900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203200" y="97783650"/>
          <a:ext cx="104775" cy="104775"/>
        </a:xfrm>
        <a:prstGeom prst="rect">
          <a:avLst/>
        </a:prstGeom>
        <a:noFill/>
        <a:ln w="9525">
          <a:noFill/>
          <a:miter lim="800000"/>
          <a:headEnd/>
          <a:tailEnd/>
        </a:ln>
      </xdr:spPr>
    </xdr:pic>
    <xdr:clientData fPrintsWithSheet="0"/>
  </xdr:twoCellAnchor>
  <xdr:twoCellAnchor editAs="oneCell">
    <xdr:from>
      <xdr:col>2</xdr:col>
      <xdr:colOff>3175</xdr:colOff>
      <xdr:row>750</xdr:row>
      <xdr:rowOff>38100</xdr:rowOff>
    </xdr:from>
    <xdr:to>
      <xdr:col>2</xdr:col>
      <xdr:colOff>107950</xdr:colOff>
      <xdr:row>766</xdr:row>
      <xdr:rowOff>104775</xdr:rowOff>
    </xdr:to>
    <xdr:pic macro="[0]!FlipAsset">
      <xdr:nvPicPr>
        <xdr:cNvPr id="170" name="btnFlipAsset09" hidden="1">
          <a:extLst>
            <a:ext uri="{FF2B5EF4-FFF2-40B4-BE49-F238E27FC236}">
              <a16:creationId xmlns:a16="http://schemas.microsoft.com/office/drawing/2014/main" id="{00000000-0008-0000-0100-0000AA00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203200" y="98640900"/>
          <a:ext cx="104775" cy="104775"/>
        </a:xfrm>
        <a:prstGeom prst="rect">
          <a:avLst/>
        </a:prstGeom>
        <a:noFill/>
        <a:ln w="9525">
          <a:noFill/>
          <a:miter lim="800000"/>
          <a:headEnd/>
          <a:tailEnd/>
        </a:ln>
      </xdr:spPr>
    </xdr:pic>
    <xdr:clientData fPrintsWithSheet="0"/>
  </xdr:twoCellAnchor>
  <xdr:twoCellAnchor editAs="oneCell">
    <xdr:from>
      <xdr:col>2</xdr:col>
      <xdr:colOff>3175</xdr:colOff>
      <xdr:row>754</xdr:row>
      <xdr:rowOff>38100</xdr:rowOff>
    </xdr:from>
    <xdr:to>
      <xdr:col>2</xdr:col>
      <xdr:colOff>107950</xdr:colOff>
      <xdr:row>766</xdr:row>
      <xdr:rowOff>104775</xdr:rowOff>
    </xdr:to>
    <xdr:pic macro="[0]!FlipAsset">
      <xdr:nvPicPr>
        <xdr:cNvPr id="171" name="btnFlipAsset10" hidden="1">
          <a:extLst>
            <a:ext uri="{FF2B5EF4-FFF2-40B4-BE49-F238E27FC236}">
              <a16:creationId xmlns:a16="http://schemas.microsoft.com/office/drawing/2014/main" id="{00000000-0008-0000-0100-0000AB00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203200" y="99336225"/>
          <a:ext cx="104775" cy="104775"/>
        </a:xfrm>
        <a:prstGeom prst="rect">
          <a:avLst/>
        </a:prstGeom>
        <a:noFill/>
        <a:ln w="9525">
          <a:noFill/>
          <a:miter lim="800000"/>
          <a:headEnd/>
          <a:tailEnd/>
        </a:ln>
      </xdr:spPr>
    </xdr:pic>
    <xdr:clientData fPrintsWithSheet="0"/>
  </xdr:twoCellAnchor>
  <xdr:twoCellAnchor editAs="oneCell">
    <xdr:from>
      <xdr:col>2</xdr:col>
      <xdr:colOff>3175</xdr:colOff>
      <xdr:row>758</xdr:row>
      <xdr:rowOff>38100</xdr:rowOff>
    </xdr:from>
    <xdr:to>
      <xdr:col>2</xdr:col>
      <xdr:colOff>107950</xdr:colOff>
      <xdr:row>766</xdr:row>
      <xdr:rowOff>104775</xdr:rowOff>
    </xdr:to>
    <xdr:pic macro="[0]!FlipAsset">
      <xdr:nvPicPr>
        <xdr:cNvPr id="172" name="btnFlipAsset11" hidden="1">
          <a:extLst>
            <a:ext uri="{FF2B5EF4-FFF2-40B4-BE49-F238E27FC236}">
              <a16:creationId xmlns:a16="http://schemas.microsoft.com/office/drawing/2014/main" id="{00000000-0008-0000-0100-0000AC00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203200" y="100031550"/>
          <a:ext cx="104775" cy="104775"/>
        </a:xfrm>
        <a:prstGeom prst="rect">
          <a:avLst/>
        </a:prstGeom>
        <a:noFill/>
        <a:ln w="9525">
          <a:noFill/>
          <a:miter lim="800000"/>
          <a:headEnd/>
          <a:tailEnd/>
        </a:ln>
      </xdr:spPr>
    </xdr:pic>
    <xdr:clientData fPrintsWithSheet="0"/>
  </xdr:twoCellAnchor>
  <xdr:twoCellAnchor editAs="oneCell">
    <xdr:from>
      <xdr:col>2</xdr:col>
      <xdr:colOff>3175</xdr:colOff>
      <xdr:row>762</xdr:row>
      <xdr:rowOff>38100</xdr:rowOff>
    </xdr:from>
    <xdr:to>
      <xdr:col>2</xdr:col>
      <xdr:colOff>107950</xdr:colOff>
      <xdr:row>766</xdr:row>
      <xdr:rowOff>104775</xdr:rowOff>
    </xdr:to>
    <xdr:pic macro="[0]!FlipAsset">
      <xdr:nvPicPr>
        <xdr:cNvPr id="173" name="btnFlipAsset12" hidden="1">
          <a:extLst>
            <a:ext uri="{FF2B5EF4-FFF2-40B4-BE49-F238E27FC236}">
              <a16:creationId xmlns:a16="http://schemas.microsoft.com/office/drawing/2014/main" id="{00000000-0008-0000-0100-0000AD00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203200" y="100726875"/>
          <a:ext cx="104775" cy="104775"/>
        </a:xfrm>
        <a:prstGeom prst="rect">
          <a:avLst/>
        </a:prstGeom>
        <a:noFill/>
        <a:ln w="9525">
          <a:noFill/>
          <a:miter lim="800000"/>
          <a:headEnd/>
          <a:tailEnd/>
        </a:ln>
      </xdr:spPr>
    </xdr:pic>
    <xdr:clientData fPrintsWithSheet="0"/>
  </xdr:twoCellAnchor>
  <xdr:twoCellAnchor editAs="oneCell">
    <xdr:from>
      <xdr:col>3</xdr:col>
      <xdr:colOff>6350</xdr:colOff>
      <xdr:row>15</xdr:row>
      <xdr:rowOff>0</xdr:rowOff>
    </xdr:from>
    <xdr:to>
      <xdr:col>3</xdr:col>
      <xdr:colOff>149225</xdr:colOff>
      <xdr:row>16</xdr:row>
      <xdr:rowOff>0</xdr:rowOff>
    </xdr:to>
    <xdr:pic macro="[0]!ToggleRowColumnsHeaders">
      <xdr:nvPicPr>
        <xdr:cNvPr id="174" name="btnRowCol05">
          <a:extLst>
            <a:ext uri="{FF2B5EF4-FFF2-40B4-BE49-F238E27FC236}">
              <a16:creationId xmlns:a16="http://schemas.microsoft.com/office/drawing/2014/main" id="{00000000-0008-0000-0100-0000AE000000}"/>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2387600" y="2152650"/>
          <a:ext cx="142875" cy="142875"/>
        </a:xfrm>
        <a:prstGeom prst="rect">
          <a:avLst/>
        </a:prstGeom>
        <a:noFill/>
        <a:ln w="1">
          <a:noFill/>
          <a:miter lim="800000"/>
          <a:headEnd/>
          <a:tailEnd/>
        </a:ln>
      </xdr:spPr>
    </xdr:pic>
    <xdr:clientData fPrintsWithSheet="0"/>
  </xdr:twoCellAnchor>
  <xdr:twoCellAnchor editAs="oneCell">
    <xdr:from>
      <xdr:col>3</xdr:col>
      <xdr:colOff>6350</xdr:colOff>
      <xdr:row>439</xdr:row>
      <xdr:rowOff>0</xdr:rowOff>
    </xdr:from>
    <xdr:to>
      <xdr:col>3</xdr:col>
      <xdr:colOff>149225</xdr:colOff>
      <xdr:row>440</xdr:row>
      <xdr:rowOff>0</xdr:rowOff>
    </xdr:to>
    <xdr:pic macro="[0]!ToggleRowColumnsHeaders">
      <xdr:nvPicPr>
        <xdr:cNvPr id="175" name="btnRowCol07">
          <a:extLst>
            <a:ext uri="{FF2B5EF4-FFF2-40B4-BE49-F238E27FC236}">
              <a16:creationId xmlns:a16="http://schemas.microsoft.com/office/drawing/2014/main" id="{00000000-0008-0000-0100-0000AF000000}"/>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2387600" y="64027050"/>
          <a:ext cx="142875" cy="142875"/>
        </a:xfrm>
        <a:prstGeom prst="rect">
          <a:avLst/>
        </a:prstGeom>
        <a:noFill/>
        <a:ln w="1">
          <a:noFill/>
          <a:miter lim="800000"/>
          <a:headEnd/>
          <a:tailEnd/>
        </a:ln>
      </xdr:spPr>
    </xdr:pic>
    <xdr:clientData fPrintsWithSheet="0"/>
  </xdr:twoCellAnchor>
  <xdr:twoCellAnchor editAs="oneCell">
    <xdr:from>
      <xdr:col>3</xdr:col>
      <xdr:colOff>6350</xdr:colOff>
      <xdr:row>537</xdr:row>
      <xdr:rowOff>0</xdr:rowOff>
    </xdr:from>
    <xdr:to>
      <xdr:col>3</xdr:col>
      <xdr:colOff>149225</xdr:colOff>
      <xdr:row>538</xdr:row>
      <xdr:rowOff>0</xdr:rowOff>
    </xdr:to>
    <xdr:pic macro="[0]!ToggleRowColumnsHeaders">
      <xdr:nvPicPr>
        <xdr:cNvPr id="176" name="btnRowCol08">
          <a:extLst>
            <a:ext uri="{FF2B5EF4-FFF2-40B4-BE49-F238E27FC236}">
              <a16:creationId xmlns:a16="http://schemas.microsoft.com/office/drawing/2014/main" id="{00000000-0008-0000-0100-0000B0000000}"/>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2387600" y="76085700"/>
          <a:ext cx="142875" cy="142875"/>
        </a:xfrm>
        <a:prstGeom prst="rect">
          <a:avLst/>
        </a:prstGeom>
        <a:noFill/>
        <a:ln w="1">
          <a:noFill/>
          <a:miter lim="800000"/>
          <a:headEnd/>
          <a:tailEnd/>
        </a:ln>
      </xdr:spPr>
    </xdr:pic>
    <xdr:clientData fPrintsWithSheet="0"/>
  </xdr:twoCellAnchor>
  <xdr:twoCellAnchor editAs="oneCell">
    <xdr:from>
      <xdr:col>3</xdr:col>
      <xdr:colOff>6350</xdr:colOff>
      <xdr:row>625</xdr:row>
      <xdr:rowOff>0</xdr:rowOff>
    </xdr:from>
    <xdr:to>
      <xdr:col>3</xdr:col>
      <xdr:colOff>149225</xdr:colOff>
      <xdr:row>626</xdr:row>
      <xdr:rowOff>0</xdr:rowOff>
    </xdr:to>
    <xdr:pic macro="[0]!ToggleRowColumnsHeaders">
      <xdr:nvPicPr>
        <xdr:cNvPr id="177" name="btnRowCol09">
          <a:extLst>
            <a:ext uri="{FF2B5EF4-FFF2-40B4-BE49-F238E27FC236}">
              <a16:creationId xmlns:a16="http://schemas.microsoft.com/office/drawing/2014/main" id="{00000000-0008-0000-0100-0000B1000000}"/>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2387600" y="80648175"/>
          <a:ext cx="142875" cy="142875"/>
        </a:xfrm>
        <a:prstGeom prst="rect">
          <a:avLst/>
        </a:prstGeom>
        <a:noFill/>
        <a:ln w="1">
          <a:noFill/>
          <a:miter lim="800000"/>
          <a:headEnd/>
          <a:tailEnd/>
        </a:ln>
      </xdr:spPr>
    </xdr:pic>
    <xdr:clientData fPrintsWithSheet="0"/>
  </xdr:twoCellAnchor>
  <xdr:twoCellAnchor editAs="oneCell">
    <xdr:from>
      <xdr:col>3</xdr:col>
      <xdr:colOff>6350</xdr:colOff>
      <xdr:row>707</xdr:row>
      <xdr:rowOff>0</xdr:rowOff>
    </xdr:from>
    <xdr:to>
      <xdr:col>3</xdr:col>
      <xdr:colOff>149225</xdr:colOff>
      <xdr:row>708</xdr:row>
      <xdr:rowOff>0</xdr:rowOff>
    </xdr:to>
    <xdr:pic macro="[0]!ToggleRowColumnsHeaders">
      <xdr:nvPicPr>
        <xdr:cNvPr id="178" name="btnRowCol10">
          <a:extLst>
            <a:ext uri="{FF2B5EF4-FFF2-40B4-BE49-F238E27FC236}">
              <a16:creationId xmlns:a16="http://schemas.microsoft.com/office/drawing/2014/main" id="{00000000-0008-0000-0100-0000B2000000}"/>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2387600" y="91287600"/>
          <a:ext cx="142875" cy="142875"/>
        </a:xfrm>
        <a:prstGeom prst="rect">
          <a:avLst/>
        </a:prstGeom>
        <a:noFill/>
        <a:ln w="1">
          <a:noFill/>
          <a:miter lim="800000"/>
          <a:headEnd/>
          <a:tailEnd/>
        </a:ln>
      </xdr:spPr>
    </xdr:pic>
    <xdr:clientData fPrintsWithSheet="0"/>
  </xdr:twoCellAnchor>
  <xdr:twoCellAnchor editAs="oneCell">
    <xdr:from>
      <xdr:col>3</xdr:col>
      <xdr:colOff>323850</xdr:colOff>
      <xdr:row>840</xdr:row>
      <xdr:rowOff>0</xdr:rowOff>
    </xdr:from>
    <xdr:to>
      <xdr:col>3</xdr:col>
      <xdr:colOff>476250</xdr:colOff>
      <xdr:row>841</xdr:row>
      <xdr:rowOff>0</xdr:rowOff>
    </xdr:to>
    <xdr:pic macro="[0]!AutoVBA.GotoLastPeriod">
      <xdr:nvPicPr>
        <xdr:cNvPr id="186" name="LastColBtn11" descr="lastcol">
          <a:extLst>
            <a:ext uri="{FF2B5EF4-FFF2-40B4-BE49-F238E27FC236}">
              <a16:creationId xmlns:a16="http://schemas.microsoft.com/office/drawing/2014/main" id="{00000000-0008-0000-0100-0000BA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2705100" y="112156875"/>
          <a:ext cx="152400" cy="142875"/>
        </a:xfrm>
        <a:prstGeom prst="rect">
          <a:avLst/>
        </a:prstGeom>
        <a:noFill/>
        <a:ln w="9525">
          <a:noFill/>
          <a:miter lim="800000"/>
          <a:headEnd/>
          <a:tailEnd/>
        </a:ln>
      </xdr:spPr>
    </xdr:pic>
    <xdr:clientData fPrintsWithSheet="0"/>
  </xdr:twoCellAnchor>
  <xdr:twoCellAnchor editAs="oneCell">
    <xdr:from>
      <xdr:col>3</xdr:col>
      <xdr:colOff>488950</xdr:colOff>
      <xdr:row>840</xdr:row>
      <xdr:rowOff>0</xdr:rowOff>
    </xdr:from>
    <xdr:to>
      <xdr:col>3</xdr:col>
      <xdr:colOff>641350</xdr:colOff>
      <xdr:row>841</xdr:row>
      <xdr:rowOff>0</xdr:rowOff>
    </xdr:to>
    <xdr:pic macro="[0]!ToggleHistoryColumns">
      <xdr:nvPicPr>
        <xdr:cNvPr id="187" name="btnHistory11" descr="historybtn">
          <a:extLst>
            <a:ext uri="{FF2B5EF4-FFF2-40B4-BE49-F238E27FC236}">
              <a16:creationId xmlns:a16="http://schemas.microsoft.com/office/drawing/2014/main" id="{00000000-0008-0000-0100-0000BB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2870200" y="112156875"/>
          <a:ext cx="152400" cy="142875"/>
        </a:xfrm>
        <a:prstGeom prst="rect">
          <a:avLst/>
        </a:prstGeom>
        <a:noFill/>
        <a:ln w="9525">
          <a:noFill/>
          <a:miter lim="800000"/>
          <a:headEnd/>
          <a:tailEnd/>
        </a:ln>
      </xdr:spPr>
    </xdr:pic>
    <xdr:clientData fPrintsWithSheet="0"/>
  </xdr:twoCellAnchor>
  <xdr:twoCellAnchor editAs="oneCell">
    <xdr:from>
      <xdr:col>3</xdr:col>
      <xdr:colOff>184150</xdr:colOff>
      <xdr:row>840</xdr:row>
      <xdr:rowOff>0</xdr:rowOff>
    </xdr:from>
    <xdr:to>
      <xdr:col>3</xdr:col>
      <xdr:colOff>336550</xdr:colOff>
      <xdr:row>841</xdr:row>
      <xdr:rowOff>0</xdr:rowOff>
    </xdr:to>
    <xdr:pic macro="[0]!AutoVBA.GotoFirstPeriod">
      <xdr:nvPicPr>
        <xdr:cNvPr id="188" name="FirstColBtn11" descr="firstcol">
          <a:extLst>
            <a:ext uri="{FF2B5EF4-FFF2-40B4-BE49-F238E27FC236}">
              <a16:creationId xmlns:a16="http://schemas.microsoft.com/office/drawing/2014/main" id="{00000000-0008-0000-0100-0000BC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2565400" y="112156875"/>
          <a:ext cx="152400" cy="142875"/>
        </a:xfrm>
        <a:prstGeom prst="rect">
          <a:avLst/>
        </a:prstGeom>
        <a:noFill/>
        <a:ln w="9525">
          <a:noFill/>
          <a:miter lim="800000"/>
          <a:headEnd/>
          <a:tailEnd/>
        </a:ln>
      </xdr:spPr>
    </xdr:pic>
    <xdr:clientData fPrintsWithSheet="0"/>
  </xdr:twoCellAnchor>
  <xdr:twoCellAnchor editAs="oneCell">
    <xdr:from>
      <xdr:col>1</xdr:col>
      <xdr:colOff>0</xdr:colOff>
      <xdr:row>840</xdr:row>
      <xdr:rowOff>0</xdr:rowOff>
    </xdr:from>
    <xdr:to>
      <xdr:col>1</xdr:col>
      <xdr:colOff>152400</xdr:colOff>
      <xdr:row>841</xdr:row>
      <xdr:rowOff>0</xdr:rowOff>
    </xdr:to>
    <xdr:pic macro="[0]!ShowHideProfitRows">
      <xdr:nvPicPr>
        <xdr:cNvPr id="189" name="btnShowHide06" descr="showhidebtn">
          <a:extLst>
            <a:ext uri="{FF2B5EF4-FFF2-40B4-BE49-F238E27FC236}">
              <a16:creationId xmlns:a16="http://schemas.microsoft.com/office/drawing/2014/main" id="{00000000-0008-0000-0100-0000BD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38100" y="112156875"/>
          <a:ext cx="152400" cy="142875"/>
        </a:xfrm>
        <a:prstGeom prst="rect">
          <a:avLst/>
        </a:prstGeom>
        <a:noFill/>
        <a:ln w="9525">
          <a:noFill/>
          <a:miter lim="800000"/>
          <a:headEnd/>
          <a:tailEnd/>
        </a:ln>
      </xdr:spPr>
    </xdr:pic>
    <xdr:clientData fPrintsWithSheet="0"/>
  </xdr:twoCellAnchor>
  <xdr:twoCellAnchor editAs="oneCell">
    <xdr:from>
      <xdr:col>3</xdr:col>
      <xdr:colOff>6350</xdr:colOff>
      <xdr:row>840</xdr:row>
      <xdr:rowOff>0</xdr:rowOff>
    </xdr:from>
    <xdr:to>
      <xdr:col>3</xdr:col>
      <xdr:colOff>149225</xdr:colOff>
      <xdr:row>841</xdr:row>
      <xdr:rowOff>0</xdr:rowOff>
    </xdr:to>
    <xdr:pic macro="[0]!ToggleRowColumnsHeaders">
      <xdr:nvPicPr>
        <xdr:cNvPr id="190" name="btnRowCol11">
          <a:extLst>
            <a:ext uri="{FF2B5EF4-FFF2-40B4-BE49-F238E27FC236}">
              <a16:creationId xmlns:a16="http://schemas.microsoft.com/office/drawing/2014/main" id="{00000000-0008-0000-0100-0000BE000000}"/>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2387600" y="112156875"/>
          <a:ext cx="142875" cy="142875"/>
        </a:xfrm>
        <a:prstGeom prst="rect">
          <a:avLst/>
        </a:prstGeom>
        <a:noFill/>
        <a:ln w="1">
          <a:noFill/>
          <a:miter lim="800000"/>
          <a:headEnd/>
          <a:tailEnd/>
        </a:ln>
      </xdr:spPr>
    </xdr:pic>
    <xdr:clientData fPrintsWithSheet="0"/>
  </xdr:twoCellAnchor>
  <xdr:twoCellAnchor editAs="oneCell">
    <xdr:from>
      <xdr:col>2</xdr:col>
      <xdr:colOff>1914525</xdr:colOff>
      <xdr:row>840</xdr:row>
      <xdr:rowOff>0</xdr:rowOff>
    </xdr:from>
    <xdr:to>
      <xdr:col>2</xdr:col>
      <xdr:colOff>2143125</xdr:colOff>
      <xdr:row>841</xdr:row>
      <xdr:rowOff>0</xdr:rowOff>
    </xdr:to>
    <xdr:pic macro="[0]!Distribute">
      <xdr:nvPicPr>
        <xdr:cNvPr id="191" name="DistBtn10" descr="distbtn2">
          <a:extLst>
            <a:ext uri="{FF2B5EF4-FFF2-40B4-BE49-F238E27FC236}">
              <a16:creationId xmlns:a16="http://schemas.microsoft.com/office/drawing/2014/main" id="{00000000-0008-0000-0100-0000BF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114550" y="31565850"/>
          <a:ext cx="228600" cy="142875"/>
        </a:xfrm>
        <a:prstGeom prst="rect">
          <a:avLst/>
        </a:prstGeom>
        <a:noFill/>
        <a:ln w="9525">
          <a:noFill/>
          <a:miter lim="800000"/>
          <a:headEnd/>
          <a:tailEnd/>
        </a:ln>
      </xdr:spPr>
    </xdr:pic>
    <xdr:clientData fPrintsWithSheet="0"/>
  </xdr:twoCellAnchor>
  <xdr:twoCellAnchor editAs="oneCell">
    <xdr:from>
      <xdr:col>2</xdr:col>
      <xdr:colOff>1019175</xdr:colOff>
      <xdr:row>840</xdr:row>
      <xdr:rowOff>0</xdr:rowOff>
    </xdr:from>
    <xdr:to>
      <xdr:col>2</xdr:col>
      <xdr:colOff>1162050</xdr:colOff>
      <xdr:row>841</xdr:row>
      <xdr:rowOff>0</xdr:rowOff>
    </xdr:to>
    <xdr:pic macro="[0]!DoFormatNumber">
      <xdr:nvPicPr>
        <xdr:cNvPr id="192" name="btnNumber06">
          <a:extLst>
            <a:ext uri="{FF2B5EF4-FFF2-40B4-BE49-F238E27FC236}">
              <a16:creationId xmlns:a16="http://schemas.microsoft.com/office/drawing/2014/main" id="{00000000-0008-0000-0100-0000C0000000}"/>
            </a:ext>
          </a:extLst>
        </xdr:cNvPr>
        <xdr:cNvPicPr>
          <a:picLocks noChangeAspect="1" noChangeArrowheads="1"/>
        </xdr:cNvPicPr>
      </xdr:nvPicPr>
      <xdr:blipFill>
        <a:blip xmlns:r="http://schemas.openxmlformats.org/officeDocument/2006/relationships" r:embed="rId17" cstate="print"/>
        <a:srcRect/>
        <a:stretch>
          <a:fillRect/>
        </a:stretch>
      </xdr:blipFill>
      <xdr:spPr bwMode="auto">
        <a:xfrm>
          <a:off x="1219200" y="112156875"/>
          <a:ext cx="142875" cy="142875"/>
        </a:xfrm>
        <a:prstGeom prst="rect">
          <a:avLst/>
        </a:prstGeom>
        <a:noFill/>
        <a:ln w="1">
          <a:noFill/>
          <a:miter lim="800000"/>
          <a:headEnd/>
          <a:tailEnd/>
        </a:ln>
      </xdr:spPr>
    </xdr:pic>
    <xdr:clientData/>
  </xdr:twoCellAnchor>
  <xdr:twoCellAnchor editAs="oneCell">
    <xdr:from>
      <xdr:col>1</xdr:col>
      <xdr:colOff>12700</xdr:colOff>
      <xdr:row>23</xdr:row>
      <xdr:rowOff>9525</xdr:rowOff>
    </xdr:from>
    <xdr:to>
      <xdr:col>2</xdr:col>
      <xdr:colOff>0</xdr:colOff>
      <xdr:row>29</xdr:row>
      <xdr:rowOff>0</xdr:rowOff>
    </xdr:to>
    <xdr:pic macro="[0]!ChangeDepr">
      <xdr:nvPicPr>
        <xdr:cNvPr id="193" name="btnInv01b" descr="timebtn2b" hidden="1">
          <a:extLst>
            <a:ext uri="{FF2B5EF4-FFF2-40B4-BE49-F238E27FC236}">
              <a16:creationId xmlns:a16="http://schemas.microsoft.com/office/drawing/2014/main" id="{00000000-0008-0000-0100-0000C1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3305175"/>
          <a:ext cx="152400" cy="142875"/>
        </a:xfrm>
        <a:prstGeom prst="rect">
          <a:avLst/>
        </a:prstGeom>
        <a:noFill/>
        <a:ln w="9525">
          <a:noFill/>
          <a:miter lim="800000"/>
          <a:headEnd/>
          <a:tailEnd/>
        </a:ln>
      </xdr:spPr>
    </xdr:pic>
    <xdr:clientData fPrintsWithSheet="0"/>
  </xdr:twoCellAnchor>
  <xdr:twoCellAnchor editAs="oneCell">
    <xdr:from>
      <xdr:col>1</xdr:col>
      <xdr:colOff>12700</xdr:colOff>
      <xdr:row>33</xdr:row>
      <xdr:rowOff>9525</xdr:rowOff>
    </xdr:from>
    <xdr:to>
      <xdr:col>2</xdr:col>
      <xdr:colOff>0</xdr:colOff>
      <xdr:row>39</xdr:row>
      <xdr:rowOff>0</xdr:rowOff>
    </xdr:to>
    <xdr:pic macro="[0]!ChangeDepr">
      <xdr:nvPicPr>
        <xdr:cNvPr id="194" name="btnInv02b" descr="timebtn2b" hidden="1">
          <a:extLst>
            <a:ext uri="{FF2B5EF4-FFF2-40B4-BE49-F238E27FC236}">
              <a16:creationId xmlns:a16="http://schemas.microsoft.com/office/drawing/2014/main" id="{00000000-0008-0000-0100-0000C2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4733925"/>
          <a:ext cx="152400" cy="142875"/>
        </a:xfrm>
        <a:prstGeom prst="rect">
          <a:avLst/>
        </a:prstGeom>
        <a:noFill/>
        <a:ln w="9525">
          <a:noFill/>
          <a:miter lim="800000"/>
          <a:headEnd/>
          <a:tailEnd/>
        </a:ln>
      </xdr:spPr>
    </xdr:pic>
    <xdr:clientData fPrintsWithSheet="0"/>
  </xdr:twoCellAnchor>
  <xdr:twoCellAnchor editAs="oneCell">
    <xdr:from>
      <xdr:col>1</xdr:col>
      <xdr:colOff>12700</xdr:colOff>
      <xdr:row>43</xdr:row>
      <xdr:rowOff>9525</xdr:rowOff>
    </xdr:from>
    <xdr:to>
      <xdr:col>2</xdr:col>
      <xdr:colOff>0</xdr:colOff>
      <xdr:row>49</xdr:row>
      <xdr:rowOff>3175</xdr:rowOff>
    </xdr:to>
    <xdr:pic macro="[0]!ChangeDepr">
      <xdr:nvPicPr>
        <xdr:cNvPr id="195" name="btnInv03b" descr="timebtn2b" hidden="1">
          <a:extLst>
            <a:ext uri="{FF2B5EF4-FFF2-40B4-BE49-F238E27FC236}">
              <a16:creationId xmlns:a16="http://schemas.microsoft.com/office/drawing/2014/main" id="{00000000-0008-0000-0100-0000C3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6162675"/>
          <a:ext cx="152400" cy="146050"/>
        </a:xfrm>
        <a:prstGeom prst="rect">
          <a:avLst/>
        </a:prstGeom>
        <a:noFill/>
        <a:ln w="9525">
          <a:noFill/>
          <a:miter lim="800000"/>
          <a:headEnd/>
          <a:tailEnd/>
        </a:ln>
      </xdr:spPr>
    </xdr:pic>
    <xdr:clientData fPrintsWithSheet="0"/>
  </xdr:twoCellAnchor>
  <xdr:twoCellAnchor editAs="oneCell">
    <xdr:from>
      <xdr:col>1</xdr:col>
      <xdr:colOff>12700</xdr:colOff>
      <xdr:row>53</xdr:row>
      <xdr:rowOff>9525</xdr:rowOff>
    </xdr:from>
    <xdr:to>
      <xdr:col>2</xdr:col>
      <xdr:colOff>0</xdr:colOff>
      <xdr:row>59</xdr:row>
      <xdr:rowOff>0</xdr:rowOff>
    </xdr:to>
    <xdr:pic macro="[0]!ChangeDepr">
      <xdr:nvPicPr>
        <xdr:cNvPr id="196" name="btnInv04b" descr="timebtn2b" hidden="1">
          <a:extLst>
            <a:ext uri="{FF2B5EF4-FFF2-40B4-BE49-F238E27FC236}">
              <a16:creationId xmlns:a16="http://schemas.microsoft.com/office/drawing/2014/main" id="{00000000-0008-0000-0100-0000C4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7591425"/>
          <a:ext cx="152400" cy="142875"/>
        </a:xfrm>
        <a:prstGeom prst="rect">
          <a:avLst/>
        </a:prstGeom>
        <a:noFill/>
        <a:ln w="9525">
          <a:noFill/>
          <a:miter lim="800000"/>
          <a:headEnd/>
          <a:tailEnd/>
        </a:ln>
      </xdr:spPr>
    </xdr:pic>
    <xdr:clientData fPrintsWithSheet="0"/>
  </xdr:twoCellAnchor>
  <xdr:twoCellAnchor editAs="oneCell">
    <xdr:from>
      <xdr:col>1</xdr:col>
      <xdr:colOff>12700</xdr:colOff>
      <xdr:row>63</xdr:row>
      <xdr:rowOff>9525</xdr:rowOff>
    </xdr:from>
    <xdr:to>
      <xdr:col>2</xdr:col>
      <xdr:colOff>0</xdr:colOff>
      <xdr:row>69</xdr:row>
      <xdr:rowOff>0</xdr:rowOff>
    </xdr:to>
    <xdr:pic macro="[0]!ChangeDepr">
      <xdr:nvPicPr>
        <xdr:cNvPr id="197" name="btnInv05b" descr="timebtn2b" hidden="1">
          <a:extLst>
            <a:ext uri="{FF2B5EF4-FFF2-40B4-BE49-F238E27FC236}">
              <a16:creationId xmlns:a16="http://schemas.microsoft.com/office/drawing/2014/main" id="{00000000-0008-0000-0100-0000C5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9020175"/>
          <a:ext cx="152400" cy="142875"/>
        </a:xfrm>
        <a:prstGeom prst="rect">
          <a:avLst/>
        </a:prstGeom>
        <a:noFill/>
        <a:ln w="9525">
          <a:noFill/>
          <a:miter lim="800000"/>
          <a:headEnd/>
          <a:tailEnd/>
        </a:ln>
      </xdr:spPr>
    </xdr:pic>
    <xdr:clientData fPrintsWithSheet="0"/>
  </xdr:twoCellAnchor>
  <xdr:twoCellAnchor editAs="oneCell">
    <xdr:from>
      <xdr:col>1</xdr:col>
      <xdr:colOff>12700</xdr:colOff>
      <xdr:row>73</xdr:row>
      <xdr:rowOff>9525</xdr:rowOff>
    </xdr:from>
    <xdr:to>
      <xdr:col>2</xdr:col>
      <xdr:colOff>0</xdr:colOff>
      <xdr:row>79</xdr:row>
      <xdr:rowOff>0</xdr:rowOff>
    </xdr:to>
    <xdr:pic macro="[0]!ChangeDepr">
      <xdr:nvPicPr>
        <xdr:cNvPr id="198" name="btnInv06b" descr="timebtn2b" hidden="1">
          <a:extLst>
            <a:ext uri="{FF2B5EF4-FFF2-40B4-BE49-F238E27FC236}">
              <a16:creationId xmlns:a16="http://schemas.microsoft.com/office/drawing/2014/main" id="{00000000-0008-0000-0100-0000C6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10448925"/>
          <a:ext cx="152400" cy="142875"/>
        </a:xfrm>
        <a:prstGeom prst="rect">
          <a:avLst/>
        </a:prstGeom>
        <a:noFill/>
        <a:ln w="9525">
          <a:noFill/>
          <a:miter lim="800000"/>
          <a:headEnd/>
          <a:tailEnd/>
        </a:ln>
      </xdr:spPr>
    </xdr:pic>
    <xdr:clientData fPrintsWithSheet="0"/>
  </xdr:twoCellAnchor>
  <xdr:twoCellAnchor editAs="oneCell">
    <xdr:from>
      <xdr:col>1</xdr:col>
      <xdr:colOff>12700</xdr:colOff>
      <xdr:row>83</xdr:row>
      <xdr:rowOff>9525</xdr:rowOff>
    </xdr:from>
    <xdr:to>
      <xdr:col>2</xdr:col>
      <xdr:colOff>0</xdr:colOff>
      <xdr:row>89</xdr:row>
      <xdr:rowOff>3175</xdr:rowOff>
    </xdr:to>
    <xdr:pic macro="[0]!ChangeDepr">
      <xdr:nvPicPr>
        <xdr:cNvPr id="199" name="btnInv07b" descr="timebtn2b" hidden="1">
          <a:extLst>
            <a:ext uri="{FF2B5EF4-FFF2-40B4-BE49-F238E27FC236}">
              <a16:creationId xmlns:a16="http://schemas.microsoft.com/office/drawing/2014/main" id="{00000000-0008-0000-0100-0000C7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11877675"/>
          <a:ext cx="152400" cy="146050"/>
        </a:xfrm>
        <a:prstGeom prst="rect">
          <a:avLst/>
        </a:prstGeom>
        <a:noFill/>
        <a:ln w="9525">
          <a:noFill/>
          <a:miter lim="800000"/>
          <a:headEnd/>
          <a:tailEnd/>
        </a:ln>
      </xdr:spPr>
    </xdr:pic>
    <xdr:clientData fPrintsWithSheet="0"/>
  </xdr:twoCellAnchor>
  <xdr:twoCellAnchor editAs="oneCell">
    <xdr:from>
      <xdr:col>1</xdr:col>
      <xdr:colOff>12700</xdr:colOff>
      <xdr:row>93</xdr:row>
      <xdr:rowOff>9525</xdr:rowOff>
    </xdr:from>
    <xdr:to>
      <xdr:col>2</xdr:col>
      <xdr:colOff>0</xdr:colOff>
      <xdr:row>99</xdr:row>
      <xdr:rowOff>0</xdr:rowOff>
    </xdr:to>
    <xdr:pic macro="[0]!ChangeDepr">
      <xdr:nvPicPr>
        <xdr:cNvPr id="200" name="btnInv08b" descr="timebtn2b" hidden="1">
          <a:extLst>
            <a:ext uri="{FF2B5EF4-FFF2-40B4-BE49-F238E27FC236}">
              <a16:creationId xmlns:a16="http://schemas.microsoft.com/office/drawing/2014/main" id="{00000000-0008-0000-0100-0000C8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13306425"/>
          <a:ext cx="152400" cy="149225"/>
        </a:xfrm>
        <a:prstGeom prst="rect">
          <a:avLst/>
        </a:prstGeom>
        <a:noFill/>
        <a:ln w="9525">
          <a:noFill/>
          <a:miter lim="800000"/>
          <a:headEnd/>
          <a:tailEnd/>
        </a:ln>
      </xdr:spPr>
    </xdr:pic>
    <xdr:clientData fPrintsWithSheet="0"/>
  </xdr:twoCellAnchor>
  <xdr:twoCellAnchor editAs="oneCell">
    <xdr:from>
      <xdr:col>1</xdr:col>
      <xdr:colOff>12700</xdr:colOff>
      <xdr:row>103</xdr:row>
      <xdr:rowOff>9525</xdr:rowOff>
    </xdr:from>
    <xdr:to>
      <xdr:col>2</xdr:col>
      <xdr:colOff>0</xdr:colOff>
      <xdr:row>109</xdr:row>
      <xdr:rowOff>0</xdr:rowOff>
    </xdr:to>
    <xdr:pic macro="[0]!ChangeDepr">
      <xdr:nvPicPr>
        <xdr:cNvPr id="201" name="btnInv09b" descr="timebtn2b" hidden="1">
          <a:extLst>
            <a:ext uri="{FF2B5EF4-FFF2-40B4-BE49-F238E27FC236}">
              <a16:creationId xmlns:a16="http://schemas.microsoft.com/office/drawing/2014/main" id="{00000000-0008-0000-0100-0000C9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14735175"/>
          <a:ext cx="152400" cy="149225"/>
        </a:xfrm>
        <a:prstGeom prst="rect">
          <a:avLst/>
        </a:prstGeom>
        <a:noFill/>
        <a:ln w="9525">
          <a:noFill/>
          <a:miter lim="800000"/>
          <a:headEnd/>
          <a:tailEnd/>
        </a:ln>
      </xdr:spPr>
    </xdr:pic>
    <xdr:clientData fPrintsWithSheet="0"/>
  </xdr:twoCellAnchor>
  <xdr:twoCellAnchor editAs="oneCell">
    <xdr:from>
      <xdr:col>1</xdr:col>
      <xdr:colOff>12700</xdr:colOff>
      <xdr:row>113</xdr:row>
      <xdr:rowOff>9525</xdr:rowOff>
    </xdr:from>
    <xdr:to>
      <xdr:col>2</xdr:col>
      <xdr:colOff>0</xdr:colOff>
      <xdr:row>119</xdr:row>
      <xdr:rowOff>6350</xdr:rowOff>
    </xdr:to>
    <xdr:pic macro="[0]!ChangeDepr">
      <xdr:nvPicPr>
        <xdr:cNvPr id="202" name="btnInv10b" descr="timebtn2b" hidden="1">
          <a:extLst>
            <a:ext uri="{FF2B5EF4-FFF2-40B4-BE49-F238E27FC236}">
              <a16:creationId xmlns:a16="http://schemas.microsoft.com/office/drawing/2014/main" id="{00000000-0008-0000-0100-0000CA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16163925"/>
          <a:ext cx="152400" cy="149225"/>
        </a:xfrm>
        <a:prstGeom prst="rect">
          <a:avLst/>
        </a:prstGeom>
        <a:noFill/>
        <a:ln w="9525">
          <a:noFill/>
          <a:miter lim="800000"/>
          <a:headEnd/>
          <a:tailEnd/>
        </a:ln>
      </xdr:spPr>
    </xdr:pic>
    <xdr:clientData fPrintsWithSheet="0"/>
  </xdr:twoCellAnchor>
  <xdr:twoCellAnchor editAs="oneCell">
    <xdr:from>
      <xdr:col>1</xdr:col>
      <xdr:colOff>12700</xdr:colOff>
      <xdr:row>123</xdr:row>
      <xdr:rowOff>9525</xdr:rowOff>
    </xdr:from>
    <xdr:to>
      <xdr:col>2</xdr:col>
      <xdr:colOff>0</xdr:colOff>
      <xdr:row>129</xdr:row>
      <xdr:rowOff>6350</xdr:rowOff>
    </xdr:to>
    <xdr:pic macro="[0]!ChangeDepr">
      <xdr:nvPicPr>
        <xdr:cNvPr id="203" name="btnInv11b" descr="timebtn2b" hidden="1">
          <a:extLst>
            <a:ext uri="{FF2B5EF4-FFF2-40B4-BE49-F238E27FC236}">
              <a16:creationId xmlns:a16="http://schemas.microsoft.com/office/drawing/2014/main" id="{00000000-0008-0000-0100-0000CB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17592675"/>
          <a:ext cx="152400" cy="149225"/>
        </a:xfrm>
        <a:prstGeom prst="rect">
          <a:avLst/>
        </a:prstGeom>
        <a:noFill/>
        <a:ln w="9525">
          <a:noFill/>
          <a:miter lim="800000"/>
          <a:headEnd/>
          <a:tailEnd/>
        </a:ln>
      </xdr:spPr>
    </xdr:pic>
    <xdr:clientData fPrintsWithSheet="0"/>
  </xdr:twoCellAnchor>
  <xdr:twoCellAnchor editAs="oneCell">
    <xdr:from>
      <xdr:col>1</xdr:col>
      <xdr:colOff>12700</xdr:colOff>
      <xdr:row>133</xdr:row>
      <xdr:rowOff>9525</xdr:rowOff>
    </xdr:from>
    <xdr:to>
      <xdr:col>2</xdr:col>
      <xdr:colOff>0</xdr:colOff>
      <xdr:row>139</xdr:row>
      <xdr:rowOff>6350</xdr:rowOff>
    </xdr:to>
    <xdr:pic macro="[0]!ChangeDepr">
      <xdr:nvPicPr>
        <xdr:cNvPr id="204" name="btnInv12b" descr="timebtn2b" hidden="1">
          <a:extLst>
            <a:ext uri="{FF2B5EF4-FFF2-40B4-BE49-F238E27FC236}">
              <a16:creationId xmlns:a16="http://schemas.microsoft.com/office/drawing/2014/main" id="{00000000-0008-0000-0100-0000CC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19021425"/>
          <a:ext cx="152400" cy="149225"/>
        </a:xfrm>
        <a:prstGeom prst="rect">
          <a:avLst/>
        </a:prstGeom>
        <a:noFill/>
        <a:ln w="9525">
          <a:noFill/>
          <a:miter lim="800000"/>
          <a:headEnd/>
          <a:tailEnd/>
        </a:ln>
      </xdr:spPr>
    </xdr:pic>
    <xdr:clientData fPrintsWithSheet="0"/>
  </xdr:twoCellAnchor>
  <xdr:twoCellAnchor editAs="oneCell">
    <xdr:from>
      <xdr:col>1</xdr:col>
      <xdr:colOff>12700</xdr:colOff>
      <xdr:row>143</xdr:row>
      <xdr:rowOff>9525</xdr:rowOff>
    </xdr:from>
    <xdr:to>
      <xdr:col>2</xdr:col>
      <xdr:colOff>0</xdr:colOff>
      <xdr:row>318</xdr:row>
      <xdr:rowOff>6350</xdr:rowOff>
    </xdr:to>
    <xdr:pic macro="[0]!ChangeDepr">
      <xdr:nvPicPr>
        <xdr:cNvPr id="205" name="btnInv13b" descr="timebtn2b" hidden="1">
          <a:extLst>
            <a:ext uri="{FF2B5EF4-FFF2-40B4-BE49-F238E27FC236}">
              <a16:creationId xmlns:a16="http://schemas.microsoft.com/office/drawing/2014/main" id="{00000000-0008-0000-0100-0000CD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20450175"/>
          <a:ext cx="152400" cy="149225"/>
        </a:xfrm>
        <a:prstGeom prst="rect">
          <a:avLst/>
        </a:prstGeom>
        <a:noFill/>
        <a:ln w="9525">
          <a:noFill/>
          <a:miter lim="800000"/>
          <a:headEnd/>
          <a:tailEnd/>
        </a:ln>
      </xdr:spPr>
    </xdr:pic>
    <xdr:clientData fPrintsWithSheet="0"/>
  </xdr:twoCellAnchor>
  <xdr:twoCellAnchor editAs="oneCell">
    <xdr:from>
      <xdr:col>1</xdr:col>
      <xdr:colOff>12700</xdr:colOff>
      <xdr:row>153</xdr:row>
      <xdr:rowOff>9525</xdr:rowOff>
    </xdr:from>
    <xdr:to>
      <xdr:col>2</xdr:col>
      <xdr:colOff>0</xdr:colOff>
      <xdr:row>318</xdr:row>
      <xdr:rowOff>6350</xdr:rowOff>
    </xdr:to>
    <xdr:pic macro="[0]!ChangeDepr">
      <xdr:nvPicPr>
        <xdr:cNvPr id="206" name="btnInv14b" descr="timebtn2b" hidden="1">
          <a:extLst>
            <a:ext uri="{FF2B5EF4-FFF2-40B4-BE49-F238E27FC236}">
              <a16:creationId xmlns:a16="http://schemas.microsoft.com/office/drawing/2014/main" id="{00000000-0008-0000-0100-0000CE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21878925"/>
          <a:ext cx="152400" cy="149225"/>
        </a:xfrm>
        <a:prstGeom prst="rect">
          <a:avLst/>
        </a:prstGeom>
        <a:noFill/>
        <a:ln w="9525">
          <a:noFill/>
          <a:miter lim="800000"/>
          <a:headEnd/>
          <a:tailEnd/>
        </a:ln>
      </xdr:spPr>
    </xdr:pic>
    <xdr:clientData fPrintsWithSheet="0"/>
  </xdr:twoCellAnchor>
  <xdr:twoCellAnchor editAs="oneCell">
    <xdr:from>
      <xdr:col>1</xdr:col>
      <xdr:colOff>12700</xdr:colOff>
      <xdr:row>163</xdr:row>
      <xdr:rowOff>9525</xdr:rowOff>
    </xdr:from>
    <xdr:to>
      <xdr:col>2</xdr:col>
      <xdr:colOff>0</xdr:colOff>
      <xdr:row>318</xdr:row>
      <xdr:rowOff>6350</xdr:rowOff>
    </xdr:to>
    <xdr:pic macro="[0]!ChangeDepr">
      <xdr:nvPicPr>
        <xdr:cNvPr id="207" name="btnInv15b" descr="timebtn2b" hidden="1">
          <a:extLst>
            <a:ext uri="{FF2B5EF4-FFF2-40B4-BE49-F238E27FC236}">
              <a16:creationId xmlns:a16="http://schemas.microsoft.com/office/drawing/2014/main" id="{00000000-0008-0000-0100-0000CF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23307675"/>
          <a:ext cx="152400" cy="149225"/>
        </a:xfrm>
        <a:prstGeom prst="rect">
          <a:avLst/>
        </a:prstGeom>
        <a:noFill/>
        <a:ln w="9525">
          <a:noFill/>
          <a:miter lim="800000"/>
          <a:headEnd/>
          <a:tailEnd/>
        </a:ln>
      </xdr:spPr>
    </xdr:pic>
    <xdr:clientData fPrintsWithSheet="0"/>
  </xdr:twoCellAnchor>
  <xdr:twoCellAnchor editAs="oneCell">
    <xdr:from>
      <xdr:col>1</xdr:col>
      <xdr:colOff>12700</xdr:colOff>
      <xdr:row>173</xdr:row>
      <xdr:rowOff>9525</xdr:rowOff>
    </xdr:from>
    <xdr:to>
      <xdr:col>2</xdr:col>
      <xdr:colOff>0</xdr:colOff>
      <xdr:row>318</xdr:row>
      <xdr:rowOff>6350</xdr:rowOff>
    </xdr:to>
    <xdr:pic macro="[0]!ChangeDepr">
      <xdr:nvPicPr>
        <xdr:cNvPr id="208" name="btnInv16b" descr="timebtn2b" hidden="1">
          <a:extLst>
            <a:ext uri="{FF2B5EF4-FFF2-40B4-BE49-F238E27FC236}">
              <a16:creationId xmlns:a16="http://schemas.microsoft.com/office/drawing/2014/main" id="{00000000-0008-0000-0100-0000D0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24736425"/>
          <a:ext cx="152400" cy="149225"/>
        </a:xfrm>
        <a:prstGeom prst="rect">
          <a:avLst/>
        </a:prstGeom>
        <a:noFill/>
        <a:ln w="9525">
          <a:noFill/>
          <a:miter lim="800000"/>
          <a:headEnd/>
          <a:tailEnd/>
        </a:ln>
      </xdr:spPr>
    </xdr:pic>
    <xdr:clientData fPrintsWithSheet="0"/>
  </xdr:twoCellAnchor>
  <xdr:twoCellAnchor editAs="oneCell">
    <xdr:from>
      <xdr:col>1</xdr:col>
      <xdr:colOff>12700</xdr:colOff>
      <xdr:row>183</xdr:row>
      <xdr:rowOff>9525</xdr:rowOff>
    </xdr:from>
    <xdr:to>
      <xdr:col>2</xdr:col>
      <xdr:colOff>0</xdr:colOff>
      <xdr:row>318</xdr:row>
      <xdr:rowOff>6350</xdr:rowOff>
    </xdr:to>
    <xdr:pic macro="[0]!ChangeDepr">
      <xdr:nvPicPr>
        <xdr:cNvPr id="209" name="btnInv17b" descr="timebtn2b" hidden="1">
          <a:extLst>
            <a:ext uri="{FF2B5EF4-FFF2-40B4-BE49-F238E27FC236}">
              <a16:creationId xmlns:a16="http://schemas.microsoft.com/office/drawing/2014/main" id="{00000000-0008-0000-0100-0000D1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26165175"/>
          <a:ext cx="152400" cy="149225"/>
        </a:xfrm>
        <a:prstGeom prst="rect">
          <a:avLst/>
        </a:prstGeom>
        <a:noFill/>
        <a:ln w="9525">
          <a:noFill/>
          <a:miter lim="800000"/>
          <a:headEnd/>
          <a:tailEnd/>
        </a:ln>
      </xdr:spPr>
    </xdr:pic>
    <xdr:clientData fPrintsWithSheet="0"/>
  </xdr:twoCellAnchor>
  <xdr:twoCellAnchor editAs="oneCell">
    <xdr:from>
      <xdr:col>1</xdr:col>
      <xdr:colOff>12700</xdr:colOff>
      <xdr:row>193</xdr:row>
      <xdr:rowOff>9525</xdr:rowOff>
    </xdr:from>
    <xdr:to>
      <xdr:col>2</xdr:col>
      <xdr:colOff>0</xdr:colOff>
      <xdr:row>318</xdr:row>
      <xdr:rowOff>6350</xdr:rowOff>
    </xdr:to>
    <xdr:pic macro="[0]!ChangeDepr">
      <xdr:nvPicPr>
        <xdr:cNvPr id="210" name="btnInv18b" descr="timebtn2b" hidden="1">
          <a:extLst>
            <a:ext uri="{FF2B5EF4-FFF2-40B4-BE49-F238E27FC236}">
              <a16:creationId xmlns:a16="http://schemas.microsoft.com/office/drawing/2014/main" id="{00000000-0008-0000-0100-0000D2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27593925"/>
          <a:ext cx="152400" cy="149225"/>
        </a:xfrm>
        <a:prstGeom prst="rect">
          <a:avLst/>
        </a:prstGeom>
        <a:noFill/>
        <a:ln w="9525">
          <a:noFill/>
          <a:miter lim="800000"/>
          <a:headEnd/>
          <a:tailEnd/>
        </a:ln>
      </xdr:spPr>
    </xdr:pic>
    <xdr:clientData fPrintsWithSheet="0"/>
  </xdr:twoCellAnchor>
  <xdr:twoCellAnchor editAs="oneCell">
    <xdr:from>
      <xdr:col>1</xdr:col>
      <xdr:colOff>12700</xdr:colOff>
      <xdr:row>203</xdr:row>
      <xdr:rowOff>9525</xdr:rowOff>
    </xdr:from>
    <xdr:to>
      <xdr:col>2</xdr:col>
      <xdr:colOff>0</xdr:colOff>
      <xdr:row>318</xdr:row>
      <xdr:rowOff>6350</xdr:rowOff>
    </xdr:to>
    <xdr:pic macro="[0]!ChangeDepr">
      <xdr:nvPicPr>
        <xdr:cNvPr id="211" name="btnInv19b" descr="timebtn2b" hidden="1">
          <a:extLst>
            <a:ext uri="{FF2B5EF4-FFF2-40B4-BE49-F238E27FC236}">
              <a16:creationId xmlns:a16="http://schemas.microsoft.com/office/drawing/2014/main" id="{00000000-0008-0000-0100-0000D3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29022675"/>
          <a:ext cx="152400" cy="149225"/>
        </a:xfrm>
        <a:prstGeom prst="rect">
          <a:avLst/>
        </a:prstGeom>
        <a:noFill/>
        <a:ln w="9525">
          <a:noFill/>
          <a:miter lim="800000"/>
          <a:headEnd/>
          <a:tailEnd/>
        </a:ln>
      </xdr:spPr>
    </xdr:pic>
    <xdr:clientData fPrintsWithSheet="0"/>
  </xdr:twoCellAnchor>
  <xdr:twoCellAnchor editAs="oneCell">
    <xdr:from>
      <xdr:col>1</xdr:col>
      <xdr:colOff>12700</xdr:colOff>
      <xdr:row>213</xdr:row>
      <xdr:rowOff>9525</xdr:rowOff>
    </xdr:from>
    <xdr:to>
      <xdr:col>2</xdr:col>
      <xdr:colOff>0</xdr:colOff>
      <xdr:row>318</xdr:row>
      <xdr:rowOff>6350</xdr:rowOff>
    </xdr:to>
    <xdr:pic macro="[0]!ChangeDepr">
      <xdr:nvPicPr>
        <xdr:cNvPr id="212" name="btnInv20b" descr="timebtn2b" hidden="1">
          <a:extLst>
            <a:ext uri="{FF2B5EF4-FFF2-40B4-BE49-F238E27FC236}">
              <a16:creationId xmlns:a16="http://schemas.microsoft.com/office/drawing/2014/main" id="{00000000-0008-0000-0100-0000D4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30451425"/>
          <a:ext cx="152400" cy="149225"/>
        </a:xfrm>
        <a:prstGeom prst="rect">
          <a:avLst/>
        </a:prstGeom>
        <a:noFill/>
        <a:ln w="9525">
          <a:noFill/>
          <a:miter lim="800000"/>
          <a:headEnd/>
          <a:tailEnd/>
        </a:ln>
      </xdr:spPr>
    </xdr:pic>
    <xdr:clientData fPrintsWithSheet="0"/>
  </xdr:twoCellAnchor>
  <xdr:twoCellAnchor editAs="oneCell">
    <xdr:from>
      <xdr:col>1</xdr:col>
      <xdr:colOff>12700</xdr:colOff>
      <xdr:row>223</xdr:row>
      <xdr:rowOff>9525</xdr:rowOff>
    </xdr:from>
    <xdr:to>
      <xdr:col>2</xdr:col>
      <xdr:colOff>0</xdr:colOff>
      <xdr:row>318</xdr:row>
      <xdr:rowOff>6350</xdr:rowOff>
    </xdr:to>
    <xdr:pic macro="[0]!ChangeDepr">
      <xdr:nvPicPr>
        <xdr:cNvPr id="213" name="btnInv21b" descr="timebtn2b" hidden="1">
          <a:extLst>
            <a:ext uri="{FF2B5EF4-FFF2-40B4-BE49-F238E27FC236}">
              <a16:creationId xmlns:a16="http://schemas.microsoft.com/office/drawing/2014/main" id="{00000000-0008-0000-0100-0000D5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31880175"/>
          <a:ext cx="152400" cy="149225"/>
        </a:xfrm>
        <a:prstGeom prst="rect">
          <a:avLst/>
        </a:prstGeom>
        <a:noFill/>
        <a:ln w="9525">
          <a:noFill/>
          <a:miter lim="800000"/>
          <a:headEnd/>
          <a:tailEnd/>
        </a:ln>
      </xdr:spPr>
    </xdr:pic>
    <xdr:clientData fPrintsWithSheet="0"/>
  </xdr:twoCellAnchor>
  <xdr:twoCellAnchor editAs="oneCell">
    <xdr:from>
      <xdr:col>1</xdr:col>
      <xdr:colOff>12700</xdr:colOff>
      <xdr:row>233</xdr:row>
      <xdr:rowOff>9525</xdr:rowOff>
    </xdr:from>
    <xdr:to>
      <xdr:col>2</xdr:col>
      <xdr:colOff>0</xdr:colOff>
      <xdr:row>318</xdr:row>
      <xdr:rowOff>6350</xdr:rowOff>
    </xdr:to>
    <xdr:pic macro="[0]!ChangeDepr">
      <xdr:nvPicPr>
        <xdr:cNvPr id="214" name="btnInv22b" descr="timebtn2b" hidden="1">
          <a:extLst>
            <a:ext uri="{FF2B5EF4-FFF2-40B4-BE49-F238E27FC236}">
              <a16:creationId xmlns:a16="http://schemas.microsoft.com/office/drawing/2014/main" id="{00000000-0008-0000-0100-0000D6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33308925"/>
          <a:ext cx="152400" cy="149225"/>
        </a:xfrm>
        <a:prstGeom prst="rect">
          <a:avLst/>
        </a:prstGeom>
        <a:noFill/>
        <a:ln w="9525">
          <a:noFill/>
          <a:miter lim="800000"/>
          <a:headEnd/>
          <a:tailEnd/>
        </a:ln>
      </xdr:spPr>
    </xdr:pic>
    <xdr:clientData fPrintsWithSheet="0"/>
  </xdr:twoCellAnchor>
  <xdr:twoCellAnchor editAs="oneCell">
    <xdr:from>
      <xdr:col>1</xdr:col>
      <xdr:colOff>12700</xdr:colOff>
      <xdr:row>243</xdr:row>
      <xdr:rowOff>9525</xdr:rowOff>
    </xdr:from>
    <xdr:to>
      <xdr:col>2</xdr:col>
      <xdr:colOff>0</xdr:colOff>
      <xdr:row>318</xdr:row>
      <xdr:rowOff>6350</xdr:rowOff>
    </xdr:to>
    <xdr:pic macro="[0]!ChangeDepr">
      <xdr:nvPicPr>
        <xdr:cNvPr id="215" name="btnInv23b" descr="timebtn2b" hidden="1">
          <a:extLst>
            <a:ext uri="{FF2B5EF4-FFF2-40B4-BE49-F238E27FC236}">
              <a16:creationId xmlns:a16="http://schemas.microsoft.com/office/drawing/2014/main" id="{00000000-0008-0000-0100-0000D7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34737675"/>
          <a:ext cx="152400" cy="149225"/>
        </a:xfrm>
        <a:prstGeom prst="rect">
          <a:avLst/>
        </a:prstGeom>
        <a:noFill/>
        <a:ln w="9525">
          <a:noFill/>
          <a:miter lim="800000"/>
          <a:headEnd/>
          <a:tailEnd/>
        </a:ln>
      </xdr:spPr>
    </xdr:pic>
    <xdr:clientData fPrintsWithSheet="0"/>
  </xdr:twoCellAnchor>
  <xdr:twoCellAnchor editAs="oneCell">
    <xdr:from>
      <xdr:col>1</xdr:col>
      <xdr:colOff>12700</xdr:colOff>
      <xdr:row>253</xdr:row>
      <xdr:rowOff>9525</xdr:rowOff>
    </xdr:from>
    <xdr:to>
      <xdr:col>2</xdr:col>
      <xdr:colOff>0</xdr:colOff>
      <xdr:row>318</xdr:row>
      <xdr:rowOff>6350</xdr:rowOff>
    </xdr:to>
    <xdr:pic macro="[0]!ChangeDepr">
      <xdr:nvPicPr>
        <xdr:cNvPr id="216" name="btnInv24b" descr="timebtn2b" hidden="1">
          <a:extLst>
            <a:ext uri="{FF2B5EF4-FFF2-40B4-BE49-F238E27FC236}">
              <a16:creationId xmlns:a16="http://schemas.microsoft.com/office/drawing/2014/main" id="{00000000-0008-0000-0100-0000D8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36166425"/>
          <a:ext cx="152400" cy="149225"/>
        </a:xfrm>
        <a:prstGeom prst="rect">
          <a:avLst/>
        </a:prstGeom>
        <a:noFill/>
        <a:ln w="9525">
          <a:noFill/>
          <a:miter lim="800000"/>
          <a:headEnd/>
          <a:tailEnd/>
        </a:ln>
      </xdr:spPr>
    </xdr:pic>
    <xdr:clientData fPrintsWithSheet="0"/>
  </xdr:twoCellAnchor>
  <xdr:twoCellAnchor editAs="oneCell">
    <xdr:from>
      <xdr:col>1</xdr:col>
      <xdr:colOff>12700</xdr:colOff>
      <xdr:row>263</xdr:row>
      <xdr:rowOff>9525</xdr:rowOff>
    </xdr:from>
    <xdr:to>
      <xdr:col>2</xdr:col>
      <xdr:colOff>0</xdr:colOff>
      <xdr:row>318</xdr:row>
      <xdr:rowOff>6350</xdr:rowOff>
    </xdr:to>
    <xdr:pic macro="[0]!ChangeDepr">
      <xdr:nvPicPr>
        <xdr:cNvPr id="217" name="btnInv25b" descr="timebtn2b" hidden="1">
          <a:extLst>
            <a:ext uri="{FF2B5EF4-FFF2-40B4-BE49-F238E27FC236}">
              <a16:creationId xmlns:a16="http://schemas.microsoft.com/office/drawing/2014/main" id="{00000000-0008-0000-0100-0000D9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37595175"/>
          <a:ext cx="152400" cy="149225"/>
        </a:xfrm>
        <a:prstGeom prst="rect">
          <a:avLst/>
        </a:prstGeom>
        <a:noFill/>
        <a:ln w="9525">
          <a:noFill/>
          <a:miter lim="800000"/>
          <a:headEnd/>
          <a:tailEnd/>
        </a:ln>
      </xdr:spPr>
    </xdr:pic>
    <xdr:clientData fPrintsWithSheet="0"/>
  </xdr:twoCellAnchor>
  <xdr:twoCellAnchor editAs="oneCell">
    <xdr:from>
      <xdr:col>1</xdr:col>
      <xdr:colOff>12700</xdr:colOff>
      <xdr:row>273</xdr:row>
      <xdr:rowOff>9525</xdr:rowOff>
    </xdr:from>
    <xdr:to>
      <xdr:col>2</xdr:col>
      <xdr:colOff>0</xdr:colOff>
      <xdr:row>318</xdr:row>
      <xdr:rowOff>6350</xdr:rowOff>
    </xdr:to>
    <xdr:pic macro="[0]!ChangeDepr">
      <xdr:nvPicPr>
        <xdr:cNvPr id="218" name="btnInv26b" descr="timebtn2b" hidden="1">
          <a:extLst>
            <a:ext uri="{FF2B5EF4-FFF2-40B4-BE49-F238E27FC236}">
              <a16:creationId xmlns:a16="http://schemas.microsoft.com/office/drawing/2014/main" id="{00000000-0008-0000-0100-0000DA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39023925"/>
          <a:ext cx="152400" cy="149225"/>
        </a:xfrm>
        <a:prstGeom prst="rect">
          <a:avLst/>
        </a:prstGeom>
        <a:noFill/>
        <a:ln w="9525">
          <a:noFill/>
          <a:miter lim="800000"/>
          <a:headEnd/>
          <a:tailEnd/>
        </a:ln>
      </xdr:spPr>
    </xdr:pic>
    <xdr:clientData fPrintsWithSheet="0"/>
  </xdr:twoCellAnchor>
  <xdr:twoCellAnchor editAs="oneCell">
    <xdr:from>
      <xdr:col>1</xdr:col>
      <xdr:colOff>12700</xdr:colOff>
      <xdr:row>283</xdr:row>
      <xdr:rowOff>9525</xdr:rowOff>
    </xdr:from>
    <xdr:to>
      <xdr:col>2</xdr:col>
      <xdr:colOff>0</xdr:colOff>
      <xdr:row>318</xdr:row>
      <xdr:rowOff>6350</xdr:rowOff>
    </xdr:to>
    <xdr:pic macro="[0]!ChangeDepr">
      <xdr:nvPicPr>
        <xdr:cNvPr id="219" name="btnInv27b" descr="timebtn2b" hidden="1">
          <a:extLst>
            <a:ext uri="{FF2B5EF4-FFF2-40B4-BE49-F238E27FC236}">
              <a16:creationId xmlns:a16="http://schemas.microsoft.com/office/drawing/2014/main" id="{00000000-0008-0000-0100-0000DB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40452675"/>
          <a:ext cx="152400" cy="149225"/>
        </a:xfrm>
        <a:prstGeom prst="rect">
          <a:avLst/>
        </a:prstGeom>
        <a:noFill/>
        <a:ln w="9525">
          <a:noFill/>
          <a:miter lim="800000"/>
          <a:headEnd/>
          <a:tailEnd/>
        </a:ln>
      </xdr:spPr>
    </xdr:pic>
    <xdr:clientData fPrintsWithSheet="0"/>
  </xdr:twoCellAnchor>
  <xdr:twoCellAnchor editAs="oneCell">
    <xdr:from>
      <xdr:col>1</xdr:col>
      <xdr:colOff>12700</xdr:colOff>
      <xdr:row>293</xdr:row>
      <xdr:rowOff>9525</xdr:rowOff>
    </xdr:from>
    <xdr:to>
      <xdr:col>2</xdr:col>
      <xdr:colOff>0</xdr:colOff>
      <xdr:row>318</xdr:row>
      <xdr:rowOff>6350</xdr:rowOff>
    </xdr:to>
    <xdr:pic macro="[0]!ChangeDepr">
      <xdr:nvPicPr>
        <xdr:cNvPr id="220" name="btnInv28b" descr="timebtn2b" hidden="1">
          <a:extLst>
            <a:ext uri="{FF2B5EF4-FFF2-40B4-BE49-F238E27FC236}">
              <a16:creationId xmlns:a16="http://schemas.microsoft.com/office/drawing/2014/main" id="{00000000-0008-0000-0100-0000DC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41881425"/>
          <a:ext cx="152400" cy="149225"/>
        </a:xfrm>
        <a:prstGeom prst="rect">
          <a:avLst/>
        </a:prstGeom>
        <a:noFill/>
        <a:ln w="9525">
          <a:noFill/>
          <a:miter lim="800000"/>
          <a:headEnd/>
          <a:tailEnd/>
        </a:ln>
      </xdr:spPr>
    </xdr:pic>
    <xdr:clientData fPrintsWithSheet="0"/>
  </xdr:twoCellAnchor>
  <xdr:twoCellAnchor editAs="oneCell">
    <xdr:from>
      <xdr:col>1</xdr:col>
      <xdr:colOff>12700</xdr:colOff>
      <xdr:row>303</xdr:row>
      <xdr:rowOff>9525</xdr:rowOff>
    </xdr:from>
    <xdr:to>
      <xdr:col>2</xdr:col>
      <xdr:colOff>0</xdr:colOff>
      <xdr:row>318</xdr:row>
      <xdr:rowOff>6350</xdr:rowOff>
    </xdr:to>
    <xdr:pic macro="[0]!ChangeDepr">
      <xdr:nvPicPr>
        <xdr:cNvPr id="221" name="btnInv29b" descr="timebtn2b" hidden="1">
          <a:extLst>
            <a:ext uri="{FF2B5EF4-FFF2-40B4-BE49-F238E27FC236}">
              <a16:creationId xmlns:a16="http://schemas.microsoft.com/office/drawing/2014/main" id="{00000000-0008-0000-0100-0000DD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43310175"/>
          <a:ext cx="152400" cy="149225"/>
        </a:xfrm>
        <a:prstGeom prst="rect">
          <a:avLst/>
        </a:prstGeom>
        <a:noFill/>
        <a:ln w="9525">
          <a:noFill/>
          <a:miter lim="800000"/>
          <a:headEnd/>
          <a:tailEnd/>
        </a:ln>
      </xdr:spPr>
    </xdr:pic>
    <xdr:clientData fPrintsWithSheet="0"/>
  </xdr:twoCellAnchor>
  <xdr:twoCellAnchor editAs="oneCell">
    <xdr:from>
      <xdr:col>1</xdr:col>
      <xdr:colOff>12700</xdr:colOff>
      <xdr:row>313</xdr:row>
      <xdr:rowOff>9525</xdr:rowOff>
    </xdr:from>
    <xdr:to>
      <xdr:col>2</xdr:col>
      <xdr:colOff>0</xdr:colOff>
      <xdr:row>318</xdr:row>
      <xdr:rowOff>6350</xdr:rowOff>
    </xdr:to>
    <xdr:pic macro="[0]!ChangeDepr">
      <xdr:nvPicPr>
        <xdr:cNvPr id="222" name="btnInv30b" descr="timebtn2b" hidden="1">
          <a:extLst>
            <a:ext uri="{FF2B5EF4-FFF2-40B4-BE49-F238E27FC236}">
              <a16:creationId xmlns:a16="http://schemas.microsoft.com/office/drawing/2014/main" id="{00000000-0008-0000-0100-0000DE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44738925"/>
          <a:ext cx="152400" cy="149225"/>
        </a:xfrm>
        <a:prstGeom prst="rect">
          <a:avLst/>
        </a:prstGeom>
        <a:noFill/>
        <a:ln w="9525">
          <a:noFill/>
          <a:miter lim="800000"/>
          <a:headEnd/>
          <a:tailEnd/>
        </a:ln>
      </xdr:spPr>
    </xdr:pic>
    <xdr:clientData fPrintsWithSheet="0"/>
  </xdr:twoCellAnchor>
  <xdr:twoCellAnchor editAs="oneCell">
    <xdr:from>
      <xdr:col>2</xdr:col>
      <xdr:colOff>3175</xdr:colOff>
      <xdr:row>696</xdr:row>
      <xdr:rowOff>28575</xdr:rowOff>
    </xdr:from>
    <xdr:to>
      <xdr:col>2</xdr:col>
      <xdr:colOff>117475</xdr:colOff>
      <xdr:row>701</xdr:row>
      <xdr:rowOff>104775</xdr:rowOff>
    </xdr:to>
    <xdr:pic macro="[0]!ToggleRowSpec">
      <xdr:nvPicPr>
        <xdr:cNvPr id="223" name="btnRSpec050" hidden="1">
          <a:extLst>
            <a:ext uri="{FF2B5EF4-FFF2-40B4-BE49-F238E27FC236}">
              <a16:creationId xmlns:a16="http://schemas.microsoft.com/office/drawing/2014/main" id="{00000000-0008-0000-0100-0000DF000000}"/>
            </a:ext>
          </a:extLst>
        </xdr:cNvPr>
        <xdr:cNvPicPr>
          <a:picLocks noChangeAspect="1" noChangeArrowheads="1"/>
        </xdr:cNvPicPr>
      </xdr:nvPicPr>
      <xdr:blipFill>
        <a:blip xmlns:r="http://schemas.openxmlformats.org/officeDocument/2006/relationships" r:embed="rId18" cstate="print"/>
        <a:srcRect/>
        <a:stretch>
          <a:fillRect/>
        </a:stretch>
      </xdr:blipFill>
      <xdr:spPr bwMode="auto">
        <a:xfrm>
          <a:off x="203200" y="89658825"/>
          <a:ext cx="114300" cy="104775"/>
        </a:xfrm>
        <a:prstGeom prst="rect">
          <a:avLst/>
        </a:prstGeom>
        <a:noFill/>
        <a:ln w="9525">
          <a:noFill/>
          <a:miter lim="800000"/>
          <a:headEnd/>
          <a:tailEnd/>
        </a:ln>
      </xdr:spPr>
    </xdr:pic>
    <xdr:clientData fPrintsWithSheet="0"/>
  </xdr:twoCellAnchor>
  <xdr:twoCellAnchor editAs="oneCell">
    <xdr:from>
      <xdr:col>2</xdr:col>
      <xdr:colOff>3175</xdr:colOff>
      <xdr:row>697</xdr:row>
      <xdr:rowOff>28575</xdr:rowOff>
    </xdr:from>
    <xdr:to>
      <xdr:col>2</xdr:col>
      <xdr:colOff>117475</xdr:colOff>
      <xdr:row>701</xdr:row>
      <xdr:rowOff>104775</xdr:rowOff>
    </xdr:to>
    <xdr:pic macro="[0]!ToggleRowSpec">
      <xdr:nvPicPr>
        <xdr:cNvPr id="224" name="btnRSpec051" hidden="1">
          <a:extLst>
            <a:ext uri="{FF2B5EF4-FFF2-40B4-BE49-F238E27FC236}">
              <a16:creationId xmlns:a16="http://schemas.microsoft.com/office/drawing/2014/main" id="{00000000-0008-0000-0100-0000E0000000}"/>
            </a:ext>
          </a:extLst>
        </xdr:cNvPr>
        <xdr:cNvPicPr>
          <a:picLocks noChangeAspect="1" noChangeArrowheads="1"/>
        </xdr:cNvPicPr>
      </xdr:nvPicPr>
      <xdr:blipFill>
        <a:blip xmlns:r="http://schemas.openxmlformats.org/officeDocument/2006/relationships" r:embed="rId18" cstate="print"/>
        <a:srcRect/>
        <a:stretch>
          <a:fillRect/>
        </a:stretch>
      </xdr:blipFill>
      <xdr:spPr bwMode="auto">
        <a:xfrm>
          <a:off x="203200" y="89811225"/>
          <a:ext cx="114300" cy="104775"/>
        </a:xfrm>
        <a:prstGeom prst="rect">
          <a:avLst/>
        </a:prstGeom>
        <a:noFill/>
        <a:ln w="9525">
          <a:noFill/>
          <a:miter lim="800000"/>
          <a:headEnd/>
          <a:tailEnd/>
        </a:ln>
      </xdr:spPr>
    </xdr:pic>
    <xdr:clientData fPrintsWithSheet="0"/>
  </xdr:twoCellAnchor>
  <xdr:twoCellAnchor editAs="oneCell">
    <xdr:from>
      <xdr:col>2</xdr:col>
      <xdr:colOff>3175</xdr:colOff>
      <xdr:row>698</xdr:row>
      <xdr:rowOff>28575</xdr:rowOff>
    </xdr:from>
    <xdr:to>
      <xdr:col>2</xdr:col>
      <xdr:colOff>117475</xdr:colOff>
      <xdr:row>701</xdr:row>
      <xdr:rowOff>104775</xdr:rowOff>
    </xdr:to>
    <xdr:pic macro="[0]!ToggleRowSpec">
      <xdr:nvPicPr>
        <xdr:cNvPr id="225" name="btnRSpec052" hidden="1">
          <a:extLst>
            <a:ext uri="{FF2B5EF4-FFF2-40B4-BE49-F238E27FC236}">
              <a16:creationId xmlns:a16="http://schemas.microsoft.com/office/drawing/2014/main" id="{00000000-0008-0000-0100-0000E1000000}"/>
            </a:ext>
          </a:extLst>
        </xdr:cNvPr>
        <xdr:cNvPicPr>
          <a:picLocks noChangeAspect="1" noChangeArrowheads="1"/>
        </xdr:cNvPicPr>
      </xdr:nvPicPr>
      <xdr:blipFill>
        <a:blip xmlns:r="http://schemas.openxmlformats.org/officeDocument/2006/relationships" r:embed="rId18" cstate="print"/>
        <a:srcRect/>
        <a:stretch>
          <a:fillRect/>
        </a:stretch>
      </xdr:blipFill>
      <xdr:spPr bwMode="auto">
        <a:xfrm>
          <a:off x="203200" y="89963625"/>
          <a:ext cx="114300" cy="104775"/>
        </a:xfrm>
        <a:prstGeom prst="rect">
          <a:avLst/>
        </a:prstGeom>
        <a:noFill/>
        <a:ln w="9525">
          <a:noFill/>
          <a:miter lim="800000"/>
          <a:headEnd/>
          <a:tailEnd/>
        </a:ln>
      </xdr:spPr>
    </xdr:pic>
    <xdr:clientData fPrintsWithSheet="0"/>
  </xdr:twoCellAnchor>
  <xdr:twoCellAnchor editAs="oneCell">
    <xdr:from>
      <xdr:col>2</xdr:col>
      <xdr:colOff>3175</xdr:colOff>
      <xdr:row>700</xdr:row>
      <xdr:rowOff>28575</xdr:rowOff>
    </xdr:from>
    <xdr:to>
      <xdr:col>2</xdr:col>
      <xdr:colOff>117475</xdr:colOff>
      <xdr:row>701</xdr:row>
      <xdr:rowOff>104775</xdr:rowOff>
    </xdr:to>
    <xdr:pic macro="[0]!ToggleRowSpec">
      <xdr:nvPicPr>
        <xdr:cNvPr id="226" name="btnRSpec053" hidden="1">
          <a:extLst>
            <a:ext uri="{FF2B5EF4-FFF2-40B4-BE49-F238E27FC236}">
              <a16:creationId xmlns:a16="http://schemas.microsoft.com/office/drawing/2014/main" id="{00000000-0008-0000-0100-0000E2000000}"/>
            </a:ext>
          </a:extLst>
        </xdr:cNvPr>
        <xdr:cNvPicPr>
          <a:picLocks noChangeAspect="1" noChangeArrowheads="1"/>
        </xdr:cNvPicPr>
      </xdr:nvPicPr>
      <xdr:blipFill>
        <a:blip xmlns:r="http://schemas.openxmlformats.org/officeDocument/2006/relationships" r:embed="rId18" cstate="print"/>
        <a:srcRect/>
        <a:stretch>
          <a:fillRect/>
        </a:stretch>
      </xdr:blipFill>
      <xdr:spPr bwMode="auto">
        <a:xfrm>
          <a:off x="203200" y="90268425"/>
          <a:ext cx="114300" cy="104775"/>
        </a:xfrm>
        <a:prstGeom prst="rect">
          <a:avLst/>
        </a:prstGeom>
        <a:noFill/>
        <a:ln w="9525">
          <a:noFill/>
          <a:miter lim="800000"/>
          <a:headEnd/>
          <a:tailEnd/>
        </a:ln>
      </xdr:spPr>
    </xdr:pic>
    <xdr:clientData fPrintsWithSheet="0"/>
  </xdr:twoCellAnchor>
  <xdr:twoCellAnchor editAs="oneCell">
    <xdr:from>
      <xdr:col>2</xdr:col>
      <xdr:colOff>3175</xdr:colOff>
      <xdr:row>689</xdr:row>
      <xdr:rowOff>28575</xdr:rowOff>
    </xdr:from>
    <xdr:to>
      <xdr:col>2</xdr:col>
      <xdr:colOff>117475</xdr:colOff>
      <xdr:row>690</xdr:row>
      <xdr:rowOff>104775</xdr:rowOff>
    </xdr:to>
    <xdr:pic macro="[0]!ToggleRowSpec">
      <xdr:nvPicPr>
        <xdr:cNvPr id="227" name="btnRSpec054" hidden="1">
          <a:extLst>
            <a:ext uri="{FF2B5EF4-FFF2-40B4-BE49-F238E27FC236}">
              <a16:creationId xmlns:a16="http://schemas.microsoft.com/office/drawing/2014/main" id="{00000000-0008-0000-0100-0000E3000000}"/>
            </a:ext>
          </a:extLst>
        </xdr:cNvPr>
        <xdr:cNvPicPr>
          <a:picLocks noChangeAspect="1" noChangeArrowheads="1"/>
        </xdr:cNvPicPr>
      </xdr:nvPicPr>
      <xdr:blipFill>
        <a:blip xmlns:r="http://schemas.openxmlformats.org/officeDocument/2006/relationships" r:embed="rId18" cstate="print"/>
        <a:srcRect/>
        <a:stretch>
          <a:fillRect/>
        </a:stretch>
      </xdr:blipFill>
      <xdr:spPr bwMode="auto">
        <a:xfrm>
          <a:off x="203200" y="88592025"/>
          <a:ext cx="114300" cy="104775"/>
        </a:xfrm>
        <a:prstGeom prst="rect">
          <a:avLst/>
        </a:prstGeom>
        <a:noFill/>
        <a:ln w="9525">
          <a:noFill/>
          <a:miter lim="800000"/>
          <a:headEnd/>
          <a:tailEnd/>
        </a:ln>
      </xdr:spPr>
    </xdr:pic>
    <xdr:clientData fPrintsWithSheet="0"/>
  </xdr:twoCellAnchor>
  <xdr:twoCellAnchor editAs="oneCell">
    <xdr:from>
      <xdr:col>1</xdr:col>
      <xdr:colOff>12700</xdr:colOff>
      <xdr:row>690</xdr:row>
      <xdr:rowOff>9525</xdr:rowOff>
    </xdr:from>
    <xdr:to>
      <xdr:col>2</xdr:col>
      <xdr:colOff>0</xdr:colOff>
      <xdr:row>691</xdr:row>
      <xdr:rowOff>0</xdr:rowOff>
    </xdr:to>
    <xdr:pic macro="[0]!ToggleRowSpec">
      <xdr:nvPicPr>
        <xdr:cNvPr id="228" name="btnRSpec031" descr="rspecB">
          <a:extLst>
            <a:ext uri="{FF2B5EF4-FFF2-40B4-BE49-F238E27FC236}">
              <a16:creationId xmlns:a16="http://schemas.microsoft.com/office/drawing/2014/main" id="{00000000-0008-0000-0100-0000E4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88725375"/>
          <a:ext cx="152400" cy="149225"/>
        </a:xfrm>
        <a:prstGeom prst="rect">
          <a:avLst/>
        </a:prstGeom>
        <a:noFill/>
        <a:ln w="9525">
          <a:noFill/>
          <a:miter lim="800000"/>
          <a:headEnd/>
          <a:tailEnd/>
        </a:ln>
      </xdr:spPr>
    </xdr:pic>
    <xdr:clientData fPrintsWithSheet="0"/>
  </xdr:twoCellAnchor>
  <xdr:twoCellAnchor editAs="oneCell">
    <xdr:from>
      <xdr:col>1</xdr:col>
      <xdr:colOff>12700</xdr:colOff>
      <xdr:row>501</xdr:row>
      <xdr:rowOff>9525</xdr:rowOff>
    </xdr:from>
    <xdr:to>
      <xdr:col>2</xdr:col>
      <xdr:colOff>0</xdr:colOff>
      <xdr:row>502</xdr:row>
      <xdr:rowOff>9525</xdr:rowOff>
    </xdr:to>
    <xdr:pic macro="[0]!ToggleRowSpec">
      <xdr:nvPicPr>
        <xdr:cNvPr id="229" name="btnRSpec032" descr="rspecB">
          <a:extLst>
            <a:ext uri="{FF2B5EF4-FFF2-40B4-BE49-F238E27FC236}">
              <a16:creationId xmlns:a16="http://schemas.microsoft.com/office/drawing/2014/main" id="{00000000-0008-0000-0100-0000E5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70961250"/>
          <a:ext cx="152400" cy="142875"/>
        </a:xfrm>
        <a:prstGeom prst="rect">
          <a:avLst/>
        </a:prstGeom>
        <a:noFill/>
        <a:ln w="9525">
          <a:noFill/>
          <a:miter lim="800000"/>
          <a:headEnd/>
          <a:tailEnd/>
        </a:ln>
      </xdr:spPr>
    </xdr:pic>
    <xdr:clientData fPrintsWithSheet="0"/>
  </xdr:twoCellAnchor>
  <xdr:twoCellAnchor editAs="oneCell">
    <xdr:from>
      <xdr:col>3</xdr:col>
      <xdr:colOff>488950</xdr:colOff>
      <xdr:row>833</xdr:row>
      <xdr:rowOff>9525</xdr:rowOff>
    </xdr:from>
    <xdr:to>
      <xdr:col>3</xdr:col>
      <xdr:colOff>641350</xdr:colOff>
      <xdr:row>837</xdr:row>
      <xdr:rowOff>85725</xdr:rowOff>
    </xdr:to>
    <xdr:pic macro="[0]!ShowImpairmentTestOptions">
      <xdr:nvPicPr>
        <xdr:cNvPr id="230" name="btnImpairmentBV" descr="timebtn2b" hidden="1">
          <a:extLst>
            <a:ext uri="{FF2B5EF4-FFF2-40B4-BE49-F238E27FC236}">
              <a16:creationId xmlns:a16="http://schemas.microsoft.com/office/drawing/2014/main" id="{00000000-0008-0000-0100-0000E6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2870200" y="111185325"/>
          <a:ext cx="152400" cy="142875"/>
        </a:xfrm>
        <a:prstGeom prst="rect">
          <a:avLst/>
        </a:prstGeom>
        <a:noFill/>
        <a:ln w="9525">
          <a:noFill/>
          <a:miter lim="800000"/>
          <a:headEnd/>
          <a:tailEnd/>
        </a:ln>
      </xdr:spPr>
    </xdr:pic>
    <xdr:clientData fPrintsWithSheet="0"/>
  </xdr:twoCellAnchor>
  <xdr:twoCellAnchor editAs="oneCell">
    <xdr:from>
      <xdr:col>2</xdr:col>
      <xdr:colOff>3175</xdr:colOff>
      <xdr:row>741</xdr:row>
      <xdr:rowOff>38100</xdr:rowOff>
    </xdr:from>
    <xdr:to>
      <xdr:col>2</xdr:col>
      <xdr:colOff>107950</xdr:colOff>
      <xdr:row>749</xdr:row>
      <xdr:rowOff>104775</xdr:rowOff>
    </xdr:to>
    <xdr:pic macro="[0]!FlipAsset">
      <xdr:nvPicPr>
        <xdr:cNvPr id="231" name="btnFlipAsset13" hidden="1">
          <a:extLst>
            <a:ext uri="{FF2B5EF4-FFF2-40B4-BE49-F238E27FC236}">
              <a16:creationId xmlns:a16="http://schemas.microsoft.com/office/drawing/2014/main" id="{00000000-0008-0000-0100-0000E700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203200" y="97088325"/>
          <a:ext cx="104775" cy="104775"/>
        </a:xfrm>
        <a:prstGeom prst="rect">
          <a:avLst/>
        </a:prstGeom>
        <a:noFill/>
        <a:ln w="9525">
          <a:noFill/>
          <a:miter lim="800000"/>
          <a:headEnd/>
          <a:tailEnd/>
        </a:ln>
      </xdr:spPr>
    </xdr:pic>
    <xdr:clientData fPrintsWithSheet="0"/>
  </xdr:twoCellAnchor>
  <xdr:twoCellAnchor editAs="oneCell">
    <xdr:from>
      <xdr:col>1</xdr:col>
      <xdr:colOff>12700</xdr:colOff>
      <xdr:row>447</xdr:row>
      <xdr:rowOff>0</xdr:rowOff>
    </xdr:from>
    <xdr:to>
      <xdr:col>2</xdr:col>
      <xdr:colOff>0</xdr:colOff>
      <xdr:row>448</xdr:row>
      <xdr:rowOff>0</xdr:rowOff>
    </xdr:to>
    <xdr:pic macro="[0]!ToggleRowSpec">
      <xdr:nvPicPr>
        <xdr:cNvPr id="232" name="btnRSpec061" descr="rspecB">
          <a:extLst>
            <a:ext uri="{FF2B5EF4-FFF2-40B4-BE49-F238E27FC236}">
              <a16:creationId xmlns:a16="http://schemas.microsoft.com/office/drawing/2014/main" id="{00000000-0008-0000-0100-0000E8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6477000"/>
          <a:ext cx="152400" cy="142875"/>
        </a:xfrm>
        <a:prstGeom prst="rect">
          <a:avLst/>
        </a:prstGeom>
        <a:noFill/>
        <a:ln w="9525">
          <a:noFill/>
          <a:miter lim="800000"/>
          <a:headEnd/>
          <a:tailEnd/>
        </a:ln>
      </xdr:spPr>
    </xdr:pic>
    <xdr:clientData fPrintsWithSheet="0"/>
  </xdr:twoCellAnchor>
  <xdr:twoCellAnchor editAs="oneCell">
    <xdr:from>
      <xdr:col>1</xdr:col>
      <xdr:colOff>12700</xdr:colOff>
      <xdr:row>448</xdr:row>
      <xdr:rowOff>0</xdr:rowOff>
    </xdr:from>
    <xdr:to>
      <xdr:col>2</xdr:col>
      <xdr:colOff>0</xdr:colOff>
      <xdr:row>449</xdr:row>
      <xdr:rowOff>0</xdr:rowOff>
    </xdr:to>
    <xdr:pic macro="[0]!ToggleRowSpec">
      <xdr:nvPicPr>
        <xdr:cNvPr id="233" name="btnRSpec062" descr="rspecB">
          <a:extLst>
            <a:ext uri="{FF2B5EF4-FFF2-40B4-BE49-F238E27FC236}">
              <a16:creationId xmlns:a16="http://schemas.microsoft.com/office/drawing/2014/main" id="{00000000-0008-0000-0100-0000E9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6477000"/>
          <a:ext cx="152400" cy="142875"/>
        </a:xfrm>
        <a:prstGeom prst="rect">
          <a:avLst/>
        </a:prstGeom>
        <a:noFill/>
        <a:ln w="9525">
          <a:noFill/>
          <a:miter lim="800000"/>
          <a:headEnd/>
          <a:tailEnd/>
        </a:ln>
      </xdr:spPr>
    </xdr:pic>
    <xdr:clientData fPrintsWithSheet="0"/>
  </xdr:twoCellAnchor>
  <xdr:twoCellAnchor editAs="oneCell">
    <xdr:from>
      <xdr:col>1</xdr:col>
      <xdr:colOff>12700</xdr:colOff>
      <xdr:row>449</xdr:row>
      <xdr:rowOff>0</xdr:rowOff>
    </xdr:from>
    <xdr:to>
      <xdr:col>2</xdr:col>
      <xdr:colOff>0</xdr:colOff>
      <xdr:row>450</xdr:row>
      <xdr:rowOff>0</xdr:rowOff>
    </xdr:to>
    <xdr:pic macro="[0]!ToggleRowSpec">
      <xdr:nvPicPr>
        <xdr:cNvPr id="234" name="btnRSpec063" descr="rspecB">
          <a:extLst>
            <a:ext uri="{FF2B5EF4-FFF2-40B4-BE49-F238E27FC236}">
              <a16:creationId xmlns:a16="http://schemas.microsoft.com/office/drawing/2014/main" id="{00000000-0008-0000-0100-0000EA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6477000"/>
          <a:ext cx="152400" cy="142875"/>
        </a:xfrm>
        <a:prstGeom prst="rect">
          <a:avLst/>
        </a:prstGeom>
        <a:noFill/>
        <a:ln w="9525">
          <a:noFill/>
          <a:miter lim="800000"/>
          <a:headEnd/>
          <a:tailEnd/>
        </a:ln>
      </xdr:spPr>
    </xdr:pic>
    <xdr:clientData fPrintsWithSheet="0"/>
  </xdr:twoCellAnchor>
  <xdr:twoCellAnchor editAs="oneCell">
    <xdr:from>
      <xdr:col>1</xdr:col>
      <xdr:colOff>12700</xdr:colOff>
      <xdr:row>450</xdr:row>
      <xdr:rowOff>0</xdr:rowOff>
    </xdr:from>
    <xdr:to>
      <xdr:col>2</xdr:col>
      <xdr:colOff>0</xdr:colOff>
      <xdr:row>451</xdr:row>
      <xdr:rowOff>0</xdr:rowOff>
    </xdr:to>
    <xdr:pic macro="[0]!ToggleRowSpec">
      <xdr:nvPicPr>
        <xdr:cNvPr id="235" name="btnRSpec064" descr="rspecB">
          <a:extLst>
            <a:ext uri="{FF2B5EF4-FFF2-40B4-BE49-F238E27FC236}">
              <a16:creationId xmlns:a16="http://schemas.microsoft.com/office/drawing/2014/main" id="{00000000-0008-0000-0100-0000EB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6477000"/>
          <a:ext cx="152400" cy="142875"/>
        </a:xfrm>
        <a:prstGeom prst="rect">
          <a:avLst/>
        </a:prstGeom>
        <a:noFill/>
        <a:ln w="9525">
          <a:noFill/>
          <a:miter lim="800000"/>
          <a:headEnd/>
          <a:tailEnd/>
        </a:ln>
      </xdr:spPr>
    </xdr:pic>
    <xdr:clientData fPrintsWithSheet="0"/>
  </xdr:twoCellAnchor>
  <xdr:twoCellAnchor editAs="oneCell">
    <xdr:from>
      <xdr:col>1</xdr:col>
      <xdr:colOff>12700</xdr:colOff>
      <xdr:row>451</xdr:row>
      <xdr:rowOff>0</xdr:rowOff>
    </xdr:from>
    <xdr:to>
      <xdr:col>2</xdr:col>
      <xdr:colOff>0</xdr:colOff>
      <xdr:row>452</xdr:row>
      <xdr:rowOff>0</xdr:rowOff>
    </xdr:to>
    <xdr:pic macro="[0]!ToggleRowSpec">
      <xdr:nvPicPr>
        <xdr:cNvPr id="236" name="btnRSpec065" descr="rspecB">
          <a:extLst>
            <a:ext uri="{FF2B5EF4-FFF2-40B4-BE49-F238E27FC236}">
              <a16:creationId xmlns:a16="http://schemas.microsoft.com/office/drawing/2014/main" id="{00000000-0008-0000-0100-0000EC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6477000"/>
          <a:ext cx="152400" cy="142875"/>
        </a:xfrm>
        <a:prstGeom prst="rect">
          <a:avLst/>
        </a:prstGeom>
        <a:noFill/>
        <a:ln w="9525">
          <a:noFill/>
          <a:miter lim="800000"/>
          <a:headEnd/>
          <a:tailEnd/>
        </a:ln>
      </xdr:spPr>
    </xdr:pic>
    <xdr:clientData fPrintsWithSheet="0"/>
  </xdr:twoCellAnchor>
  <xdr:twoCellAnchor editAs="oneCell">
    <xdr:from>
      <xdr:col>1</xdr:col>
      <xdr:colOff>12700</xdr:colOff>
      <xdr:row>462</xdr:row>
      <xdr:rowOff>0</xdr:rowOff>
    </xdr:from>
    <xdr:to>
      <xdr:col>2</xdr:col>
      <xdr:colOff>0</xdr:colOff>
      <xdr:row>463</xdr:row>
      <xdr:rowOff>0</xdr:rowOff>
    </xdr:to>
    <xdr:pic macro="[0]!ToggleRowSpec">
      <xdr:nvPicPr>
        <xdr:cNvPr id="237" name="btnRSpec071" descr="rspecB">
          <a:extLst>
            <a:ext uri="{FF2B5EF4-FFF2-40B4-BE49-F238E27FC236}">
              <a16:creationId xmlns:a16="http://schemas.microsoft.com/office/drawing/2014/main" id="{00000000-0008-0000-0100-0000ED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8648700"/>
          <a:ext cx="152400" cy="142875"/>
        </a:xfrm>
        <a:prstGeom prst="rect">
          <a:avLst/>
        </a:prstGeom>
        <a:noFill/>
        <a:ln w="9525">
          <a:noFill/>
          <a:miter lim="800000"/>
          <a:headEnd/>
          <a:tailEnd/>
        </a:ln>
      </xdr:spPr>
    </xdr:pic>
    <xdr:clientData fPrintsWithSheet="0"/>
  </xdr:twoCellAnchor>
  <xdr:twoCellAnchor editAs="oneCell">
    <xdr:from>
      <xdr:col>1</xdr:col>
      <xdr:colOff>12700</xdr:colOff>
      <xdr:row>463</xdr:row>
      <xdr:rowOff>0</xdr:rowOff>
    </xdr:from>
    <xdr:to>
      <xdr:col>2</xdr:col>
      <xdr:colOff>0</xdr:colOff>
      <xdr:row>464</xdr:row>
      <xdr:rowOff>0</xdr:rowOff>
    </xdr:to>
    <xdr:pic macro="[0]!ToggleRowSpec">
      <xdr:nvPicPr>
        <xdr:cNvPr id="238" name="btnRSpec072" descr="rspecB">
          <a:extLst>
            <a:ext uri="{FF2B5EF4-FFF2-40B4-BE49-F238E27FC236}">
              <a16:creationId xmlns:a16="http://schemas.microsoft.com/office/drawing/2014/main" id="{00000000-0008-0000-0100-0000EE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8648700"/>
          <a:ext cx="152400" cy="142875"/>
        </a:xfrm>
        <a:prstGeom prst="rect">
          <a:avLst/>
        </a:prstGeom>
        <a:noFill/>
        <a:ln w="9525">
          <a:noFill/>
          <a:miter lim="800000"/>
          <a:headEnd/>
          <a:tailEnd/>
        </a:ln>
      </xdr:spPr>
    </xdr:pic>
    <xdr:clientData fPrintsWithSheet="0"/>
  </xdr:twoCellAnchor>
  <xdr:twoCellAnchor editAs="oneCell">
    <xdr:from>
      <xdr:col>1</xdr:col>
      <xdr:colOff>12700</xdr:colOff>
      <xdr:row>464</xdr:row>
      <xdr:rowOff>0</xdr:rowOff>
    </xdr:from>
    <xdr:to>
      <xdr:col>2</xdr:col>
      <xdr:colOff>0</xdr:colOff>
      <xdr:row>465</xdr:row>
      <xdr:rowOff>0</xdr:rowOff>
    </xdr:to>
    <xdr:pic macro="[0]!ToggleRowSpec">
      <xdr:nvPicPr>
        <xdr:cNvPr id="239" name="btnRSpec073" descr="rspecB">
          <a:extLst>
            <a:ext uri="{FF2B5EF4-FFF2-40B4-BE49-F238E27FC236}">
              <a16:creationId xmlns:a16="http://schemas.microsoft.com/office/drawing/2014/main" id="{00000000-0008-0000-0100-0000EF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8648700"/>
          <a:ext cx="152400" cy="142875"/>
        </a:xfrm>
        <a:prstGeom prst="rect">
          <a:avLst/>
        </a:prstGeom>
        <a:noFill/>
        <a:ln w="9525">
          <a:noFill/>
          <a:miter lim="800000"/>
          <a:headEnd/>
          <a:tailEnd/>
        </a:ln>
      </xdr:spPr>
    </xdr:pic>
    <xdr:clientData fPrintsWithSheet="0"/>
  </xdr:twoCellAnchor>
  <xdr:twoCellAnchor editAs="oneCell">
    <xdr:from>
      <xdr:col>1</xdr:col>
      <xdr:colOff>12700</xdr:colOff>
      <xdr:row>465</xdr:row>
      <xdr:rowOff>0</xdr:rowOff>
    </xdr:from>
    <xdr:to>
      <xdr:col>2</xdr:col>
      <xdr:colOff>0</xdr:colOff>
      <xdr:row>466</xdr:row>
      <xdr:rowOff>0</xdr:rowOff>
    </xdr:to>
    <xdr:pic macro="[0]!ToggleRowSpec">
      <xdr:nvPicPr>
        <xdr:cNvPr id="240" name="btnRSpec074" descr="rspecB">
          <a:extLst>
            <a:ext uri="{FF2B5EF4-FFF2-40B4-BE49-F238E27FC236}">
              <a16:creationId xmlns:a16="http://schemas.microsoft.com/office/drawing/2014/main" id="{00000000-0008-0000-0100-0000F0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8648700"/>
          <a:ext cx="152400" cy="142875"/>
        </a:xfrm>
        <a:prstGeom prst="rect">
          <a:avLst/>
        </a:prstGeom>
        <a:noFill/>
        <a:ln w="9525">
          <a:noFill/>
          <a:miter lim="800000"/>
          <a:headEnd/>
          <a:tailEnd/>
        </a:ln>
      </xdr:spPr>
    </xdr:pic>
    <xdr:clientData fPrintsWithSheet="0"/>
  </xdr:twoCellAnchor>
  <xdr:twoCellAnchor editAs="oneCell">
    <xdr:from>
      <xdr:col>1</xdr:col>
      <xdr:colOff>12700</xdr:colOff>
      <xdr:row>476</xdr:row>
      <xdr:rowOff>0</xdr:rowOff>
    </xdr:from>
    <xdr:to>
      <xdr:col>2</xdr:col>
      <xdr:colOff>0</xdr:colOff>
      <xdr:row>477</xdr:row>
      <xdr:rowOff>0</xdr:rowOff>
    </xdr:to>
    <xdr:pic macro="[0]!ToggleRowSpec">
      <xdr:nvPicPr>
        <xdr:cNvPr id="243" name="btnRSpec081" descr="rspecB">
          <a:extLst>
            <a:ext uri="{FF2B5EF4-FFF2-40B4-BE49-F238E27FC236}">
              <a16:creationId xmlns:a16="http://schemas.microsoft.com/office/drawing/2014/main" id="{00000000-0008-0000-0100-0000F3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10648950"/>
          <a:ext cx="152400" cy="142875"/>
        </a:xfrm>
        <a:prstGeom prst="rect">
          <a:avLst/>
        </a:prstGeom>
        <a:noFill/>
        <a:ln w="9525">
          <a:noFill/>
          <a:miter lim="800000"/>
          <a:headEnd/>
          <a:tailEnd/>
        </a:ln>
      </xdr:spPr>
    </xdr:pic>
    <xdr:clientData fPrintsWithSheet="0"/>
  </xdr:twoCellAnchor>
  <xdr:twoCellAnchor editAs="oneCell">
    <xdr:from>
      <xdr:col>1</xdr:col>
      <xdr:colOff>12700</xdr:colOff>
      <xdr:row>477</xdr:row>
      <xdr:rowOff>0</xdr:rowOff>
    </xdr:from>
    <xdr:to>
      <xdr:col>2</xdr:col>
      <xdr:colOff>0</xdr:colOff>
      <xdr:row>478</xdr:row>
      <xdr:rowOff>0</xdr:rowOff>
    </xdr:to>
    <xdr:pic macro="[0]!ToggleRowSpec">
      <xdr:nvPicPr>
        <xdr:cNvPr id="244" name="btnRSpec082" descr="rspecB">
          <a:extLst>
            <a:ext uri="{FF2B5EF4-FFF2-40B4-BE49-F238E27FC236}">
              <a16:creationId xmlns:a16="http://schemas.microsoft.com/office/drawing/2014/main" id="{00000000-0008-0000-0100-0000F4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10648950"/>
          <a:ext cx="152400" cy="142875"/>
        </a:xfrm>
        <a:prstGeom prst="rect">
          <a:avLst/>
        </a:prstGeom>
        <a:noFill/>
        <a:ln w="9525">
          <a:noFill/>
          <a:miter lim="800000"/>
          <a:headEnd/>
          <a:tailEnd/>
        </a:ln>
      </xdr:spPr>
    </xdr:pic>
    <xdr:clientData fPrintsWithSheet="0"/>
  </xdr:twoCellAnchor>
  <xdr:twoCellAnchor editAs="oneCell">
    <xdr:from>
      <xdr:col>1</xdr:col>
      <xdr:colOff>12700</xdr:colOff>
      <xdr:row>478</xdr:row>
      <xdr:rowOff>0</xdr:rowOff>
    </xdr:from>
    <xdr:to>
      <xdr:col>2</xdr:col>
      <xdr:colOff>0</xdr:colOff>
      <xdr:row>479</xdr:row>
      <xdr:rowOff>0</xdr:rowOff>
    </xdr:to>
    <xdr:pic macro="[0]!ToggleRowSpec">
      <xdr:nvPicPr>
        <xdr:cNvPr id="245" name="btnRSpec083" descr="rspecB">
          <a:extLst>
            <a:ext uri="{FF2B5EF4-FFF2-40B4-BE49-F238E27FC236}">
              <a16:creationId xmlns:a16="http://schemas.microsoft.com/office/drawing/2014/main" id="{00000000-0008-0000-0100-0000F5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10648950"/>
          <a:ext cx="152400" cy="142875"/>
        </a:xfrm>
        <a:prstGeom prst="rect">
          <a:avLst/>
        </a:prstGeom>
        <a:noFill/>
        <a:ln w="9525">
          <a:noFill/>
          <a:miter lim="800000"/>
          <a:headEnd/>
          <a:tailEnd/>
        </a:ln>
      </xdr:spPr>
    </xdr:pic>
    <xdr:clientData fPrintsWithSheet="0"/>
  </xdr:twoCellAnchor>
  <xdr:twoCellAnchor editAs="oneCell">
    <xdr:from>
      <xdr:col>1</xdr:col>
      <xdr:colOff>12700</xdr:colOff>
      <xdr:row>479</xdr:row>
      <xdr:rowOff>0</xdr:rowOff>
    </xdr:from>
    <xdr:to>
      <xdr:col>2</xdr:col>
      <xdr:colOff>0</xdr:colOff>
      <xdr:row>480</xdr:row>
      <xdr:rowOff>0</xdr:rowOff>
    </xdr:to>
    <xdr:pic macro="[0]!ToggleRowSpec">
      <xdr:nvPicPr>
        <xdr:cNvPr id="246" name="btnRSpec084" descr="rspecB">
          <a:extLst>
            <a:ext uri="{FF2B5EF4-FFF2-40B4-BE49-F238E27FC236}">
              <a16:creationId xmlns:a16="http://schemas.microsoft.com/office/drawing/2014/main" id="{00000000-0008-0000-0100-0000F6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10648950"/>
          <a:ext cx="152400" cy="142875"/>
        </a:xfrm>
        <a:prstGeom prst="rect">
          <a:avLst/>
        </a:prstGeom>
        <a:noFill/>
        <a:ln w="9525">
          <a:noFill/>
          <a:miter lim="800000"/>
          <a:headEnd/>
          <a:tailEnd/>
        </a:ln>
      </xdr:spPr>
    </xdr:pic>
    <xdr:clientData fPrintsWithSheet="0"/>
  </xdr:twoCellAnchor>
  <xdr:twoCellAnchor editAs="oneCell">
    <xdr:from>
      <xdr:col>3</xdr:col>
      <xdr:colOff>19052</xdr:colOff>
      <xdr:row>8</xdr:row>
      <xdr:rowOff>114300</xdr:rowOff>
    </xdr:from>
    <xdr:to>
      <xdr:col>3</xdr:col>
      <xdr:colOff>295277</xdr:colOff>
      <xdr:row>14</xdr:row>
      <xdr:rowOff>161925</xdr:rowOff>
    </xdr:to>
    <xdr:pic macro="[0]!CameraButtonPressed">
      <xdr:nvPicPr>
        <xdr:cNvPr id="248" name="btnCamInvestTableFull" descr="CameraBtnSmall.bmp">
          <a:extLst>
            <a:ext uri="{FF2B5EF4-FFF2-40B4-BE49-F238E27FC236}">
              <a16:creationId xmlns:a16="http://schemas.microsoft.com/office/drawing/2014/main" id="{00000000-0008-0000-0100-0000F8000000}"/>
            </a:ext>
          </a:extLst>
        </xdr:cNvPr>
        <xdr:cNvPicPr>
          <a:picLocks noChangeAspect="1"/>
        </xdr:cNvPicPr>
      </xdr:nvPicPr>
      <xdr:blipFill>
        <a:blip xmlns:r="http://schemas.openxmlformats.org/officeDocument/2006/relationships" r:embed="rId19" cstate="print"/>
        <a:stretch>
          <a:fillRect/>
        </a:stretch>
      </xdr:blipFill>
      <xdr:spPr>
        <a:xfrm>
          <a:off x="2400302" y="257175"/>
          <a:ext cx="276225" cy="200025"/>
        </a:xfrm>
        <a:prstGeom prst="rect">
          <a:avLst/>
        </a:prstGeom>
      </xdr:spPr>
    </xdr:pic>
    <xdr:clientData fPrintsWithSheet="0"/>
  </xdr:twoCellAnchor>
  <xdr:twoCellAnchor editAs="oneCell">
    <xdr:from>
      <xdr:col>3</xdr:col>
      <xdr:colOff>19049</xdr:colOff>
      <xdr:row>437</xdr:row>
      <xdr:rowOff>114300</xdr:rowOff>
    </xdr:from>
    <xdr:to>
      <xdr:col>3</xdr:col>
      <xdr:colOff>295274</xdr:colOff>
      <xdr:row>438</xdr:row>
      <xdr:rowOff>161925</xdr:rowOff>
    </xdr:to>
    <xdr:pic macro="[0]!CameraButtonPressed">
      <xdr:nvPicPr>
        <xdr:cNvPr id="249" name="btnCamIncomeTableFull" descr="CameraBtnSmall.bmp">
          <a:extLst>
            <a:ext uri="{FF2B5EF4-FFF2-40B4-BE49-F238E27FC236}">
              <a16:creationId xmlns:a16="http://schemas.microsoft.com/office/drawing/2014/main" id="{00000000-0008-0000-0100-0000F9000000}"/>
            </a:ext>
          </a:extLst>
        </xdr:cNvPr>
        <xdr:cNvPicPr>
          <a:picLocks noChangeAspect="1"/>
        </xdr:cNvPicPr>
      </xdr:nvPicPr>
      <xdr:blipFill>
        <a:blip xmlns:r="http://schemas.openxmlformats.org/officeDocument/2006/relationships" r:embed="rId19" cstate="print"/>
        <a:stretch>
          <a:fillRect/>
        </a:stretch>
      </xdr:blipFill>
      <xdr:spPr>
        <a:xfrm>
          <a:off x="2400299" y="6096000"/>
          <a:ext cx="276225" cy="200025"/>
        </a:xfrm>
        <a:prstGeom prst="rect">
          <a:avLst/>
        </a:prstGeom>
      </xdr:spPr>
    </xdr:pic>
    <xdr:clientData fPrintsWithSheet="0"/>
  </xdr:twoCellAnchor>
  <xdr:twoCellAnchor editAs="oneCell">
    <xdr:from>
      <xdr:col>3</xdr:col>
      <xdr:colOff>19051</xdr:colOff>
      <xdr:row>535</xdr:row>
      <xdr:rowOff>104775</xdr:rowOff>
    </xdr:from>
    <xdr:to>
      <xdr:col>3</xdr:col>
      <xdr:colOff>295276</xdr:colOff>
      <xdr:row>536</xdr:row>
      <xdr:rowOff>152400</xdr:rowOff>
    </xdr:to>
    <xdr:pic macro="[0]!CameraButtonPressed">
      <xdr:nvPicPr>
        <xdr:cNvPr id="250" name="btnCamWorkingCapitalFull" descr="CameraBtnSmall.bmp">
          <a:extLst>
            <a:ext uri="{FF2B5EF4-FFF2-40B4-BE49-F238E27FC236}">
              <a16:creationId xmlns:a16="http://schemas.microsoft.com/office/drawing/2014/main" id="{00000000-0008-0000-0100-0000FA000000}"/>
            </a:ext>
          </a:extLst>
        </xdr:cNvPr>
        <xdr:cNvPicPr>
          <a:picLocks noChangeAspect="1"/>
        </xdr:cNvPicPr>
      </xdr:nvPicPr>
      <xdr:blipFill>
        <a:blip xmlns:r="http://schemas.openxmlformats.org/officeDocument/2006/relationships" r:embed="rId19" cstate="print"/>
        <a:stretch>
          <a:fillRect/>
        </a:stretch>
      </xdr:blipFill>
      <xdr:spPr>
        <a:xfrm>
          <a:off x="2400301" y="17145000"/>
          <a:ext cx="276225" cy="200025"/>
        </a:xfrm>
        <a:prstGeom prst="rect">
          <a:avLst/>
        </a:prstGeom>
      </xdr:spPr>
    </xdr:pic>
    <xdr:clientData fPrintsWithSheet="0"/>
  </xdr:twoCellAnchor>
  <xdr:twoCellAnchor editAs="oneCell">
    <xdr:from>
      <xdr:col>3</xdr:col>
      <xdr:colOff>19050</xdr:colOff>
      <xdr:row>623</xdr:row>
      <xdr:rowOff>104775</xdr:rowOff>
    </xdr:from>
    <xdr:to>
      <xdr:col>3</xdr:col>
      <xdr:colOff>295275</xdr:colOff>
      <xdr:row>624</xdr:row>
      <xdr:rowOff>152400</xdr:rowOff>
    </xdr:to>
    <xdr:pic macro="[0]!CameraButtonPressed">
      <xdr:nvPicPr>
        <xdr:cNvPr id="251" name="btnCamCashFlowTableFull" descr="CameraBtnSmall.bmp">
          <a:extLst>
            <a:ext uri="{FF2B5EF4-FFF2-40B4-BE49-F238E27FC236}">
              <a16:creationId xmlns:a16="http://schemas.microsoft.com/office/drawing/2014/main" id="{00000000-0008-0000-0100-0000FB000000}"/>
            </a:ext>
          </a:extLst>
        </xdr:cNvPr>
        <xdr:cNvPicPr>
          <a:picLocks noChangeAspect="1"/>
        </xdr:cNvPicPr>
      </xdr:nvPicPr>
      <xdr:blipFill>
        <a:blip xmlns:r="http://schemas.openxmlformats.org/officeDocument/2006/relationships" r:embed="rId19" cstate="print"/>
        <a:stretch>
          <a:fillRect/>
        </a:stretch>
      </xdr:blipFill>
      <xdr:spPr>
        <a:xfrm>
          <a:off x="2400300" y="21707475"/>
          <a:ext cx="276225" cy="200025"/>
        </a:xfrm>
        <a:prstGeom prst="rect">
          <a:avLst/>
        </a:prstGeom>
      </xdr:spPr>
    </xdr:pic>
    <xdr:clientData fPrintsWithSheet="0"/>
  </xdr:twoCellAnchor>
  <xdr:twoCellAnchor editAs="oneCell">
    <xdr:from>
      <xdr:col>3</xdr:col>
      <xdr:colOff>19050</xdr:colOff>
      <xdr:row>705</xdr:row>
      <xdr:rowOff>114300</xdr:rowOff>
    </xdr:from>
    <xdr:to>
      <xdr:col>3</xdr:col>
      <xdr:colOff>295275</xdr:colOff>
      <xdr:row>706</xdr:row>
      <xdr:rowOff>161925</xdr:rowOff>
    </xdr:to>
    <xdr:pic macro="[0]!CameraButtonPressed">
      <xdr:nvPicPr>
        <xdr:cNvPr id="252" name="btnCamBalanceTableFull" descr="CameraBtnSmall.bmp">
          <a:extLst>
            <a:ext uri="{FF2B5EF4-FFF2-40B4-BE49-F238E27FC236}">
              <a16:creationId xmlns:a16="http://schemas.microsoft.com/office/drawing/2014/main" id="{00000000-0008-0000-0100-0000FC000000}"/>
            </a:ext>
          </a:extLst>
        </xdr:cNvPr>
        <xdr:cNvPicPr>
          <a:picLocks noChangeAspect="1"/>
        </xdr:cNvPicPr>
      </xdr:nvPicPr>
      <xdr:blipFill>
        <a:blip xmlns:r="http://schemas.openxmlformats.org/officeDocument/2006/relationships" r:embed="rId19" cstate="print"/>
        <a:stretch>
          <a:fillRect/>
        </a:stretch>
      </xdr:blipFill>
      <xdr:spPr>
        <a:xfrm>
          <a:off x="2400300" y="25803225"/>
          <a:ext cx="276225" cy="200025"/>
        </a:xfrm>
        <a:prstGeom prst="rect">
          <a:avLst/>
        </a:prstGeom>
      </xdr:spPr>
    </xdr:pic>
    <xdr:clientData fPrintsWithSheet="0"/>
  </xdr:twoCellAnchor>
  <xdr:twoCellAnchor editAs="oneCell">
    <xdr:from>
      <xdr:col>3</xdr:col>
      <xdr:colOff>21430</xdr:colOff>
      <xdr:row>838</xdr:row>
      <xdr:rowOff>114300</xdr:rowOff>
    </xdr:from>
    <xdr:to>
      <xdr:col>3</xdr:col>
      <xdr:colOff>297655</xdr:colOff>
      <xdr:row>839</xdr:row>
      <xdr:rowOff>171450</xdr:rowOff>
    </xdr:to>
    <xdr:pic macro="[0]!CameraButtonPressed">
      <xdr:nvPicPr>
        <xdr:cNvPr id="253" name="btnCamKeyFiguresTableFull" descr="CameraBtnSmall.bmp">
          <a:extLst>
            <a:ext uri="{FF2B5EF4-FFF2-40B4-BE49-F238E27FC236}">
              <a16:creationId xmlns:a16="http://schemas.microsoft.com/office/drawing/2014/main" id="{00000000-0008-0000-0100-0000FD000000}"/>
            </a:ext>
          </a:extLst>
        </xdr:cNvPr>
        <xdr:cNvPicPr>
          <a:picLocks noChangeAspect="1"/>
        </xdr:cNvPicPr>
      </xdr:nvPicPr>
      <xdr:blipFill>
        <a:blip xmlns:r="http://schemas.openxmlformats.org/officeDocument/2006/relationships" r:embed="rId19" cstate="print"/>
        <a:stretch>
          <a:fillRect/>
        </a:stretch>
      </xdr:blipFill>
      <xdr:spPr>
        <a:xfrm>
          <a:off x="2402680" y="31337250"/>
          <a:ext cx="276225" cy="200025"/>
        </a:xfrm>
        <a:prstGeom prst="rect">
          <a:avLst/>
        </a:prstGeom>
      </xdr:spPr>
    </xdr:pic>
    <xdr:clientData fPrintsWithSheet="0"/>
  </xdr:twoCellAnchor>
  <xdr:twoCellAnchor editAs="oneCell">
    <xdr:from>
      <xdr:col>1</xdr:col>
      <xdr:colOff>9525</xdr:colOff>
      <xdr:row>571</xdr:row>
      <xdr:rowOff>9525</xdr:rowOff>
    </xdr:from>
    <xdr:to>
      <xdr:col>2</xdr:col>
      <xdr:colOff>0</xdr:colOff>
      <xdr:row>572</xdr:row>
      <xdr:rowOff>9525</xdr:rowOff>
    </xdr:to>
    <xdr:pic macro="[0]!WorkingCapitalOptions">
      <xdr:nvPicPr>
        <xdr:cNvPr id="254" name="btnInvent01" descr="timebtn2b">
          <a:extLst>
            <a:ext uri="{FF2B5EF4-FFF2-40B4-BE49-F238E27FC236}">
              <a16:creationId xmlns:a16="http://schemas.microsoft.com/office/drawing/2014/main" id="{00000000-0008-0000-0100-0000FE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47625" y="19697700"/>
          <a:ext cx="152400" cy="142875"/>
        </a:xfrm>
        <a:prstGeom prst="rect">
          <a:avLst/>
        </a:prstGeom>
        <a:noFill/>
        <a:ln w="9525">
          <a:noFill/>
          <a:miter lim="800000"/>
          <a:headEnd/>
          <a:tailEnd/>
        </a:ln>
      </xdr:spPr>
    </xdr:pic>
    <xdr:clientData fPrintsWithSheet="0"/>
  </xdr:twoCellAnchor>
  <xdr:twoCellAnchor editAs="oneCell">
    <xdr:from>
      <xdr:col>1</xdr:col>
      <xdr:colOff>9525</xdr:colOff>
      <xdr:row>575</xdr:row>
      <xdr:rowOff>9525</xdr:rowOff>
    </xdr:from>
    <xdr:to>
      <xdr:col>2</xdr:col>
      <xdr:colOff>0</xdr:colOff>
      <xdr:row>591</xdr:row>
      <xdr:rowOff>0</xdr:rowOff>
    </xdr:to>
    <xdr:pic macro="[0]!WorkingCapitalOptions">
      <xdr:nvPicPr>
        <xdr:cNvPr id="255" name="btnInvent02" descr="timebtn2b" hidden="1">
          <a:extLst>
            <a:ext uri="{FF2B5EF4-FFF2-40B4-BE49-F238E27FC236}">
              <a16:creationId xmlns:a16="http://schemas.microsoft.com/office/drawing/2014/main" id="{00000000-0008-0000-0100-0000FF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47625" y="20269200"/>
          <a:ext cx="152400" cy="142875"/>
        </a:xfrm>
        <a:prstGeom prst="rect">
          <a:avLst/>
        </a:prstGeom>
        <a:noFill/>
        <a:ln w="9525">
          <a:noFill/>
          <a:miter lim="800000"/>
          <a:headEnd/>
          <a:tailEnd/>
        </a:ln>
      </xdr:spPr>
    </xdr:pic>
    <xdr:clientData fPrintsWithSheet="0"/>
  </xdr:twoCellAnchor>
  <xdr:twoCellAnchor editAs="oneCell">
    <xdr:from>
      <xdr:col>1</xdr:col>
      <xdr:colOff>9525</xdr:colOff>
      <xdr:row>579</xdr:row>
      <xdr:rowOff>9525</xdr:rowOff>
    </xdr:from>
    <xdr:to>
      <xdr:col>2</xdr:col>
      <xdr:colOff>0</xdr:colOff>
      <xdr:row>591</xdr:row>
      <xdr:rowOff>0</xdr:rowOff>
    </xdr:to>
    <xdr:pic macro="[0]!WorkingCapitalOptions">
      <xdr:nvPicPr>
        <xdr:cNvPr id="256" name="btnInvent03" descr="timebtn2b" hidden="1">
          <a:extLst>
            <a:ext uri="{FF2B5EF4-FFF2-40B4-BE49-F238E27FC236}">
              <a16:creationId xmlns:a16="http://schemas.microsoft.com/office/drawing/2014/main" id="{00000000-0008-0000-0100-00000001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47625" y="20840700"/>
          <a:ext cx="152400" cy="142875"/>
        </a:xfrm>
        <a:prstGeom prst="rect">
          <a:avLst/>
        </a:prstGeom>
        <a:noFill/>
        <a:ln w="9525">
          <a:noFill/>
          <a:miter lim="800000"/>
          <a:headEnd/>
          <a:tailEnd/>
        </a:ln>
      </xdr:spPr>
    </xdr:pic>
    <xdr:clientData fPrintsWithSheet="0"/>
  </xdr:twoCellAnchor>
  <xdr:twoCellAnchor editAs="oneCell">
    <xdr:from>
      <xdr:col>1</xdr:col>
      <xdr:colOff>9525</xdr:colOff>
      <xdr:row>583</xdr:row>
      <xdr:rowOff>9525</xdr:rowOff>
    </xdr:from>
    <xdr:to>
      <xdr:col>2</xdr:col>
      <xdr:colOff>0</xdr:colOff>
      <xdr:row>591</xdr:row>
      <xdr:rowOff>0</xdr:rowOff>
    </xdr:to>
    <xdr:pic macro="[0]!WorkingCapitalOptions">
      <xdr:nvPicPr>
        <xdr:cNvPr id="257" name="btnInvent04" descr="timebtn2b" hidden="1">
          <a:extLst>
            <a:ext uri="{FF2B5EF4-FFF2-40B4-BE49-F238E27FC236}">
              <a16:creationId xmlns:a16="http://schemas.microsoft.com/office/drawing/2014/main" id="{00000000-0008-0000-0100-00000101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47625" y="22974300"/>
          <a:ext cx="152400" cy="142875"/>
        </a:xfrm>
        <a:prstGeom prst="rect">
          <a:avLst/>
        </a:prstGeom>
        <a:noFill/>
        <a:ln w="9525">
          <a:noFill/>
          <a:miter lim="800000"/>
          <a:headEnd/>
          <a:tailEnd/>
        </a:ln>
      </xdr:spPr>
    </xdr:pic>
    <xdr:clientData fPrintsWithSheet="0"/>
  </xdr:twoCellAnchor>
  <xdr:twoCellAnchor editAs="oneCell">
    <xdr:from>
      <xdr:col>3</xdr:col>
      <xdr:colOff>514350</xdr:colOff>
      <xdr:row>569</xdr:row>
      <xdr:rowOff>28575</xdr:rowOff>
    </xdr:from>
    <xdr:to>
      <xdr:col>3</xdr:col>
      <xdr:colOff>628650</xdr:colOff>
      <xdr:row>569</xdr:row>
      <xdr:rowOff>133350</xdr:rowOff>
    </xdr:to>
    <xdr:pic macro="[0]!WorkingCapitalSpec">
      <xdr:nvPicPr>
        <xdr:cNvPr id="259" name="btnInventSpec">
          <a:extLst>
            <a:ext uri="{FF2B5EF4-FFF2-40B4-BE49-F238E27FC236}">
              <a16:creationId xmlns:a16="http://schemas.microsoft.com/office/drawing/2014/main" id="{00000000-0008-0000-0100-000003010000}"/>
            </a:ext>
          </a:extLst>
        </xdr:cNvPr>
        <xdr:cNvPicPr>
          <a:picLocks noChangeAspect="1" noChangeArrowheads="1"/>
        </xdr:cNvPicPr>
      </xdr:nvPicPr>
      <xdr:blipFill>
        <a:blip xmlns:r="http://schemas.openxmlformats.org/officeDocument/2006/relationships" r:embed="rId18" cstate="print"/>
        <a:srcRect/>
        <a:stretch>
          <a:fillRect/>
        </a:stretch>
      </xdr:blipFill>
      <xdr:spPr bwMode="auto">
        <a:xfrm>
          <a:off x="2895600" y="17706975"/>
          <a:ext cx="114300" cy="104775"/>
        </a:xfrm>
        <a:prstGeom prst="rect">
          <a:avLst/>
        </a:prstGeom>
        <a:noFill/>
        <a:ln w="9525">
          <a:noFill/>
          <a:miter lim="800000"/>
          <a:headEnd/>
          <a:tailEnd/>
        </a:ln>
      </xdr:spPr>
    </xdr:pic>
    <xdr:clientData fPrintsWithSheet="0"/>
  </xdr:twoCellAnchor>
  <xdr:twoCellAnchor editAs="oneCell">
    <xdr:from>
      <xdr:col>1</xdr:col>
      <xdr:colOff>9525</xdr:colOff>
      <xdr:row>587</xdr:row>
      <xdr:rowOff>9525</xdr:rowOff>
    </xdr:from>
    <xdr:to>
      <xdr:col>2</xdr:col>
      <xdr:colOff>0</xdr:colOff>
      <xdr:row>591</xdr:row>
      <xdr:rowOff>0</xdr:rowOff>
    </xdr:to>
    <xdr:pic macro="[0]!WorkingCapitalOptions">
      <xdr:nvPicPr>
        <xdr:cNvPr id="258" name="btnInvent05" descr="timebtn2b" hidden="1">
          <a:extLst>
            <a:ext uri="{FF2B5EF4-FFF2-40B4-BE49-F238E27FC236}">
              <a16:creationId xmlns:a16="http://schemas.microsoft.com/office/drawing/2014/main" id="{00000000-0008-0000-0100-00000201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47625" y="20259675"/>
          <a:ext cx="152400" cy="142875"/>
        </a:xfrm>
        <a:prstGeom prst="rect">
          <a:avLst/>
        </a:prstGeom>
        <a:noFill/>
        <a:ln w="9525">
          <a:noFill/>
          <a:miter lim="800000"/>
          <a:headEnd/>
          <a:tailEnd/>
        </a:ln>
      </xdr:spPr>
    </xdr:pic>
    <xdr:clientData fPrintsWithSheet="0"/>
  </xdr:twoCellAnchor>
  <xdr:twoCellAnchor editAs="oneCell">
    <xdr:from>
      <xdr:col>1</xdr:col>
      <xdr:colOff>9525</xdr:colOff>
      <xdr:row>541</xdr:row>
      <xdr:rowOff>9525</xdr:rowOff>
    </xdr:from>
    <xdr:to>
      <xdr:col>2</xdr:col>
      <xdr:colOff>0</xdr:colOff>
      <xdr:row>542</xdr:row>
      <xdr:rowOff>9525</xdr:rowOff>
    </xdr:to>
    <xdr:pic macro="[0]!WorkingCapitalOptions">
      <xdr:nvPicPr>
        <xdr:cNvPr id="260" name="btnReceive01" descr="timebtn2b">
          <a:extLst>
            <a:ext uri="{FF2B5EF4-FFF2-40B4-BE49-F238E27FC236}">
              <a16:creationId xmlns:a16="http://schemas.microsoft.com/office/drawing/2014/main" id="{00000000-0008-0000-0100-00000401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47625" y="16544925"/>
          <a:ext cx="152400" cy="142875"/>
        </a:xfrm>
        <a:prstGeom prst="rect">
          <a:avLst/>
        </a:prstGeom>
        <a:noFill/>
        <a:ln w="9525">
          <a:noFill/>
          <a:miter lim="800000"/>
          <a:headEnd/>
          <a:tailEnd/>
        </a:ln>
      </xdr:spPr>
    </xdr:pic>
    <xdr:clientData fPrintsWithSheet="0"/>
  </xdr:twoCellAnchor>
  <xdr:twoCellAnchor editAs="oneCell">
    <xdr:from>
      <xdr:col>1</xdr:col>
      <xdr:colOff>9525</xdr:colOff>
      <xdr:row>545</xdr:row>
      <xdr:rowOff>9525</xdr:rowOff>
    </xdr:from>
    <xdr:to>
      <xdr:col>2</xdr:col>
      <xdr:colOff>0</xdr:colOff>
      <xdr:row>563</xdr:row>
      <xdr:rowOff>0</xdr:rowOff>
    </xdr:to>
    <xdr:pic macro="[0]!WorkingCapitalOptions">
      <xdr:nvPicPr>
        <xdr:cNvPr id="261" name="btnReceive02" descr="timebtn2b" hidden="1">
          <a:extLst>
            <a:ext uri="{FF2B5EF4-FFF2-40B4-BE49-F238E27FC236}">
              <a16:creationId xmlns:a16="http://schemas.microsoft.com/office/drawing/2014/main" id="{00000000-0008-0000-0100-00000501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47625" y="17116425"/>
          <a:ext cx="152400" cy="142875"/>
        </a:xfrm>
        <a:prstGeom prst="rect">
          <a:avLst/>
        </a:prstGeom>
        <a:noFill/>
        <a:ln w="9525">
          <a:noFill/>
          <a:miter lim="800000"/>
          <a:headEnd/>
          <a:tailEnd/>
        </a:ln>
      </xdr:spPr>
    </xdr:pic>
    <xdr:clientData fPrintsWithSheet="0"/>
  </xdr:twoCellAnchor>
  <xdr:twoCellAnchor editAs="oneCell">
    <xdr:from>
      <xdr:col>1</xdr:col>
      <xdr:colOff>9525</xdr:colOff>
      <xdr:row>549</xdr:row>
      <xdr:rowOff>9525</xdr:rowOff>
    </xdr:from>
    <xdr:to>
      <xdr:col>2</xdr:col>
      <xdr:colOff>0</xdr:colOff>
      <xdr:row>563</xdr:row>
      <xdr:rowOff>0</xdr:rowOff>
    </xdr:to>
    <xdr:pic macro="[0]!WorkingCapitalOptions">
      <xdr:nvPicPr>
        <xdr:cNvPr id="262" name="btnReceive03" descr="timebtn2b" hidden="1">
          <a:extLst>
            <a:ext uri="{FF2B5EF4-FFF2-40B4-BE49-F238E27FC236}">
              <a16:creationId xmlns:a16="http://schemas.microsoft.com/office/drawing/2014/main" id="{00000000-0008-0000-0100-00000601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47625" y="17687925"/>
          <a:ext cx="152400" cy="142875"/>
        </a:xfrm>
        <a:prstGeom prst="rect">
          <a:avLst/>
        </a:prstGeom>
        <a:noFill/>
        <a:ln w="9525">
          <a:noFill/>
          <a:miter lim="800000"/>
          <a:headEnd/>
          <a:tailEnd/>
        </a:ln>
      </xdr:spPr>
    </xdr:pic>
    <xdr:clientData fPrintsWithSheet="0"/>
  </xdr:twoCellAnchor>
  <xdr:twoCellAnchor editAs="oneCell">
    <xdr:from>
      <xdr:col>1</xdr:col>
      <xdr:colOff>9525</xdr:colOff>
      <xdr:row>553</xdr:row>
      <xdr:rowOff>9525</xdr:rowOff>
    </xdr:from>
    <xdr:to>
      <xdr:col>2</xdr:col>
      <xdr:colOff>0</xdr:colOff>
      <xdr:row>563</xdr:row>
      <xdr:rowOff>0</xdr:rowOff>
    </xdr:to>
    <xdr:pic macro="[0]!WorkingCapitalOptions">
      <xdr:nvPicPr>
        <xdr:cNvPr id="263" name="btnReceive04" descr="timebtn2b" hidden="1">
          <a:extLst>
            <a:ext uri="{FF2B5EF4-FFF2-40B4-BE49-F238E27FC236}">
              <a16:creationId xmlns:a16="http://schemas.microsoft.com/office/drawing/2014/main" id="{00000000-0008-0000-0100-00000701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47625" y="18259425"/>
          <a:ext cx="152400" cy="142875"/>
        </a:xfrm>
        <a:prstGeom prst="rect">
          <a:avLst/>
        </a:prstGeom>
        <a:noFill/>
        <a:ln w="9525">
          <a:noFill/>
          <a:miter lim="800000"/>
          <a:headEnd/>
          <a:tailEnd/>
        </a:ln>
      </xdr:spPr>
    </xdr:pic>
    <xdr:clientData fPrintsWithSheet="0"/>
  </xdr:twoCellAnchor>
  <xdr:twoCellAnchor editAs="oneCell">
    <xdr:from>
      <xdr:col>1</xdr:col>
      <xdr:colOff>9525</xdr:colOff>
      <xdr:row>557</xdr:row>
      <xdr:rowOff>9525</xdr:rowOff>
    </xdr:from>
    <xdr:to>
      <xdr:col>2</xdr:col>
      <xdr:colOff>0</xdr:colOff>
      <xdr:row>563</xdr:row>
      <xdr:rowOff>0</xdr:rowOff>
    </xdr:to>
    <xdr:pic macro="[0]!WorkingCapitalOptions">
      <xdr:nvPicPr>
        <xdr:cNvPr id="264" name="btnReceive05" descr="timebtn2b" hidden="1">
          <a:extLst>
            <a:ext uri="{FF2B5EF4-FFF2-40B4-BE49-F238E27FC236}">
              <a16:creationId xmlns:a16="http://schemas.microsoft.com/office/drawing/2014/main" id="{00000000-0008-0000-0100-00000801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47625" y="18830925"/>
          <a:ext cx="152400" cy="142875"/>
        </a:xfrm>
        <a:prstGeom prst="rect">
          <a:avLst/>
        </a:prstGeom>
        <a:noFill/>
        <a:ln w="9525">
          <a:noFill/>
          <a:miter lim="800000"/>
          <a:headEnd/>
          <a:tailEnd/>
        </a:ln>
      </xdr:spPr>
    </xdr:pic>
    <xdr:clientData fPrintsWithSheet="0"/>
  </xdr:twoCellAnchor>
  <xdr:twoCellAnchor editAs="oneCell">
    <xdr:from>
      <xdr:col>3</xdr:col>
      <xdr:colOff>514350</xdr:colOff>
      <xdr:row>539</xdr:row>
      <xdr:rowOff>28575</xdr:rowOff>
    </xdr:from>
    <xdr:to>
      <xdr:col>3</xdr:col>
      <xdr:colOff>628650</xdr:colOff>
      <xdr:row>539</xdr:row>
      <xdr:rowOff>133350</xdr:rowOff>
    </xdr:to>
    <xdr:pic macro="[0]!WorkingCapitalSpec">
      <xdr:nvPicPr>
        <xdr:cNvPr id="265" name="btnReceiveSpec">
          <a:extLst>
            <a:ext uri="{FF2B5EF4-FFF2-40B4-BE49-F238E27FC236}">
              <a16:creationId xmlns:a16="http://schemas.microsoft.com/office/drawing/2014/main" id="{00000000-0008-0000-0100-000009010000}"/>
            </a:ext>
          </a:extLst>
        </xdr:cNvPr>
        <xdr:cNvPicPr>
          <a:picLocks noChangeAspect="1" noChangeArrowheads="1"/>
        </xdr:cNvPicPr>
      </xdr:nvPicPr>
      <xdr:blipFill>
        <a:blip xmlns:r="http://schemas.openxmlformats.org/officeDocument/2006/relationships" r:embed="rId18" cstate="print"/>
        <a:srcRect/>
        <a:stretch>
          <a:fillRect/>
        </a:stretch>
      </xdr:blipFill>
      <xdr:spPr bwMode="auto">
        <a:xfrm>
          <a:off x="2895600" y="16278225"/>
          <a:ext cx="114300" cy="104775"/>
        </a:xfrm>
        <a:prstGeom prst="rect">
          <a:avLst/>
        </a:prstGeom>
        <a:noFill/>
        <a:ln w="9525">
          <a:noFill/>
          <a:miter lim="800000"/>
          <a:headEnd/>
          <a:tailEnd/>
        </a:ln>
      </xdr:spPr>
    </xdr:pic>
    <xdr:clientData fPrintsWithSheet="0"/>
  </xdr:twoCellAnchor>
  <xdr:twoCellAnchor editAs="oneCell">
    <xdr:from>
      <xdr:col>1</xdr:col>
      <xdr:colOff>9525</xdr:colOff>
      <xdr:row>593</xdr:row>
      <xdr:rowOff>9525</xdr:rowOff>
    </xdr:from>
    <xdr:to>
      <xdr:col>2</xdr:col>
      <xdr:colOff>0</xdr:colOff>
      <xdr:row>594</xdr:row>
      <xdr:rowOff>9525</xdr:rowOff>
    </xdr:to>
    <xdr:pic macro="[0]!WorkingCapitalOptions">
      <xdr:nvPicPr>
        <xdr:cNvPr id="266" name="btnPayable01" descr="timebtn2b">
          <a:extLst>
            <a:ext uri="{FF2B5EF4-FFF2-40B4-BE49-F238E27FC236}">
              <a16:creationId xmlns:a16="http://schemas.microsoft.com/office/drawing/2014/main" id="{00000000-0008-0000-0100-00000A01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47625" y="23402925"/>
          <a:ext cx="152400" cy="142875"/>
        </a:xfrm>
        <a:prstGeom prst="rect">
          <a:avLst/>
        </a:prstGeom>
        <a:noFill/>
        <a:ln w="9525">
          <a:noFill/>
          <a:miter lim="800000"/>
          <a:headEnd/>
          <a:tailEnd/>
        </a:ln>
      </xdr:spPr>
    </xdr:pic>
    <xdr:clientData fPrintsWithSheet="0"/>
  </xdr:twoCellAnchor>
  <xdr:twoCellAnchor editAs="oneCell">
    <xdr:from>
      <xdr:col>1</xdr:col>
      <xdr:colOff>9525</xdr:colOff>
      <xdr:row>597</xdr:row>
      <xdr:rowOff>9525</xdr:rowOff>
    </xdr:from>
    <xdr:to>
      <xdr:col>2</xdr:col>
      <xdr:colOff>0</xdr:colOff>
      <xdr:row>615</xdr:row>
      <xdr:rowOff>0</xdr:rowOff>
    </xdr:to>
    <xdr:pic macro="[0]!WorkingCapitalOptions">
      <xdr:nvPicPr>
        <xdr:cNvPr id="267" name="btnPayable02" descr="timebtn2b" hidden="1">
          <a:extLst>
            <a:ext uri="{FF2B5EF4-FFF2-40B4-BE49-F238E27FC236}">
              <a16:creationId xmlns:a16="http://schemas.microsoft.com/office/drawing/2014/main" id="{00000000-0008-0000-0100-00000B01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47625" y="23974425"/>
          <a:ext cx="152400" cy="142875"/>
        </a:xfrm>
        <a:prstGeom prst="rect">
          <a:avLst/>
        </a:prstGeom>
        <a:noFill/>
        <a:ln w="9525">
          <a:noFill/>
          <a:miter lim="800000"/>
          <a:headEnd/>
          <a:tailEnd/>
        </a:ln>
      </xdr:spPr>
    </xdr:pic>
    <xdr:clientData fPrintsWithSheet="0"/>
  </xdr:twoCellAnchor>
  <xdr:twoCellAnchor editAs="oneCell">
    <xdr:from>
      <xdr:col>1</xdr:col>
      <xdr:colOff>9525</xdr:colOff>
      <xdr:row>601</xdr:row>
      <xdr:rowOff>9525</xdr:rowOff>
    </xdr:from>
    <xdr:to>
      <xdr:col>2</xdr:col>
      <xdr:colOff>0</xdr:colOff>
      <xdr:row>615</xdr:row>
      <xdr:rowOff>0</xdr:rowOff>
    </xdr:to>
    <xdr:pic macro="[0]!WorkingCapitalOptions">
      <xdr:nvPicPr>
        <xdr:cNvPr id="268" name="btnPayable03" descr="timebtn2b" hidden="1">
          <a:extLst>
            <a:ext uri="{FF2B5EF4-FFF2-40B4-BE49-F238E27FC236}">
              <a16:creationId xmlns:a16="http://schemas.microsoft.com/office/drawing/2014/main" id="{00000000-0008-0000-0100-00000C01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47625" y="24545925"/>
          <a:ext cx="152400" cy="142875"/>
        </a:xfrm>
        <a:prstGeom prst="rect">
          <a:avLst/>
        </a:prstGeom>
        <a:noFill/>
        <a:ln w="9525">
          <a:noFill/>
          <a:miter lim="800000"/>
          <a:headEnd/>
          <a:tailEnd/>
        </a:ln>
      </xdr:spPr>
    </xdr:pic>
    <xdr:clientData fPrintsWithSheet="0"/>
  </xdr:twoCellAnchor>
  <xdr:twoCellAnchor editAs="oneCell">
    <xdr:from>
      <xdr:col>1</xdr:col>
      <xdr:colOff>9525</xdr:colOff>
      <xdr:row>605</xdr:row>
      <xdr:rowOff>9525</xdr:rowOff>
    </xdr:from>
    <xdr:to>
      <xdr:col>2</xdr:col>
      <xdr:colOff>0</xdr:colOff>
      <xdr:row>615</xdr:row>
      <xdr:rowOff>0</xdr:rowOff>
    </xdr:to>
    <xdr:pic macro="[0]!WorkingCapitalOptions">
      <xdr:nvPicPr>
        <xdr:cNvPr id="269" name="btnPayable04" descr="timebtn2b" hidden="1">
          <a:extLst>
            <a:ext uri="{FF2B5EF4-FFF2-40B4-BE49-F238E27FC236}">
              <a16:creationId xmlns:a16="http://schemas.microsoft.com/office/drawing/2014/main" id="{00000000-0008-0000-0100-00000D01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47625" y="25117425"/>
          <a:ext cx="152400" cy="142875"/>
        </a:xfrm>
        <a:prstGeom prst="rect">
          <a:avLst/>
        </a:prstGeom>
        <a:noFill/>
        <a:ln w="9525">
          <a:noFill/>
          <a:miter lim="800000"/>
          <a:headEnd/>
          <a:tailEnd/>
        </a:ln>
      </xdr:spPr>
    </xdr:pic>
    <xdr:clientData fPrintsWithSheet="0"/>
  </xdr:twoCellAnchor>
  <xdr:twoCellAnchor editAs="oneCell">
    <xdr:from>
      <xdr:col>1</xdr:col>
      <xdr:colOff>9525</xdr:colOff>
      <xdr:row>609</xdr:row>
      <xdr:rowOff>9525</xdr:rowOff>
    </xdr:from>
    <xdr:to>
      <xdr:col>2</xdr:col>
      <xdr:colOff>0</xdr:colOff>
      <xdr:row>615</xdr:row>
      <xdr:rowOff>0</xdr:rowOff>
    </xdr:to>
    <xdr:pic macro="[0]!WorkingCapitalOptions">
      <xdr:nvPicPr>
        <xdr:cNvPr id="270" name="btnPayable05" descr="timebtn2b" hidden="1">
          <a:extLst>
            <a:ext uri="{FF2B5EF4-FFF2-40B4-BE49-F238E27FC236}">
              <a16:creationId xmlns:a16="http://schemas.microsoft.com/office/drawing/2014/main" id="{00000000-0008-0000-0100-00000E01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47625" y="25688925"/>
          <a:ext cx="152400" cy="142875"/>
        </a:xfrm>
        <a:prstGeom prst="rect">
          <a:avLst/>
        </a:prstGeom>
        <a:noFill/>
        <a:ln w="9525">
          <a:noFill/>
          <a:miter lim="800000"/>
          <a:headEnd/>
          <a:tailEnd/>
        </a:ln>
      </xdr:spPr>
    </xdr:pic>
    <xdr:clientData fPrintsWithSheet="0"/>
  </xdr:twoCellAnchor>
  <xdr:twoCellAnchor editAs="oneCell">
    <xdr:from>
      <xdr:col>3</xdr:col>
      <xdr:colOff>514350</xdr:colOff>
      <xdr:row>591</xdr:row>
      <xdr:rowOff>28575</xdr:rowOff>
    </xdr:from>
    <xdr:to>
      <xdr:col>3</xdr:col>
      <xdr:colOff>628650</xdr:colOff>
      <xdr:row>591</xdr:row>
      <xdr:rowOff>133350</xdr:rowOff>
    </xdr:to>
    <xdr:pic macro="[0]!WorkingCapitalSpec">
      <xdr:nvPicPr>
        <xdr:cNvPr id="271" name="btnPayableSpec">
          <a:extLst>
            <a:ext uri="{FF2B5EF4-FFF2-40B4-BE49-F238E27FC236}">
              <a16:creationId xmlns:a16="http://schemas.microsoft.com/office/drawing/2014/main" id="{00000000-0008-0000-0100-00000F010000}"/>
            </a:ext>
          </a:extLst>
        </xdr:cNvPr>
        <xdr:cNvPicPr>
          <a:picLocks noChangeAspect="1" noChangeArrowheads="1"/>
        </xdr:cNvPicPr>
      </xdr:nvPicPr>
      <xdr:blipFill>
        <a:blip xmlns:r="http://schemas.openxmlformats.org/officeDocument/2006/relationships" r:embed="rId18" cstate="print"/>
        <a:srcRect/>
        <a:stretch>
          <a:fillRect/>
        </a:stretch>
      </xdr:blipFill>
      <xdr:spPr bwMode="auto">
        <a:xfrm>
          <a:off x="2895600" y="23136225"/>
          <a:ext cx="114300" cy="104775"/>
        </a:xfrm>
        <a:prstGeom prst="rect">
          <a:avLst/>
        </a:prstGeom>
        <a:noFill/>
        <a:ln w="9525">
          <a:noFill/>
          <a:miter lim="800000"/>
          <a:headEnd/>
          <a:tailEnd/>
        </a:ln>
      </xdr:spPr>
    </xdr:pic>
    <xdr:clientData fPrintsWithSheet="0"/>
  </xdr:twoCellAnchor>
  <xdr:twoCellAnchor editAs="oneCell">
    <xdr:from>
      <xdr:col>1</xdr:col>
      <xdr:colOff>11906</xdr:colOff>
      <xdr:row>7</xdr:row>
      <xdr:rowOff>19050</xdr:rowOff>
    </xdr:from>
    <xdr:to>
      <xdr:col>2</xdr:col>
      <xdr:colOff>208942</xdr:colOff>
      <xdr:row>8</xdr:row>
      <xdr:rowOff>143054</xdr:rowOff>
    </xdr:to>
    <xdr:pic macro="[0]!AutoVBA.PrintCurrent">
      <xdr:nvPicPr>
        <xdr:cNvPr id="273" name="PrintBtn05" descr="printbtn37.bmp">
          <a:extLst>
            <a:ext uri="{FF2B5EF4-FFF2-40B4-BE49-F238E27FC236}">
              <a16:creationId xmlns:a16="http://schemas.microsoft.com/office/drawing/2014/main" id="{00000000-0008-0000-0100-000011010000}"/>
            </a:ext>
          </a:extLst>
        </xdr:cNvPr>
        <xdr:cNvPicPr>
          <a:picLocks noChangeAspect="1"/>
        </xdr:cNvPicPr>
      </xdr:nvPicPr>
      <xdr:blipFill>
        <a:blip xmlns:r="http://schemas.openxmlformats.org/officeDocument/2006/relationships" r:embed="rId20" cstate="print"/>
        <a:stretch>
          <a:fillRect/>
        </a:stretch>
      </xdr:blipFill>
      <xdr:spPr>
        <a:xfrm>
          <a:off x="50006" y="19050"/>
          <a:ext cx="358961" cy="266879"/>
        </a:xfrm>
        <a:prstGeom prst="rect">
          <a:avLst/>
        </a:prstGeom>
      </xdr:spPr>
    </xdr:pic>
    <xdr:clientData fPrintsWithSheet="0"/>
  </xdr:twoCellAnchor>
  <xdr:twoCellAnchor editAs="oneCell">
    <xdr:from>
      <xdr:col>2</xdr:col>
      <xdr:colOff>230981</xdr:colOff>
      <xdr:row>7</xdr:row>
      <xdr:rowOff>19050</xdr:rowOff>
    </xdr:from>
    <xdr:to>
      <xdr:col>2</xdr:col>
      <xdr:colOff>589942</xdr:colOff>
      <xdr:row>8</xdr:row>
      <xdr:rowOff>140673</xdr:rowOff>
    </xdr:to>
    <xdr:pic macro="[0]!AutoVBA.GotoContactInfo">
      <xdr:nvPicPr>
        <xdr:cNvPr id="274" name="PrevBtn05" descr="prevbtn37c.bmp">
          <a:extLst>
            <a:ext uri="{FF2B5EF4-FFF2-40B4-BE49-F238E27FC236}">
              <a16:creationId xmlns:a16="http://schemas.microsoft.com/office/drawing/2014/main" id="{00000000-0008-0000-0100-000012010000}"/>
            </a:ext>
          </a:extLst>
        </xdr:cNvPr>
        <xdr:cNvPicPr>
          <a:picLocks noChangeAspect="1"/>
        </xdr:cNvPicPr>
      </xdr:nvPicPr>
      <xdr:blipFill>
        <a:blip xmlns:r="http://schemas.openxmlformats.org/officeDocument/2006/relationships" r:embed="rId21" cstate="print"/>
        <a:stretch>
          <a:fillRect/>
        </a:stretch>
      </xdr:blipFill>
      <xdr:spPr>
        <a:xfrm>
          <a:off x="431006" y="19050"/>
          <a:ext cx="358961" cy="264498"/>
        </a:xfrm>
        <a:prstGeom prst="rect">
          <a:avLst/>
        </a:prstGeom>
      </xdr:spPr>
    </xdr:pic>
    <xdr:clientData fPrintsWithSheet="0"/>
  </xdr:twoCellAnchor>
  <xdr:twoCellAnchor editAs="oneCell">
    <xdr:from>
      <xdr:col>2</xdr:col>
      <xdr:colOff>611981</xdr:colOff>
      <xdr:row>7</xdr:row>
      <xdr:rowOff>19050</xdr:rowOff>
    </xdr:from>
    <xdr:to>
      <xdr:col>2</xdr:col>
      <xdr:colOff>970942</xdr:colOff>
      <xdr:row>8</xdr:row>
      <xdr:rowOff>140673</xdr:rowOff>
    </xdr:to>
    <xdr:pic macro="[0]!AutoVBA.GotoIncomeTable">
      <xdr:nvPicPr>
        <xdr:cNvPr id="275" name="NextBtn05" descr="nextbtn37c.bmp">
          <a:extLst>
            <a:ext uri="{FF2B5EF4-FFF2-40B4-BE49-F238E27FC236}">
              <a16:creationId xmlns:a16="http://schemas.microsoft.com/office/drawing/2014/main" id="{00000000-0008-0000-0100-000013010000}"/>
            </a:ext>
          </a:extLst>
        </xdr:cNvPr>
        <xdr:cNvPicPr>
          <a:picLocks noChangeAspect="1"/>
        </xdr:cNvPicPr>
      </xdr:nvPicPr>
      <xdr:blipFill>
        <a:blip xmlns:r="http://schemas.openxmlformats.org/officeDocument/2006/relationships" r:embed="rId22" cstate="print"/>
        <a:stretch>
          <a:fillRect/>
        </a:stretch>
      </xdr:blipFill>
      <xdr:spPr>
        <a:xfrm>
          <a:off x="812006" y="19050"/>
          <a:ext cx="358961" cy="264498"/>
        </a:xfrm>
        <a:prstGeom prst="rect">
          <a:avLst/>
        </a:prstGeom>
      </xdr:spPr>
    </xdr:pic>
    <xdr:clientData fPrintsWithSheet="0"/>
  </xdr:twoCellAnchor>
  <xdr:twoCellAnchor editAs="oneCell">
    <xdr:from>
      <xdr:col>2</xdr:col>
      <xdr:colOff>992981</xdr:colOff>
      <xdr:row>7</xdr:row>
      <xdr:rowOff>19050</xdr:rowOff>
    </xdr:from>
    <xdr:to>
      <xdr:col>2</xdr:col>
      <xdr:colOff>1351942</xdr:colOff>
      <xdr:row>8</xdr:row>
      <xdr:rowOff>140673</xdr:rowOff>
    </xdr:to>
    <xdr:pic macro="[0]!GoHome">
      <xdr:nvPicPr>
        <xdr:cNvPr id="276" name="HomeBtn05" descr="homebtn37b.bmp">
          <a:extLst>
            <a:ext uri="{FF2B5EF4-FFF2-40B4-BE49-F238E27FC236}">
              <a16:creationId xmlns:a16="http://schemas.microsoft.com/office/drawing/2014/main" id="{00000000-0008-0000-0100-000014010000}"/>
            </a:ext>
          </a:extLst>
        </xdr:cNvPr>
        <xdr:cNvPicPr>
          <a:picLocks noChangeAspect="1"/>
        </xdr:cNvPicPr>
      </xdr:nvPicPr>
      <xdr:blipFill>
        <a:blip xmlns:r="http://schemas.openxmlformats.org/officeDocument/2006/relationships" r:embed="rId23" cstate="print"/>
        <a:stretch>
          <a:fillRect/>
        </a:stretch>
      </xdr:blipFill>
      <xdr:spPr>
        <a:xfrm>
          <a:off x="1193006" y="19050"/>
          <a:ext cx="358961" cy="264498"/>
        </a:xfrm>
        <a:prstGeom prst="rect">
          <a:avLst/>
        </a:prstGeom>
      </xdr:spPr>
    </xdr:pic>
    <xdr:clientData fPrintsWithSheet="0"/>
  </xdr:twoCellAnchor>
  <xdr:twoCellAnchor editAs="oneCell">
    <xdr:from>
      <xdr:col>2</xdr:col>
      <xdr:colOff>1373982</xdr:colOff>
      <xdr:row>7</xdr:row>
      <xdr:rowOff>19050</xdr:rowOff>
    </xdr:from>
    <xdr:to>
      <xdr:col>2</xdr:col>
      <xdr:colOff>1734456</xdr:colOff>
      <xdr:row>8</xdr:row>
      <xdr:rowOff>140466</xdr:rowOff>
    </xdr:to>
    <xdr:pic macro="[0]!CreateCalcChart">
      <xdr:nvPicPr>
        <xdr:cNvPr id="277" name="ChartBtn05" descr="chartbtn37.bmp">
          <a:extLst>
            <a:ext uri="{FF2B5EF4-FFF2-40B4-BE49-F238E27FC236}">
              <a16:creationId xmlns:a16="http://schemas.microsoft.com/office/drawing/2014/main" id="{00000000-0008-0000-0100-000015010000}"/>
            </a:ext>
          </a:extLst>
        </xdr:cNvPr>
        <xdr:cNvPicPr>
          <a:picLocks noChangeAspect="1"/>
        </xdr:cNvPicPr>
      </xdr:nvPicPr>
      <xdr:blipFill>
        <a:blip xmlns:r="http://schemas.openxmlformats.org/officeDocument/2006/relationships" r:embed="rId24" cstate="print"/>
        <a:stretch>
          <a:fillRect/>
        </a:stretch>
      </xdr:blipFill>
      <xdr:spPr>
        <a:xfrm>
          <a:off x="1574007" y="19050"/>
          <a:ext cx="360474" cy="264291"/>
        </a:xfrm>
        <a:prstGeom prst="rect">
          <a:avLst/>
        </a:prstGeom>
      </xdr:spPr>
    </xdr:pic>
    <xdr:clientData fPrintsWithSheet="0"/>
  </xdr:twoCellAnchor>
  <xdr:twoCellAnchor editAs="oneCell">
    <xdr:from>
      <xdr:col>2</xdr:col>
      <xdr:colOff>1754982</xdr:colOff>
      <xdr:row>7</xdr:row>
      <xdr:rowOff>19050</xdr:rowOff>
    </xdr:from>
    <xdr:to>
      <xdr:col>2</xdr:col>
      <xdr:colOff>2113943</xdr:colOff>
      <xdr:row>8</xdr:row>
      <xdr:rowOff>140673</xdr:rowOff>
    </xdr:to>
    <xdr:pic macro="[0]!ShowGuide">
      <xdr:nvPicPr>
        <xdr:cNvPr id="278" name="HelpBtn05" descr="helpbtn37c.bmp">
          <a:extLst>
            <a:ext uri="{FF2B5EF4-FFF2-40B4-BE49-F238E27FC236}">
              <a16:creationId xmlns:a16="http://schemas.microsoft.com/office/drawing/2014/main" id="{00000000-0008-0000-0100-000016010000}"/>
            </a:ext>
          </a:extLst>
        </xdr:cNvPr>
        <xdr:cNvPicPr>
          <a:picLocks noChangeAspect="1"/>
        </xdr:cNvPicPr>
      </xdr:nvPicPr>
      <xdr:blipFill>
        <a:blip xmlns:r="http://schemas.openxmlformats.org/officeDocument/2006/relationships" r:embed="rId25" cstate="print"/>
        <a:stretch>
          <a:fillRect/>
        </a:stretch>
      </xdr:blipFill>
      <xdr:spPr>
        <a:xfrm>
          <a:off x="1955007" y="19050"/>
          <a:ext cx="358961" cy="264498"/>
        </a:xfrm>
        <a:prstGeom prst="rect">
          <a:avLst/>
        </a:prstGeom>
      </xdr:spPr>
    </xdr:pic>
    <xdr:clientData fPrintsWithSheet="0"/>
  </xdr:twoCellAnchor>
  <xdr:twoCellAnchor editAs="oneCell">
    <xdr:from>
      <xdr:col>3</xdr:col>
      <xdr:colOff>19052</xdr:colOff>
      <xdr:row>7</xdr:row>
      <xdr:rowOff>19050</xdr:rowOff>
    </xdr:from>
    <xdr:to>
      <xdr:col>3</xdr:col>
      <xdr:colOff>209552</xdr:colOff>
      <xdr:row>8</xdr:row>
      <xdr:rowOff>85708</xdr:rowOff>
    </xdr:to>
    <xdr:pic macro="[0]!DetailLevelSelected">
      <xdr:nvPicPr>
        <xdr:cNvPr id="279" name="OutlinePic01" descr="levelbtn.bmp">
          <a:extLst>
            <a:ext uri="{FF2B5EF4-FFF2-40B4-BE49-F238E27FC236}">
              <a16:creationId xmlns:a16="http://schemas.microsoft.com/office/drawing/2014/main" id="{00000000-0008-0000-0100-000017010000}"/>
            </a:ext>
          </a:extLst>
        </xdr:cNvPr>
        <xdr:cNvPicPr>
          <a:picLocks noChangeAspect="1"/>
        </xdr:cNvPicPr>
      </xdr:nvPicPr>
      <xdr:blipFill>
        <a:blip xmlns:r="http://schemas.openxmlformats.org/officeDocument/2006/relationships" r:embed="rId26" cstate="print"/>
        <a:stretch>
          <a:fillRect/>
        </a:stretch>
      </xdr:blipFill>
      <xdr:spPr>
        <a:xfrm>
          <a:off x="2533652" y="19050"/>
          <a:ext cx="190500" cy="209533"/>
        </a:xfrm>
        <a:prstGeom prst="rect">
          <a:avLst/>
        </a:prstGeom>
      </xdr:spPr>
    </xdr:pic>
    <xdr:clientData fPrintsWithSheet="0"/>
  </xdr:twoCellAnchor>
  <xdr:twoCellAnchor editAs="oneCell">
    <xdr:from>
      <xdr:col>3</xdr:col>
      <xdr:colOff>333375</xdr:colOff>
      <xdr:row>8</xdr:row>
      <xdr:rowOff>114300</xdr:rowOff>
    </xdr:from>
    <xdr:to>
      <xdr:col>3</xdr:col>
      <xdr:colOff>609600</xdr:colOff>
      <xdr:row>14</xdr:row>
      <xdr:rowOff>161925</xdr:rowOff>
    </xdr:to>
    <xdr:pic macro="[0]!FreezeCalcSheet">
      <xdr:nvPicPr>
        <xdr:cNvPr id="281" name="btnFreeze01" descr="FreezeBtnSmallb.bmp">
          <a:extLst>
            <a:ext uri="{FF2B5EF4-FFF2-40B4-BE49-F238E27FC236}">
              <a16:creationId xmlns:a16="http://schemas.microsoft.com/office/drawing/2014/main" id="{00000000-0008-0000-0100-000019010000}"/>
            </a:ext>
          </a:extLst>
        </xdr:cNvPr>
        <xdr:cNvPicPr>
          <a:picLocks noChangeAspect="1"/>
        </xdr:cNvPicPr>
      </xdr:nvPicPr>
      <xdr:blipFill>
        <a:blip xmlns:r="http://schemas.openxmlformats.org/officeDocument/2006/relationships" r:embed="rId27" cstate="print"/>
        <a:stretch>
          <a:fillRect/>
        </a:stretch>
      </xdr:blipFill>
      <xdr:spPr>
        <a:xfrm>
          <a:off x="2714625" y="257175"/>
          <a:ext cx="276225" cy="200025"/>
        </a:xfrm>
        <a:prstGeom prst="rect">
          <a:avLst/>
        </a:prstGeom>
      </xdr:spPr>
    </xdr:pic>
    <xdr:clientData fPrintsWithSheet="0"/>
  </xdr:twoCellAnchor>
  <xdr:twoCellAnchor editAs="oneCell">
    <xdr:from>
      <xdr:col>1</xdr:col>
      <xdr:colOff>11908</xdr:colOff>
      <xdr:row>436</xdr:row>
      <xdr:rowOff>19050</xdr:rowOff>
    </xdr:from>
    <xdr:to>
      <xdr:col>2</xdr:col>
      <xdr:colOff>208944</xdr:colOff>
      <xdr:row>437</xdr:row>
      <xdr:rowOff>131148</xdr:rowOff>
    </xdr:to>
    <xdr:pic macro="[0]!AutoVBA.PrintCurrent">
      <xdr:nvPicPr>
        <xdr:cNvPr id="282" name="PrintBtn07" descr="printbtn37.bmp">
          <a:extLst>
            <a:ext uri="{FF2B5EF4-FFF2-40B4-BE49-F238E27FC236}">
              <a16:creationId xmlns:a16="http://schemas.microsoft.com/office/drawing/2014/main" id="{00000000-0008-0000-0100-00001A010000}"/>
            </a:ext>
          </a:extLst>
        </xdr:cNvPr>
        <xdr:cNvPicPr>
          <a:picLocks noChangeAspect="1"/>
        </xdr:cNvPicPr>
      </xdr:nvPicPr>
      <xdr:blipFill>
        <a:blip xmlns:r="http://schemas.openxmlformats.org/officeDocument/2006/relationships" r:embed="rId20" cstate="print"/>
        <a:stretch>
          <a:fillRect/>
        </a:stretch>
      </xdr:blipFill>
      <xdr:spPr>
        <a:xfrm>
          <a:off x="50008" y="5848350"/>
          <a:ext cx="358961" cy="264498"/>
        </a:xfrm>
        <a:prstGeom prst="rect">
          <a:avLst/>
        </a:prstGeom>
      </xdr:spPr>
    </xdr:pic>
    <xdr:clientData fPrintsWithSheet="0"/>
  </xdr:twoCellAnchor>
  <xdr:twoCellAnchor editAs="oneCell">
    <xdr:from>
      <xdr:col>2</xdr:col>
      <xdr:colOff>230981</xdr:colOff>
      <xdr:row>436</xdr:row>
      <xdr:rowOff>19050</xdr:rowOff>
    </xdr:from>
    <xdr:to>
      <xdr:col>2</xdr:col>
      <xdr:colOff>589942</xdr:colOff>
      <xdr:row>437</xdr:row>
      <xdr:rowOff>131148</xdr:rowOff>
    </xdr:to>
    <xdr:pic macro="[0]!AutoVBA.GotoInvestTable">
      <xdr:nvPicPr>
        <xdr:cNvPr id="283" name="PrevBtn07" descr="prevbtn37c.bmp">
          <a:extLst>
            <a:ext uri="{FF2B5EF4-FFF2-40B4-BE49-F238E27FC236}">
              <a16:creationId xmlns:a16="http://schemas.microsoft.com/office/drawing/2014/main" id="{00000000-0008-0000-0100-00001B010000}"/>
            </a:ext>
          </a:extLst>
        </xdr:cNvPr>
        <xdr:cNvPicPr>
          <a:picLocks noChangeAspect="1"/>
        </xdr:cNvPicPr>
      </xdr:nvPicPr>
      <xdr:blipFill>
        <a:blip xmlns:r="http://schemas.openxmlformats.org/officeDocument/2006/relationships" r:embed="rId21" cstate="print"/>
        <a:stretch>
          <a:fillRect/>
        </a:stretch>
      </xdr:blipFill>
      <xdr:spPr>
        <a:xfrm>
          <a:off x="431006" y="5848350"/>
          <a:ext cx="358961" cy="264498"/>
        </a:xfrm>
        <a:prstGeom prst="rect">
          <a:avLst/>
        </a:prstGeom>
      </xdr:spPr>
    </xdr:pic>
    <xdr:clientData fPrintsWithSheet="0"/>
  </xdr:twoCellAnchor>
  <xdr:twoCellAnchor editAs="oneCell">
    <xdr:from>
      <xdr:col>2</xdr:col>
      <xdr:colOff>611982</xdr:colOff>
      <xdr:row>436</xdr:row>
      <xdr:rowOff>19050</xdr:rowOff>
    </xdr:from>
    <xdr:to>
      <xdr:col>2</xdr:col>
      <xdr:colOff>970943</xdr:colOff>
      <xdr:row>437</xdr:row>
      <xdr:rowOff>131148</xdr:rowOff>
    </xdr:to>
    <xdr:pic macro="[0]!AutoVBA.GotoWorkingCapitalTable">
      <xdr:nvPicPr>
        <xdr:cNvPr id="284" name="NextBtn07" descr="nextbtn37c.bmp">
          <a:extLst>
            <a:ext uri="{FF2B5EF4-FFF2-40B4-BE49-F238E27FC236}">
              <a16:creationId xmlns:a16="http://schemas.microsoft.com/office/drawing/2014/main" id="{00000000-0008-0000-0100-00001C010000}"/>
            </a:ext>
          </a:extLst>
        </xdr:cNvPr>
        <xdr:cNvPicPr>
          <a:picLocks noChangeAspect="1"/>
        </xdr:cNvPicPr>
      </xdr:nvPicPr>
      <xdr:blipFill>
        <a:blip xmlns:r="http://schemas.openxmlformats.org/officeDocument/2006/relationships" r:embed="rId22" cstate="print"/>
        <a:stretch>
          <a:fillRect/>
        </a:stretch>
      </xdr:blipFill>
      <xdr:spPr>
        <a:xfrm>
          <a:off x="812007" y="5848350"/>
          <a:ext cx="358961" cy="264498"/>
        </a:xfrm>
        <a:prstGeom prst="rect">
          <a:avLst/>
        </a:prstGeom>
      </xdr:spPr>
    </xdr:pic>
    <xdr:clientData fPrintsWithSheet="0"/>
  </xdr:twoCellAnchor>
  <xdr:twoCellAnchor editAs="oneCell">
    <xdr:from>
      <xdr:col>2</xdr:col>
      <xdr:colOff>992981</xdr:colOff>
      <xdr:row>436</xdr:row>
      <xdr:rowOff>19050</xdr:rowOff>
    </xdr:from>
    <xdr:to>
      <xdr:col>2</xdr:col>
      <xdr:colOff>1351942</xdr:colOff>
      <xdr:row>437</xdr:row>
      <xdr:rowOff>131148</xdr:rowOff>
    </xdr:to>
    <xdr:pic macro="[0]!GoHome">
      <xdr:nvPicPr>
        <xdr:cNvPr id="285" name="HomeBtn07" descr="homebtn37b.bmp">
          <a:extLst>
            <a:ext uri="{FF2B5EF4-FFF2-40B4-BE49-F238E27FC236}">
              <a16:creationId xmlns:a16="http://schemas.microsoft.com/office/drawing/2014/main" id="{00000000-0008-0000-0100-00001D010000}"/>
            </a:ext>
          </a:extLst>
        </xdr:cNvPr>
        <xdr:cNvPicPr>
          <a:picLocks noChangeAspect="1"/>
        </xdr:cNvPicPr>
      </xdr:nvPicPr>
      <xdr:blipFill>
        <a:blip xmlns:r="http://schemas.openxmlformats.org/officeDocument/2006/relationships" r:embed="rId23" cstate="print"/>
        <a:stretch>
          <a:fillRect/>
        </a:stretch>
      </xdr:blipFill>
      <xdr:spPr>
        <a:xfrm>
          <a:off x="1193006" y="5848350"/>
          <a:ext cx="358961" cy="264498"/>
        </a:xfrm>
        <a:prstGeom prst="rect">
          <a:avLst/>
        </a:prstGeom>
      </xdr:spPr>
    </xdr:pic>
    <xdr:clientData fPrintsWithSheet="0"/>
  </xdr:twoCellAnchor>
  <xdr:twoCellAnchor editAs="oneCell">
    <xdr:from>
      <xdr:col>2</xdr:col>
      <xdr:colOff>1373982</xdr:colOff>
      <xdr:row>436</xdr:row>
      <xdr:rowOff>19050</xdr:rowOff>
    </xdr:from>
    <xdr:to>
      <xdr:col>2</xdr:col>
      <xdr:colOff>1734456</xdr:colOff>
      <xdr:row>437</xdr:row>
      <xdr:rowOff>132263</xdr:rowOff>
    </xdr:to>
    <xdr:pic macro="[0]!CreateCalcChart">
      <xdr:nvPicPr>
        <xdr:cNvPr id="286" name="ChartBtn07" descr="chartbtn37.bmp">
          <a:extLst>
            <a:ext uri="{FF2B5EF4-FFF2-40B4-BE49-F238E27FC236}">
              <a16:creationId xmlns:a16="http://schemas.microsoft.com/office/drawing/2014/main" id="{00000000-0008-0000-0100-00001E010000}"/>
            </a:ext>
          </a:extLst>
        </xdr:cNvPr>
        <xdr:cNvPicPr>
          <a:picLocks noChangeAspect="1"/>
        </xdr:cNvPicPr>
      </xdr:nvPicPr>
      <xdr:blipFill>
        <a:blip xmlns:r="http://schemas.openxmlformats.org/officeDocument/2006/relationships" r:embed="rId24" cstate="print"/>
        <a:stretch>
          <a:fillRect/>
        </a:stretch>
      </xdr:blipFill>
      <xdr:spPr>
        <a:xfrm>
          <a:off x="1574007" y="5848350"/>
          <a:ext cx="360474" cy="265613"/>
        </a:xfrm>
        <a:prstGeom prst="rect">
          <a:avLst/>
        </a:prstGeom>
      </xdr:spPr>
    </xdr:pic>
    <xdr:clientData fPrintsWithSheet="0"/>
  </xdr:twoCellAnchor>
  <xdr:twoCellAnchor editAs="oneCell">
    <xdr:from>
      <xdr:col>2</xdr:col>
      <xdr:colOff>1754983</xdr:colOff>
      <xdr:row>436</xdr:row>
      <xdr:rowOff>19050</xdr:rowOff>
    </xdr:from>
    <xdr:to>
      <xdr:col>2</xdr:col>
      <xdr:colOff>2113944</xdr:colOff>
      <xdr:row>437</xdr:row>
      <xdr:rowOff>131148</xdr:rowOff>
    </xdr:to>
    <xdr:pic macro="[0]!ShowGuide">
      <xdr:nvPicPr>
        <xdr:cNvPr id="287" name="HelpBtn07" descr="helpbtn37c.bmp">
          <a:extLst>
            <a:ext uri="{FF2B5EF4-FFF2-40B4-BE49-F238E27FC236}">
              <a16:creationId xmlns:a16="http://schemas.microsoft.com/office/drawing/2014/main" id="{00000000-0008-0000-0100-00001F010000}"/>
            </a:ext>
          </a:extLst>
        </xdr:cNvPr>
        <xdr:cNvPicPr>
          <a:picLocks noChangeAspect="1"/>
        </xdr:cNvPicPr>
      </xdr:nvPicPr>
      <xdr:blipFill>
        <a:blip xmlns:r="http://schemas.openxmlformats.org/officeDocument/2006/relationships" r:embed="rId25" cstate="print"/>
        <a:stretch>
          <a:fillRect/>
        </a:stretch>
      </xdr:blipFill>
      <xdr:spPr>
        <a:xfrm>
          <a:off x="1955008" y="5848350"/>
          <a:ext cx="358961" cy="264498"/>
        </a:xfrm>
        <a:prstGeom prst="rect">
          <a:avLst/>
        </a:prstGeom>
      </xdr:spPr>
    </xdr:pic>
    <xdr:clientData fPrintsWithSheet="0"/>
  </xdr:twoCellAnchor>
  <xdr:twoCellAnchor editAs="oneCell">
    <xdr:from>
      <xdr:col>3</xdr:col>
      <xdr:colOff>19049</xdr:colOff>
      <xdr:row>436</xdr:row>
      <xdr:rowOff>19050</xdr:rowOff>
    </xdr:from>
    <xdr:to>
      <xdr:col>3</xdr:col>
      <xdr:colOff>209549</xdr:colOff>
      <xdr:row>437</xdr:row>
      <xdr:rowOff>76200</xdr:rowOff>
    </xdr:to>
    <xdr:pic macro="[0]!DetailLevelSelected">
      <xdr:nvPicPr>
        <xdr:cNvPr id="288" name="OutlinePic02" descr="levelbtn.bmp">
          <a:extLst>
            <a:ext uri="{FF2B5EF4-FFF2-40B4-BE49-F238E27FC236}">
              <a16:creationId xmlns:a16="http://schemas.microsoft.com/office/drawing/2014/main" id="{00000000-0008-0000-0100-000020010000}"/>
            </a:ext>
          </a:extLst>
        </xdr:cNvPr>
        <xdr:cNvPicPr>
          <a:picLocks noChangeAspect="1"/>
        </xdr:cNvPicPr>
      </xdr:nvPicPr>
      <xdr:blipFill>
        <a:blip xmlns:r="http://schemas.openxmlformats.org/officeDocument/2006/relationships" r:embed="rId26" cstate="print"/>
        <a:stretch>
          <a:fillRect/>
        </a:stretch>
      </xdr:blipFill>
      <xdr:spPr>
        <a:xfrm>
          <a:off x="2533649" y="4419600"/>
          <a:ext cx="190500" cy="209550"/>
        </a:xfrm>
        <a:prstGeom prst="rect">
          <a:avLst/>
        </a:prstGeom>
      </xdr:spPr>
    </xdr:pic>
    <xdr:clientData fPrintsWithSheet="0"/>
  </xdr:twoCellAnchor>
  <xdr:twoCellAnchor editAs="oneCell">
    <xdr:from>
      <xdr:col>3</xdr:col>
      <xdr:colOff>328611</xdr:colOff>
      <xdr:row>437</xdr:row>
      <xdr:rowOff>114300</xdr:rowOff>
    </xdr:from>
    <xdr:to>
      <xdr:col>3</xdr:col>
      <xdr:colOff>604836</xdr:colOff>
      <xdr:row>438</xdr:row>
      <xdr:rowOff>161925</xdr:rowOff>
    </xdr:to>
    <xdr:pic macro="[0]!FreezeCalcSheet">
      <xdr:nvPicPr>
        <xdr:cNvPr id="289" name="btnFreeze02" descr="FreezeBtnSmallb.bmp">
          <a:extLst>
            <a:ext uri="{FF2B5EF4-FFF2-40B4-BE49-F238E27FC236}">
              <a16:creationId xmlns:a16="http://schemas.microsoft.com/office/drawing/2014/main" id="{00000000-0008-0000-0100-000021010000}"/>
            </a:ext>
          </a:extLst>
        </xdr:cNvPr>
        <xdr:cNvPicPr>
          <a:picLocks noChangeAspect="1"/>
        </xdr:cNvPicPr>
      </xdr:nvPicPr>
      <xdr:blipFill>
        <a:blip xmlns:r="http://schemas.openxmlformats.org/officeDocument/2006/relationships" r:embed="rId27" cstate="print"/>
        <a:stretch>
          <a:fillRect/>
        </a:stretch>
      </xdr:blipFill>
      <xdr:spPr>
        <a:xfrm>
          <a:off x="2709861" y="6096000"/>
          <a:ext cx="276225" cy="200025"/>
        </a:xfrm>
        <a:prstGeom prst="rect">
          <a:avLst/>
        </a:prstGeom>
      </xdr:spPr>
    </xdr:pic>
    <xdr:clientData fPrintsWithSheet="0"/>
  </xdr:twoCellAnchor>
  <xdr:twoCellAnchor editAs="oneCell">
    <xdr:from>
      <xdr:col>1</xdr:col>
      <xdr:colOff>11906</xdr:colOff>
      <xdr:row>534</xdr:row>
      <xdr:rowOff>19051</xdr:rowOff>
    </xdr:from>
    <xdr:to>
      <xdr:col>2</xdr:col>
      <xdr:colOff>208942</xdr:colOff>
      <xdr:row>535</xdr:row>
      <xdr:rowOff>131149</xdr:rowOff>
    </xdr:to>
    <xdr:pic macro="[0]!AutoVBA.PrintCurrent">
      <xdr:nvPicPr>
        <xdr:cNvPr id="290" name="PrintBtn08" descr="printbtn37.bmp">
          <a:extLst>
            <a:ext uri="{FF2B5EF4-FFF2-40B4-BE49-F238E27FC236}">
              <a16:creationId xmlns:a16="http://schemas.microsoft.com/office/drawing/2014/main" id="{00000000-0008-0000-0100-000022010000}"/>
            </a:ext>
          </a:extLst>
        </xdr:cNvPr>
        <xdr:cNvPicPr>
          <a:picLocks noChangeAspect="1"/>
        </xdr:cNvPicPr>
      </xdr:nvPicPr>
      <xdr:blipFill>
        <a:blip xmlns:r="http://schemas.openxmlformats.org/officeDocument/2006/relationships" r:embed="rId20" cstate="print"/>
        <a:stretch>
          <a:fillRect/>
        </a:stretch>
      </xdr:blipFill>
      <xdr:spPr>
        <a:xfrm>
          <a:off x="50006" y="16906876"/>
          <a:ext cx="358961" cy="264498"/>
        </a:xfrm>
        <a:prstGeom prst="rect">
          <a:avLst/>
        </a:prstGeom>
      </xdr:spPr>
    </xdr:pic>
    <xdr:clientData fPrintsWithSheet="0"/>
  </xdr:twoCellAnchor>
  <xdr:twoCellAnchor editAs="oneCell">
    <xdr:from>
      <xdr:col>2</xdr:col>
      <xdr:colOff>230981</xdr:colOff>
      <xdr:row>534</xdr:row>
      <xdr:rowOff>19051</xdr:rowOff>
    </xdr:from>
    <xdr:to>
      <xdr:col>2</xdr:col>
      <xdr:colOff>589942</xdr:colOff>
      <xdr:row>535</xdr:row>
      <xdr:rowOff>131149</xdr:rowOff>
    </xdr:to>
    <xdr:pic macro="[0]!AutoVBA.GotoIncomeTable">
      <xdr:nvPicPr>
        <xdr:cNvPr id="291" name="PrevBtn08" descr="prevbtn37c.bmp">
          <a:extLst>
            <a:ext uri="{FF2B5EF4-FFF2-40B4-BE49-F238E27FC236}">
              <a16:creationId xmlns:a16="http://schemas.microsoft.com/office/drawing/2014/main" id="{00000000-0008-0000-0100-000023010000}"/>
            </a:ext>
          </a:extLst>
        </xdr:cNvPr>
        <xdr:cNvPicPr>
          <a:picLocks noChangeAspect="1"/>
        </xdr:cNvPicPr>
      </xdr:nvPicPr>
      <xdr:blipFill>
        <a:blip xmlns:r="http://schemas.openxmlformats.org/officeDocument/2006/relationships" r:embed="rId21" cstate="print"/>
        <a:stretch>
          <a:fillRect/>
        </a:stretch>
      </xdr:blipFill>
      <xdr:spPr>
        <a:xfrm>
          <a:off x="431006" y="16906876"/>
          <a:ext cx="358961" cy="264498"/>
        </a:xfrm>
        <a:prstGeom prst="rect">
          <a:avLst/>
        </a:prstGeom>
      </xdr:spPr>
    </xdr:pic>
    <xdr:clientData fPrintsWithSheet="0"/>
  </xdr:twoCellAnchor>
  <xdr:twoCellAnchor editAs="oneCell">
    <xdr:from>
      <xdr:col>2</xdr:col>
      <xdr:colOff>611982</xdr:colOff>
      <xdr:row>534</xdr:row>
      <xdr:rowOff>19051</xdr:rowOff>
    </xdr:from>
    <xdr:to>
      <xdr:col>2</xdr:col>
      <xdr:colOff>970943</xdr:colOff>
      <xdr:row>535</xdr:row>
      <xdr:rowOff>131149</xdr:rowOff>
    </xdr:to>
    <xdr:pic macro="[0]!AutoVBA.GotoCashflowTable">
      <xdr:nvPicPr>
        <xdr:cNvPr id="292" name="NextBtn08" descr="nextbtn37c.bmp">
          <a:extLst>
            <a:ext uri="{FF2B5EF4-FFF2-40B4-BE49-F238E27FC236}">
              <a16:creationId xmlns:a16="http://schemas.microsoft.com/office/drawing/2014/main" id="{00000000-0008-0000-0100-000024010000}"/>
            </a:ext>
          </a:extLst>
        </xdr:cNvPr>
        <xdr:cNvPicPr>
          <a:picLocks noChangeAspect="1"/>
        </xdr:cNvPicPr>
      </xdr:nvPicPr>
      <xdr:blipFill>
        <a:blip xmlns:r="http://schemas.openxmlformats.org/officeDocument/2006/relationships" r:embed="rId22" cstate="print"/>
        <a:stretch>
          <a:fillRect/>
        </a:stretch>
      </xdr:blipFill>
      <xdr:spPr>
        <a:xfrm>
          <a:off x="812007" y="16906876"/>
          <a:ext cx="358961" cy="264498"/>
        </a:xfrm>
        <a:prstGeom prst="rect">
          <a:avLst/>
        </a:prstGeom>
      </xdr:spPr>
    </xdr:pic>
    <xdr:clientData fPrintsWithSheet="0"/>
  </xdr:twoCellAnchor>
  <xdr:twoCellAnchor editAs="oneCell">
    <xdr:from>
      <xdr:col>2</xdr:col>
      <xdr:colOff>992981</xdr:colOff>
      <xdr:row>534</xdr:row>
      <xdr:rowOff>19051</xdr:rowOff>
    </xdr:from>
    <xdr:to>
      <xdr:col>2</xdr:col>
      <xdr:colOff>1351942</xdr:colOff>
      <xdr:row>535</xdr:row>
      <xdr:rowOff>131149</xdr:rowOff>
    </xdr:to>
    <xdr:pic macro="[0]!GoHome">
      <xdr:nvPicPr>
        <xdr:cNvPr id="293" name="HomeBtn08" descr="homebtn37b.bmp">
          <a:extLst>
            <a:ext uri="{FF2B5EF4-FFF2-40B4-BE49-F238E27FC236}">
              <a16:creationId xmlns:a16="http://schemas.microsoft.com/office/drawing/2014/main" id="{00000000-0008-0000-0100-000025010000}"/>
            </a:ext>
          </a:extLst>
        </xdr:cNvPr>
        <xdr:cNvPicPr>
          <a:picLocks noChangeAspect="1"/>
        </xdr:cNvPicPr>
      </xdr:nvPicPr>
      <xdr:blipFill>
        <a:blip xmlns:r="http://schemas.openxmlformats.org/officeDocument/2006/relationships" r:embed="rId23" cstate="print"/>
        <a:stretch>
          <a:fillRect/>
        </a:stretch>
      </xdr:blipFill>
      <xdr:spPr>
        <a:xfrm>
          <a:off x="1193006" y="16906876"/>
          <a:ext cx="358961" cy="264498"/>
        </a:xfrm>
        <a:prstGeom prst="rect">
          <a:avLst/>
        </a:prstGeom>
      </xdr:spPr>
    </xdr:pic>
    <xdr:clientData fPrintsWithSheet="0"/>
  </xdr:twoCellAnchor>
  <xdr:twoCellAnchor editAs="oneCell">
    <xdr:from>
      <xdr:col>2</xdr:col>
      <xdr:colOff>1373981</xdr:colOff>
      <xdr:row>534</xdr:row>
      <xdr:rowOff>19051</xdr:rowOff>
    </xdr:from>
    <xdr:to>
      <xdr:col>2</xdr:col>
      <xdr:colOff>1734455</xdr:colOff>
      <xdr:row>535</xdr:row>
      <xdr:rowOff>132264</xdr:rowOff>
    </xdr:to>
    <xdr:pic macro="[0]!CreateCalcChart">
      <xdr:nvPicPr>
        <xdr:cNvPr id="294" name="ChartBtn08" descr="chartbtn37.bmp">
          <a:extLst>
            <a:ext uri="{FF2B5EF4-FFF2-40B4-BE49-F238E27FC236}">
              <a16:creationId xmlns:a16="http://schemas.microsoft.com/office/drawing/2014/main" id="{00000000-0008-0000-0100-000026010000}"/>
            </a:ext>
          </a:extLst>
        </xdr:cNvPr>
        <xdr:cNvPicPr>
          <a:picLocks noChangeAspect="1"/>
        </xdr:cNvPicPr>
      </xdr:nvPicPr>
      <xdr:blipFill>
        <a:blip xmlns:r="http://schemas.openxmlformats.org/officeDocument/2006/relationships" r:embed="rId24" cstate="print"/>
        <a:stretch>
          <a:fillRect/>
        </a:stretch>
      </xdr:blipFill>
      <xdr:spPr>
        <a:xfrm>
          <a:off x="1574006" y="16906876"/>
          <a:ext cx="360474" cy="265613"/>
        </a:xfrm>
        <a:prstGeom prst="rect">
          <a:avLst/>
        </a:prstGeom>
      </xdr:spPr>
    </xdr:pic>
    <xdr:clientData fPrintsWithSheet="0"/>
  </xdr:twoCellAnchor>
  <xdr:twoCellAnchor editAs="oneCell">
    <xdr:from>
      <xdr:col>2</xdr:col>
      <xdr:colOff>1754983</xdr:colOff>
      <xdr:row>534</xdr:row>
      <xdr:rowOff>19051</xdr:rowOff>
    </xdr:from>
    <xdr:to>
      <xdr:col>2</xdr:col>
      <xdr:colOff>2113944</xdr:colOff>
      <xdr:row>535</xdr:row>
      <xdr:rowOff>131149</xdr:rowOff>
    </xdr:to>
    <xdr:pic macro="[0]!ShowGuide">
      <xdr:nvPicPr>
        <xdr:cNvPr id="295" name="HelpBtn08" descr="helpbtn37c.bmp">
          <a:extLst>
            <a:ext uri="{FF2B5EF4-FFF2-40B4-BE49-F238E27FC236}">
              <a16:creationId xmlns:a16="http://schemas.microsoft.com/office/drawing/2014/main" id="{00000000-0008-0000-0100-000027010000}"/>
            </a:ext>
          </a:extLst>
        </xdr:cNvPr>
        <xdr:cNvPicPr>
          <a:picLocks noChangeAspect="1"/>
        </xdr:cNvPicPr>
      </xdr:nvPicPr>
      <xdr:blipFill>
        <a:blip xmlns:r="http://schemas.openxmlformats.org/officeDocument/2006/relationships" r:embed="rId25" cstate="print"/>
        <a:stretch>
          <a:fillRect/>
        </a:stretch>
      </xdr:blipFill>
      <xdr:spPr>
        <a:xfrm>
          <a:off x="1955008" y="16906876"/>
          <a:ext cx="358961" cy="264498"/>
        </a:xfrm>
        <a:prstGeom prst="rect">
          <a:avLst/>
        </a:prstGeom>
      </xdr:spPr>
    </xdr:pic>
    <xdr:clientData fPrintsWithSheet="0"/>
  </xdr:twoCellAnchor>
  <xdr:twoCellAnchor editAs="oneCell">
    <xdr:from>
      <xdr:col>3</xdr:col>
      <xdr:colOff>19051</xdr:colOff>
      <xdr:row>534</xdr:row>
      <xdr:rowOff>19051</xdr:rowOff>
    </xdr:from>
    <xdr:to>
      <xdr:col>3</xdr:col>
      <xdr:colOff>209551</xdr:colOff>
      <xdr:row>535</xdr:row>
      <xdr:rowOff>76201</xdr:rowOff>
    </xdr:to>
    <xdr:pic macro="[0]!DetailLevelSelected">
      <xdr:nvPicPr>
        <xdr:cNvPr id="296" name="OutlinePic03" descr="levelbtn.bmp">
          <a:extLst>
            <a:ext uri="{FF2B5EF4-FFF2-40B4-BE49-F238E27FC236}">
              <a16:creationId xmlns:a16="http://schemas.microsoft.com/office/drawing/2014/main" id="{00000000-0008-0000-0100-000028010000}"/>
            </a:ext>
          </a:extLst>
        </xdr:cNvPr>
        <xdr:cNvPicPr>
          <a:picLocks noChangeAspect="1"/>
        </xdr:cNvPicPr>
      </xdr:nvPicPr>
      <xdr:blipFill>
        <a:blip xmlns:r="http://schemas.openxmlformats.org/officeDocument/2006/relationships" r:embed="rId26" cstate="print"/>
        <a:stretch>
          <a:fillRect/>
        </a:stretch>
      </xdr:blipFill>
      <xdr:spPr>
        <a:xfrm>
          <a:off x="2533651" y="13887451"/>
          <a:ext cx="190500" cy="209550"/>
        </a:xfrm>
        <a:prstGeom prst="rect">
          <a:avLst/>
        </a:prstGeom>
      </xdr:spPr>
    </xdr:pic>
    <xdr:clientData fPrintsWithSheet="0"/>
  </xdr:twoCellAnchor>
  <xdr:twoCellAnchor editAs="oneCell">
    <xdr:from>
      <xdr:col>3</xdr:col>
      <xdr:colOff>328612</xdr:colOff>
      <xdr:row>535</xdr:row>
      <xdr:rowOff>104775</xdr:rowOff>
    </xdr:from>
    <xdr:to>
      <xdr:col>3</xdr:col>
      <xdr:colOff>604837</xdr:colOff>
      <xdr:row>536</xdr:row>
      <xdr:rowOff>152400</xdr:rowOff>
    </xdr:to>
    <xdr:pic macro="[0]!FreezeCalcSheet">
      <xdr:nvPicPr>
        <xdr:cNvPr id="297" name="btnFreeze03" descr="FreezeBtnSmallb.bmp">
          <a:extLst>
            <a:ext uri="{FF2B5EF4-FFF2-40B4-BE49-F238E27FC236}">
              <a16:creationId xmlns:a16="http://schemas.microsoft.com/office/drawing/2014/main" id="{00000000-0008-0000-0100-000029010000}"/>
            </a:ext>
          </a:extLst>
        </xdr:cNvPr>
        <xdr:cNvPicPr>
          <a:picLocks noChangeAspect="1"/>
        </xdr:cNvPicPr>
      </xdr:nvPicPr>
      <xdr:blipFill>
        <a:blip xmlns:r="http://schemas.openxmlformats.org/officeDocument/2006/relationships" r:embed="rId27" cstate="print"/>
        <a:stretch>
          <a:fillRect/>
        </a:stretch>
      </xdr:blipFill>
      <xdr:spPr>
        <a:xfrm>
          <a:off x="2709862" y="17145000"/>
          <a:ext cx="276225" cy="200025"/>
        </a:xfrm>
        <a:prstGeom prst="rect">
          <a:avLst/>
        </a:prstGeom>
      </xdr:spPr>
    </xdr:pic>
    <xdr:clientData fPrintsWithSheet="0"/>
  </xdr:twoCellAnchor>
  <xdr:twoCellAnchor editAs="oneCell">
    <xdr:from>
      <xdr:col>1</xdr:col>
      <xdr:colOff>26194</xdr:colOff>
      <xdr:row>622</xdr:row>
      <xdr:rowOff>19050</xdr:rowOff>
    </xdr:from>
    <xdr:to>
      <xdr:col>2</xdr:col>
      <xdr:colOff>223230</xdr:colOff>
      <xdr:row>623</xdr:row>
      <xdr:rowOff>131148</xdr:rowOff>
    </xdr:to>
    <xdr:pic macro="[0]!AutoVBA.PrintCurrent">
      <xdr:nvPicPr>
        <xdr:cNvPr id="298" name="PrintBtn09" descr="printbtn37.bmp">
          <a:extLst>
            <a:ext uri="{FF2B5EF4-FFF2-40B4-BE49-F238E27FC236}">
              <a16:creationId xmlns:a16="http://schemas.microsoft.com/office/drawing/2014/main" id="{00000000-0008-0000-0100-00002A010000}"/>
            </a:ext>
          </a:extLst>
        </xdr:cNvPr>
        <xdr:cNvPicPr>
          <a:picLocks noChangeAspect="1"/>
        </xdr:cNvPicPr>
      </xdr:nvPicPr>
      <xdr:blipFill>
        <a:blip xmlns:r="http://schemas.openxmlformats.org/officeDocument/2006/relationships" r:embed="rId20" cstate="print"/>
        <a:stretch>
          <a:fillRect/>
        </a:stretch>
      </xdr:blipFill>
      <xdr:spPr>
        <a:xfrm>
          <a:off x="64294" y="21469350"/>
          <a:ext cx="358961" cy="264498"/>
        </a:xfrm>
        <a:prstGeom prst="rect">
          <a:avLst/>
        </a:prstGeom>
      </xdr:spPr>
    </xdr:pic>
    <xdr:clientData fPrintsWithSheet="0"/>
  </xdr:twoCellAnchor>
  <xdr:twoCellAnchor editAs="oneCell">
    <xdr:from>
      <xdr:col>2</xdr:col>
      <xdr:colOff>245270</xdr:colOff>
      <xdr:row>622</xdr:row>
      <xdr:rowOff>19050</xdr:rowOff>
    </xdr:from>
    <xdr:to>
      <xdr:col>2</xdr:col>
      <xdr:colOff>604231</xdr:colOff>
      <xdr:row>623</xdr:row>
      <xdr:rowOff>131148</xdr:rowOff>
    </xdr:to>
    <xdr:pic macro="[0]!AutoVBA.GotoWorkingCapitalTable">
      <xdr:nvPicPr>
        <xdr:cNvPr id="299" name="PrevBtn09" descr="prevbtn37c.bmp">
          <a:extLst>
            <a:ext uri="{FF2B5EF4-FFF2-40B4-BE49-F238E27FC236}">
              <a16:creationId xmlns:a16="http://schemas.microsoft.com/office/drawing/2014/main" id="{00000000-0008-0000-0100-00002B010000}"/>
            </a:ext>
          </a:extLst>
        </xdr:cNvPr>
        <xdr:cNvPicPr>
          <a:picLocks noChangeAspect="1"/>
        </xdr:cNvPicPr>
      </xdr:nvPicPr>
      <xdr:blipFill>
        <a:blip xmlns:r="http://schemas.openxmlformats.org/officeDocument/2006/relationships" r:embed="rId21" cstate="print"/>
        <a:stretch>
          <a:fillRect/>
        </a:stretch>
      </xdr:blipFill>
      <xdr:spPr>
        <a:xfrm>
          <a:off x="445295" y="21469350"/>
          <a:ext cx="358961" cy="264498"/>
        </a:xfrm>
        <a:prstGeom prst="rect">
          <a:avLst/>
        </a:prstGeom>
      </xdr:spPr>
    </xdr:pic>
    <xdr:clientData fPrintsWithSheet="0"/>
  </xdr:twoCellAnchor>
  <xdr:twoCellAnchor editAs="oneCell">
    <xdr:from>
      <xdr:col>2</xdr:col>
      <xdr:colOff>626268</xdr:colOff>
      <xdr:row>622</xdr:row>
      <xdr:rowOff>19050</xdr:rowOff>
    </xdr:from>
    <xdr:to>
      <xdr:col>2</xdr:col>
      <xdr:colOff>985229</xdr:colOff>
      <xdr:row>623</xdr:row>
      <xdr:rowOff>131148</xdr:rowOff>
    </xdr:to>
    <xdr:pic macro="[0]!GotoBalanceOrResultTable">
      <xdr:nvPicPr>
        <xdr:cNvPr id="300" name="NextBtn09" descr="nextbtn37c.bmp">
          <a:extLst>
            <a:ext uri="{FF2B5EF4-FFF2-40B4-BE49-F238E27FC236}">
              <a16:creationId xmlns:a16="http://schemas.microsoft.com/office/drawing/2014/main" id="{00000000-0008-0000-0100-00002C010000}"/>
            </a:ext>
          </a:extLst>
        </xdr:cNvPr>
        <xdr:cNvPicPr>
          <a:picLocks noChangeAspect="1"/>
        </xdr:cNvPicPr>
      </xdr:nvPicPr>
      <xdr:blipFill>
        <a:blip xmlns:r="http://schemas.openxmlformats.org/officeDocument/2006/relationships" r:embed="rId22" cstate="print"/>
        <a:stretch>
          <a:fillRect/>
        </a:stretch>
      </xdr:blipFill>
      <xdr:spPr>
        <a:xfrm>
          <a:off x="826293" y="21469350"/>
          <a:ext cx="358961" cy="264498"/>
        </a:xfrm>
        <a:prstGeom prst="rect">
          <a:avLst/>
        </a:prstGeom>
      </xdr:spPr>
    </xdr:pic>
    <xdr:clientData fPrintsWithSheet="0"/>
  </xdr:twoCellAnchor>
  <xdr:twoCellAnchor editAs="oneCell">
    <xdr:from>
      <xdr:col>2</xdr:col>
      <xdr:colOff>1007270</xdr:colOff>
      <xdr:row>622</xdr:row>
      <xdr:rowOff>19050</xdr:rowOff>
    </xdr:from>
    <xdr:to>
      <xdr:col>2</xdr:col>
      <xdr:colOff>1366231</xdr:colOff>
      <xdr:row>623</xdr:row>
      <xdr:rowOff>131148</xdr:rowOff>
    </xdr:to>
    <xdr:pic macro="[0]!GoHome">
      <xdr:nvPicPr>
        <xdr:cNvPr id="301" name="HomeBtn09" descr="homebtn37b.bmp">
          <a:extLst>
            <a:ext uri="{FF2B5EF4-FFF2-40B4-BE49-F238E27FC236}">
              <a16:creationId xmlns:a16="http://schemas.microsoft.com/office/drawing/2014/main" id="{00000000-0008-0000-0100-00002D010000}"/>
            </a:ext>
          </a:extLst>
        </xdr:cNvPr>
        <xdr:cNvPicPr>
          <a:picLocks noChangeAspect="1"/>
        </xdr:cNvPicPr>
      </xdr:nvPicPr>
      <xdr:blipFill>
        <a:blip xmlns:r="http://schemas.openxmlformats.org/officeDocument/2006/relationships" r:embed="rId23" cstate="print"/>
        <a:stretch>
          <a:fillRect/>
        </a:stretch>
      </xdr:blipFill>
      <xdr:spPr>
        <a:xfrm>
          <a:off x="1207295" y="21469350"/>
          <a:ext cx="358961" cy="264498"/>
        </a:xfrm>
        <a:prstGeom prst="rect">
          <a:avLst/>
        </a:prstGeom>
      </xdr:spPr>
    </xdr:pic>
    <xdr:clientData fPrintsWithSheet="0"/>
  </xdr:twoCellAnchor>
  <xdr:twoCellAnchor editAs="oneCell">
    <xdr:from>
      <xdr:col>2</xdr:col>
      <xdr:colOff>1388269</xdr:colOff>
      <xdr:row>622</xdr:row>
      <xdr:rowOff>19050</xdr:rowOff>
    </xdr:from>
    <xdr:to>
      <xdr:col>2</xdr:col>
      <xdr:colOff>1748743</xdr:colOff>
      <xdr:row>623</xdr:row>
      <xdr:rowOff>132263</xdr:rowOff>
    </xdr:to>
    <xdr:pic macro="[0]!CreateCalcChart">
      <xdr:nvPicPr>
        <xdr:cNvPr id="302" name="ChartBtn09" descr="chartbtn37.bmp">
          <a:extLst>
            <a:ext uri="{FF2B5EF4-FFF2-40B4-BE49-F238E27FC236}">
              <a16:creationId xmlns:a16="http://schemas.microsoft.com/office/drawing/2014/main" id="{00000000-0008-0000-0100-00002E010000}"/>
            </a:ext>
          </a:extLst>
        </xdr:cNvPr>
        <xdr:cNvPicPr>
          <a:picLocks noChangeAspect="1"/>
        </xdr:cNvPicPr>
      </xdr:nvPicPr>
      <xdr:blipFill>
        <a:blip xmlns:r="http://schemas.openxmlformats.org/officeDocument/2006/relationships" r:embed="rId24" cstate="print"/>
        <a:stretch>
          <a:fillRect/>
        </a:stretch>
      </xdr:blipFill>
      <xdr:spPr>
        <a:xfrm>
          <a:off x="1588294" y="21469350"/>
          <a:ext cx="360474" cy="265613"/>
        </a:xfrm>
        <a:prstGeom prst="rect">
          <a:avLst/>
        </a:prstGeom>
      </xdr:spPr>
    </xdr:pic>
    <xdr:clientData fPrintsWithSheet="0"/>
  </xdr:twoCellAnchor>
  <xdr:twoCellAnchor editAs="oneCell">
    <xdr:from>
      <xdr:col>2</xdr:col>
      <xdr:colOff>1769269</xdr:colOff>
      <xdr:row>622</xdr:row>
      <xdr:rowOff>19050</xdr:rowOff>
    </xdr:from>
    <xdr:to>
      <xdr:col>2</xdr:col>
      <xdr:colOff>2128230</xdr:colOff>
      <xdr:row>623</xdr:row>
      <xdr:rowOff>131148</xdr:rowOff>
    </xdr:to>
    <xdr:pic macro="[0]!ShowGuide">
      <xdr:nvPicPr>
        <xdr:cNvPr id="303" name="HelpBtn09" descr="helpbtn37c.bmp">
          <a:extLst>
            <a:ext uri="{FF2B5EF4-FFF2-40B4-BE49-F238E27FC236}">
              <a16:creationId xmlns:a16="http://schemas.microsoft.com/office/drawing/2014/main" id="{00000000-0008-0000-0100-00002F010000}"/>
            </a:ext>
          </a:extLst>
        </xdr:cNvPr>
        <xdr:cNvPicPr>
          <a:picLocks noChangeAspect="1"/>
        </xdr:cNvPicPr>
      </xdr:nvPicPr>
      <xdr:blipFill>
        <a:blip xmlns:r="http://schemas.openxmlformats.org/officeDocument/2006/relationships" r:embed="rId25" cstate="print"/>
        <a:stretch>
          <a:fillRect/>
        </a:stretch>
      </xdr:blipFill>
      <xdr:spPr>
        <a:xfrm>
          <a:off x="1969294" y="21469350"/>
          <a:ext cx="358961" cy="264498"/>
        </a:xfrm>
        <a:prstGeom prst="rect">
          <a:avLst/>
        </a:prstGeom>
      </xdr:spPr>
    </xdr:pic>
    <xdr:clientData fPrintsWithSheet="0"/>
  </xdr:twoCellAnchor>
  <xdr:twoCellAnchor editAs="oneCell">
    <xdr:from>
      <xdr:col>3</xdr:col>
      <xdr:colOff>19050</xdr:colOff>
      <xdr:row>622</xdr:row>
      <xdr:rowOff>19050</xdr:rowOff>
    </xdr:from>
    <xdr:to>
      <xdr:col>3</xdr:col>
      <xdr:colOff>209550</xdr:colOff>
      <xdr:row>623</xdr:row>
      <xdr:rowOff>76200</xdr:rowOff>
    </xdr:to>
    <xdr:pic macro="[0]!DetailLevelSelected">
      <xdr:nvPicPr>
        <xdr:cNvPr id="304" name="OutlinePic04" descr="levelbtn.bmp">
          <a:extLst>
            <a:ext uri="{FF2B5EF4-FFF2-40B4-BE49-F238E27FC236}">
              <a16:creationId xmlns:a16="http://schemas.microsoft.com/office/drawing/2014/main" id="{00000000-0008-0000-0100-000030010000}"/>
            </a:ext>
          </a:extLst>
        </xdr:cNvPr>
        <xdr:cNvPicPr>
          <a:picLocks noChangeAspect="1"/>
        </xdr:cNvPicPr>
      </xdr:nvPicPr>
      <xdr:blipFill>
        <a:blip xmlns:r="http://schemas.openxmlformats.org/officeDocument/2006/relationships" r:embed="rId26" cstate="print"/>
        <a:stretch>
          <a:fillRect/>
        </a:stretch>
      </xdr:blipFill>
      <xdr:spPr>
        <a:xfrm>
          <a:off x="2533650" y="18449925"/>
          <a:ext cx="190500" cy="209550"/>
        </a:xfrm>
        <a:prstGeom prst="rect">
          <a:avLst/>
        </a:prstGeom>
      </xdr:spPr>
    </xdr:pic>
    <xdr:clientData fPrintsWithSheet="0"/>
  </xdr:twoCellAnchor>
  <xdr:twoCellAnchor editAs="oneCell">
    <xdr:from>
      <xdr:col>3</xdr:col>
      <xdr:colOff>328612</xdr:colOff>
      <xdr:row>623</xdr:row>
      <xdr:rowOff>104775</xdr:rowOff>
    </xdr:from>
    <xdr:to>
      <xdr:col>3</xdr:col>
      <xdr:colOff>604837</xdr:colOff>
      <xdr:row>624</xdr:row>
      <xdr:rowOff>152400</xdr:rowOff>
    </xdr:to>
    <xdr:pic macro="[0]!FreezeCalcSheet">
      <xdr:nvPicPr>
        <xdr:cNvPr id="305" name="btnFreeze04" descr="FreezeBtnSmallb.bmp">
          <a:extLst>
            <a:ext uri="{FF2B5EF4-FFF2-40B4-BE49-F238E27FC236}">
              <a16:creationId xmlns:a16="http://schemas.microsoft.com/office/drawing/2014/main" id="{00000000-0008-0000-0100-000031010000}"/>
            </a:ext>
          </a:extLst>
        </xdr:cNvPr>
        <xdr:cNvPicPr>
          <a:picLocks noChangeAspect="1"/>
        </xdr:cNvPicPr>
      </xdr:nvPicPr>
      <xdr:blipFill>
        <a:blip xmlns:r="http://schemas.openxmlformats.org/officeDocument/2006/relationships" r:embed="rId27" cstate="print"/>
        <a:stretch>
          <a:fillRect/>
        </a:stretch>
      </xdr:blipFill>
      <xdr:spPr>
        <a:xfrm>
          <a:off x="2709862" y="23993475"/>
          <a:ext cx="276225" cy="200025"/>
        </a:xfrm>
        <a:prstGeom prst="rect">
          <a:avLst/>
        </a:prstGeom>
      </xdr:spPr>
    </xdr:pic>
    <xdr:clientData fPrintsWithSheet="0"/>
  </xdr:twoCellAnchor>
  <xdr:twoCellAnchor editAs="oneCell">
    <xdr:from>
      <xdr:col>1</xdr:col>
      <xdr:colOff>26194</xdr:colOff>
      <xdr:row>704</xdr:row>
      <xdr:rowOff>19052</xdr:rowOff>
    </xdr:from>
    <xdr:to>
      <xdr:col>2</xdr:col>
      <xdr:colOff>223230</xdr:colOff>
      <xdr:row>705</xdr:row>
      <xdr:rowOff>140675</xdr:rowOff>
    </xdr:to>
    <xdr:pic macro="[0]!AutoVBA.PrintCurrent">
      <xdr:nvPicPr>
        <xdr:cNvPr id="306" name="PrintBtn29" descr="printbtn37.bmp">
          <a:extLst>
            <a:ext uri="{FF2B5EF4-FFF2-40B4-BE49-F238E27FC236}">
              <a16:creationId xmlns:a16="http://schemas.microsoft.com/office/drawing/2014/main" id="{00000000-0008-0000-0100-000032010000}"/>
            </a:ext>
          </a:extLst>
        </xdr:cNvPr>
        <xdr:cNvPicPr>
          <a:picLocks noChangeAspect="1"/>
        </xdr:cNvPicPr>
      </xdr:nvPicPr>
      <xdr:blipFill>
        <a:blip xmlns:r="http://schemas.openxmlformats.org/officeDocument/2006/relationships" r:embed="rId20" cstate="print"/>
        <a:stretch>
          <a:fillRect/>
        </a:stretch>
      </xdr:blipFill>
      <xdr:spPr>
        <a:xfrm>
          <a:off x="64294" y="25565102"/>
          <a:ext cx="358961" cy="264498"/>
        </a:xfrm>
        <a:prstGeom prst="rect">
          <a:avLst/>
        </a:prstGeom>
      </xdr:spPr>
    </xdr:pic>
    <xdr:clientData fPrintsWithSheet="0"/>
  </xdr:twoCellAnchor>
  <xdr:twoCellAnchor editAs="oneCell">
    <xdr:from>
      <xdr:col>2</xdr:col>
      <xdr:colOff>245269</xdr:colOff>
      <xdr:row>704</xdr:row>
      <xdr:rowOff>19052</xdr:rowOff>
    </xdr:from>
    <xdr:to>
      <xdr:col>2</xdr:col>
      <xdr:colOff>604230</xdr:colOff>
      <xdr:row>705</xdr:row>
      <xdr:rowOff>140675</xdr:rowOff>
    </xdr:to>
    <xdr:pic macro="[0]!GotoCashflowTable">
      <xdr:nvPicPr>
        <xdr:cNvPr id="307" name="PrevBtn29" descr="prevbtn37c.bmp">
          <a:extLst>
            <a:ext uri="{FF2B5EF4-FFF2-40B4-BE49-F238E27FC236}">
              <a16:creationId xmlns:a16="http://schemas.microsoft.com/office/drawing/2014/main" id="{00000000-0008-0000-0100-000033010000}"/>
            </a:ext>
          </a:extLst>
        </xdr:cNvPr>
        <xdr:cNvPicPr>
          <a:picLocks noChangeAspect="1"/>
        </xdr:cNvPicPr>
      </xdr:nvPicPr>
      <xdr:blipFill>
        <a:blip xmlns:r="http://schemas.openxmlformats.org/officeDocument/2006/relationships" r:embed="rId21" cstate="print"/>
        <a:stretch>
          <a:fillRect/>
        </a:stretch>
      </xdr:blipFill>
      <xdr:spPr>
        <a:xfrm>
          <a:off x="445294" y="25565102"/>
          <a:ext cx="358961" cy="264498"/>
        </a:xfrm>
        <a:prstGeom prst="rect">
          <a:avLst/>
        </a:prstGeom>
      </xdr:spPr>
    </xdr:pic>
    <xdr:clientData fPrintsWithSheet="0"/>
  </xdr:twoCellAnchor>
  <xdr:twoCellAnchor editAs="oneCell">
    <xdr:from>
      <xdr:col>2</xdr:col>
      <xdr:colOff>626269</xdr:colOff>
      <xdr:row>704</xdr:row>
      <xdr:rowOff>19052</xdr:rowOff>
    </xdr:from>
    <xdr:to>
      <xdr:col>2</xdr:col>
      <xdr:colOff>985230</xdr:colOff>
      <xdr:row>705</xdr:row>
      <xdr:rowOff>140675</xdr:rowOff>
    </xdr:to>
    <xdr:pic macro="[0]!GotoKeyFigures">
      <xdr:nvPicPr>
        <xdr:cNvPr id="308" name="NextBtn29" descr="nextbtn37c.bmp">
          <a:extLst>
            <a:ext uri="{FF2B5EF4-FFF2-40B4-BE49-F238E27FC236}">
              <a16:creationId xmlns:a16="http://schemas.microsoft.com/office/drawing/2014/main" id="{00000000-0008-0000-0100-000034010000}"/>
            </a:ext>
          </a:extLst>
        </xdr:cNvPr>
        <xdr:cNvPicPr>
          <a:picLocks noChangeAspect="1"/>
        </xdr:cNvPicPr>
      </xdr:nvPicPr>
      <xdr:blipFill>
        <a:blip xmlns:r="http://schemas.openxmlformats.org/officeDocument/2006/relationships" r:embed="rId22" cstate="print"/>
        <a:stretch>
          <a:fillRect/>
        </a:stretch>
      </xdr:blipFill>
      <xdr:spPr>
        <a:xfrm>
          <a:off x="826294" y="25565102"/>
          <a:ext cx="358961" cy="264498"/>
        </a:xfrm>
        <a:prstGeom prst="rect">
          <a:avLst/>
        </a:prstGeom>
      </xdr:spPr>
    </xdr:pic>
    <xdr:clientData fPrintsWithSheet="0"/>
  </xdr:twoCellAnchor>
  <xdr:twoCellAnchor editAs="oneCell">
    <xdr:from>
      <xdr:col>2</xdr:col>
      <xdr:colOff>1007270</xdr:colOff>
      <xdr:row>704</xdr:row>
      <xdr:rowOff>19052</xdr:rowOff>
    </xdr:from>
    <xdr:to>
      <xdr:col>2</xdr:col>
      <xdr:colOff>1366231</xdr:colOff>
      <xdr:row>705</xdr:row>
      <xdr:rowOff>140675</xdr:rowOff>
    </xdr:to>
    <xdr:pic macro="[0]!GoHome">
      <xdr:nvPicPr>
        <xdr:cNvPr id="309" name="HomeBtn29" descr="homebtn37b.bmp">
          <a:extLst>
            <a:ext uri="{FF2B5EF4-FFF2-40B4-BE49-F238E27FC236}">
              <a16:creationId xmlns:a16="http://schemas.microsoft.com/office/drawing/2014/main" id="{00000000-0008-0000-0100-000035010000}"/>
            </a:ext>
          </a:extLst>
        </xdr:cNvPr>
        <xdr:cNvPicPr>
          <a:picLocks noChangeAspect="1"/>
        </xdr:cNvPicPr>
      </xdr:nvPicPr>
      <xdr:blipFill>
        <a:blip xmlns:r="http://schemas.openxmlformats.org/officeDocument/2006/relationships" r:embed="rId23" cstate="print"/>
        <a:stretch>
          <a:fillRect/>
        </a:stretch>
      </xdr:blipFill>
      <xdr:spPr>
        <a:xfrm>
          <a:off x="1207295" y="25565102"/>
          <a:ext cx="358961" cy="264498"/>
        </a:xfrm>
        <a:prstGeom prst="rect">
          <a:avLst/>
        </a:prstGeom>
      </xdr:spPr>
    </xdr:pic>
    <xdr:clientData fPrintsWithSheet="0"/>
  </xdr:twoCellAnchor>
  <xdr:twoCellAnchor editAs="oneCell">
    <xdr:from>
      <xdr:col>2</xdr:col>
      <xdr:colOff>1388269</xdr:colOff>
      <xdr:row>704</xdr:row>
      <xdr:rowOff>19052</xdr:rowOff>
    </xdr:from>
    <xdr:to>
      <xdr:col>2</xdr:col>
      <xdr:colOff>1748743</xdr:colOff>
      <xdr:row>705</xdr:row>
      <xdr:rowOff>141790</xdr:rowOff>
    </xdr:to>
    <xdr:pic macro="[0]!CreateCalcChart">
      <xdr:nvPicPr>
        <xdr:cNvPr id="310" name="ChartBtn29" descr="chartbtn37.bmp">
          <a:extLst>
            <a:ext uri="{FF2B5EF4-FFF2-40B4-BE49-F238E27FC236}">
              <a16:creationId xmlns:a16="http://schemas.microsoft.com/office/drawing/2014/main" id="{00000000-0008-0000-0100-000036010000}"/>
            </a:ext>
          </a:extLst>
        </xdr:cNvPr>
        <xdr:cNvPicPr>
          <a:picLocks noChangeAspect="1"/>
        </xdr:cNvPicPr>
      </xdr:nvPicPr>
      <xdr:blipFill>
        <a:blip xmlns:r="http://schemas.openxmlformats.org/officeDocument/2006/relationships" r:embed="rId24" cstate="print"/>
        <a:stretch>
          <a:fillRect/>
        </a:stretch>
      </xdr:blipFill>
      <xdr:spPr>
        <a:xfrm>
          <a:off x="1588294" y="25565102"/>
          <a:ext cx="360474" cy="265613"/>
        </a:xfrm>
        <a:prstGeom prst="rect">
          <a:avLst/>
        </a:prstGeom>
      </xdr:spPr>
    </xdr:pic>
    <xdr:clientData fPrintsWithSheet="0"/>
  </xdr:twoCellAnchor>
  <xdr:twoCellAnchor editAs="oneCell">
    <xdr:from>
      <xdr:col>2</xdr:col>
      <xdr:colOff>1769269</xdr:colOff>
      <xdr:row>704</xdr:row>
      <xdr:rowOff>19052</xdr:rowOff>
    </xdr:from>
    <xdr:to>
      <xdr:col>2</xdr:col>
      <xdr:colOff>2128230</xdr:colOff>
      <xdr:row>705</xdr:row>
      <xdr:rowOff>140675</xdr:rowOff>
    </xdr:to>
    <xdr:pic macro="[0]!ShowGuide">
      <xdr:nvPicPr>
        <xdr:cNvPr id="311" name="HelpBtn29" descr="helpbtn37c.bmp">
          <a:extLst>
            <a:ext uri="{FF2B5EF4-FFF2-40B4-BE49-F238E27FC236}">
              <a16:creationId xmlns:a16="http://schemas.microsoft.com/office/drawing/2014/main" id="{00000000-0008-0000-0100-000037010000}"/>
            </a:ext>
          </a:extLst>
        </xdr:cNvPr>
        <xdr:cNvPicPr>
          <a:picLocks noChangeAspect="1"/>
        </xdr:cNvPicPr>
      </xdr:nvPicPr>
      <xdr:blipFill>
        <a:blip xmlns:r="http://schemas.openxmlformats.org/officeDocument/2006/relationships" r:embed="rId25" cstate="print"/>
        <a:stretch>
          <a:fillRect/>
        </a:stretch>
      </xdr:blipFill>
      <xdr:spPr>
        <a:xfrm>
          <a:off x="1969294" y="25565102"/>
          <a:ext cx="358961" cy="264498"/>
        </a:xfrm>
        <a:prstGeom prst="rect">
          <a:avLst/>
        </a:prstGeom>
      </xdr:spPr>
    </xdr:pic>
    <xdr:clientData fPrintsWithSheet="0"/>
  </xdr:twoCellAnchor>
  <xdr:twoCellAnchor editAs="oneCell">
    <xdr:from>
      <xdr:col>3</xdr:col>
      <xdr:colOff>19050</xdr:colOff>
      <xdr:row>704</xdr:row>
      <xdr:rowOff>19052</xdr:rowOff>
    </xdr:from>
    <xdr:to>
      <xdr:col>3</xdr:col>
      <xdr:colOff>209550</xdr:colOff>
      <xdr:row>705</xdr:row>
      <xdr:rowOff>85727</xdr:rowOff>
    </xdr:to>
    <xdr:pic macro="[0]!DetailLevelSelected">
      <xdr:nvPicPr>
        <xdr:cNvPr id="312" name="OutlinePic05" descr="levelbtn.bmp">
          <a:extLst>
            <a:ext uri="{FF2B5EF4-FFF2-40B4-BE49-F238E27FC236}">
              <a16:creationId xmlns:a16="http://schemas.microsoft.com/office/drawing/2014/main" id="{00000000-0008-0000-0100-000038010000}"/>
            </a:ext>
          </a:extLst>
        </xdr:cNvPr>
        <xdr:cNvPicPr>
          <a:picLocks noChangeAspect="1"/>
        </xdr:cNvPicPr>
      </xdr:nvPicPr>
      <xdr:blipFill>
        <a:blip xmlns:r="http://schemas.openxmlformats.org/officeDocument/2006/relationships" r:embed="rId26" cstate="print"/>
        <a:stretch>
          <a:fillRect/>
        </a:stretch>
      </xdr:blipFill>
      <xdr:spPr>
        <a:xfrm>
          <a:off x="2654300" y="23279102"/>
          <a:ext cx="190500" cy="206375"/>
        </a:xfrm>
        <a:prstGeom prst="rect">
          <a:avLst/>
        </a:prstGeom>
      </xdr:spPr>
    </xdr:pic>
    <xdr:clientData fPrintsWithSheet="0"/>
  </xdr:twoCellAnchor>
  <xdr:twoCellAnchor editAs="oneCell">
    <xdr:from>
      <xdr:col>3</xdr:col>
      <xdr:colOff>333375</xdr:colOff>
      <xdr:row>705</xdr:row>
      <xdr:rowOff>114300</xdr:rowOff>
    </xdr:from>
    <xdr:to>
      <xdr:col>3</xdr:col>
      <xdr:colOff>609600</xdr:colOff>
      <xdr:row>706</xdr:row>
      <xdr:rowOff>161925</xdr:rowOff>
    </xdr:to>
    <xdr:pic macro="[0]!FreezeCalcSheet">
      <xdr:nvPicPr>
        <xdr:cNvPr id="313" name="btnFreeze05" descr="FreezeBtnSmallb.bmp">
          <a:extLst>
            <a:ext uri="{FF2B5EF4-FFF2-40B4-BE49-F238E27FC236}">
              <a16:creationId xmlns:a16="http://schemas.microsoft.com/office/drawing/2014/main" id="{00000000-0008-0000-0100-000039010000}"/>
            </a:ext>
          </a:extLst>
        </xdr:cNvPr>
        <xdr:cNvPicPr>
          <a:picLocks noChangeAspect="1"/>
        </xdr:cNvPicPr>
      </xdr:nvPicPr>
      <xdr:blipFill>
        <a:blip xmlns:r="http://schemas.openxmlformats.org/officeDocument/2006/relationships" r:embed="rId27" cstate="print"/>
        <a:stretch>
          <a:fillRect/>
        </a:stretch>
      </xdr:blipFill>
      <xdr:spPr>
        <a:xfrm>
          <a:off x="2714625" y="25803225"/>
          <a:ext cx="276225" cy="200025"/>
        </a:xfrm>
        <a:prstGeom prst="rect">
          <a:avLst/>
        </a:prstGeom>
      </xdr:spPr>
    </xdr:pic>
    <xdr:clientData fPrintsWithSheet="0"/>
  </xdr:twoCellAnchor>
  <xdr:twoCellAnchor editAs="oneCell">
    <xdr:from>
      <xdr:col>1</xdr:col>
      <xdr:colOff>26193</xdr:colOff>
      <xdr:row>837</xdr:row>
      <xdr:rowOff>19079</xdr:rowOff>
    </xdr:from>
    <xdr:to>
      <xdr:col>2</xdr:col>
      <xdr:colOff>223229</xdr:colOff>
      <xdr:row>839</xdr:row>
      <xdr:rowOff>1002</xdr:rowOff>
    </xdr:to>
    <xdr:pic macro="[0]!AutoVBA.PrintCurrent">
      <xdr:nvPicPr>
        <xdr:cNvPr id="314" name="PrintBtn30" descr="printbtn37.bmp">
          <a:extLst>
            <a:ext uri="{FF2B5EF4-FFF2-40B4-BE49-F238E27FC236}">
              <a16:creationId xmlns:a16="http://schemas.microsoft.com/office/drawing/2014/main" id="{00000000-0008-0000-0100-00003A010000}"/>
            </a:ext>
          </a:extLst>
        </xdr:cNvPr>
        <xdr:cNvPicPr>
          <a:picLocks noChangeAspect="1"/>
        </xdr:cNvPicPr>
      </xdr:nvPicPr>
      <xdr:blipFill>
        <a:blip xmlns:r="http://schemas.openxmlformats.org/officeDocument/2006/relationships" r:embed="rId20" cstate="print"/>
        <a:stretch>
          <a:fillRect/>
        </a:stretch>
      </xdr:blipFill>
      <xdr:spPr>
        <a:xfrm>
          <a:off x="64293" y="31099154"/>
          <a:ext cx="358961" cy="264498"/>
        </a:xfrm>
        <a:prstGeom prst="rect">
          <a:avLst/>
        </a:prstGeom>
      </xdr:spPr>
    </xdr:pic>
    <xdr:clientData fPrintsWithSheet="0"/>
  </xdr:twoCellAnchor>
  <xdr:twoCellAnchor editAs="oneCell">
    <xdr:from>
      <xdr:col>2</xdr:col>
      <xdr:colOff>245270</xdr:colOff>
      <xdr:row>837</xdr:row>
      <xdr:rowOff>19079</xdr:rowOff>
    </xdr:from>
    <xdr:to>
      <xdr:col>2</xdr:col>
      <xdr:colOff>604231</xdr:colOff>
      <xdr:row>839</xdr:row>
      <xdr:rowOff>1002</xdr:rowOff>
    </xdr:to>
    <xdr:pic macro="[0]!GotoBalanceOrCashflowTable">
      <xdr:nvPicPr>
        <xdr:cNvPr id="315" name="PrevBtn30" descr="prevbtn37c.bmp">
          <a:extLst>
            <a:ext uri="{FF2B5EF4-FFF2-40B4-BE49-F238E27FC236}">
              <a16:creationId xmlns:a16="http://schemas.microsoft.com/office/drawing/2014/main" id="{00000000-0008-0000-0100-00003B010000}"/>
            </a:ext>
          </a:extLst>
        </xdr:cNvPr>
        <xdr:cNvPicPr>
          <a:picLocks noChangeAspect="1"/>
        </xdr:cNvPicPr>
      </xdr:nvPicPr>
      <xdr:blipFill>
        <a:blip xmlns:r="http://schemas.openxmlformats.org/officeDocument/2006/relationships" r:embed="rId21" cstate="print"/>
        <a:stretch>
          <a:fillRect/>
        </a:stretch>
      </xdr:blipFill>
      <xdr:spPr>
        <a:xfrm>
          <a:off x="445295" y="31099154"/>
          <a:ext cx="358961" cy="264498"/>
        </a:xfrm>
        <a:prstGeom prst="rect">
          <a:avLst/>
        </a:prstGeom>
      </xdr:spPr>
    </xdr:pic>
    <xdr:clientData fPrintsWithSheet="0"/>
  </xdr:twoCellAnchor>
  <xdr:twoCellAnchor editAs="oneCell">
    <xdr:from>
      <xdr:col>2</xdr:col>
      <xdr:colOff>626270</xdr:colOff>
      <xdr:row>837</xdr:row>
      <xdr:rowOff>19079</xdr:rowOff>
    </xdr:from>
    <xdr:to>
      <xdr:col>2</xdr:col>
      <xdr:colOff>985231</xdr:colOff>
      <xdr:row>839</xdr:row>
      <xdr:rowOff>1002</xdr:rowOff>
    </xdr:to>
    <xdr:pic macro="[0]!AutoVBA.GotoResultTable">
      <xdr:nvPicPr>
        <xdr:cNvPr id="316" name="NextBtn30" descr="nextbtn37c.bmp">
          <a:extLst>
            <a:ext uri="{FF2B5EF4-FFF2-40B4-BE49-F238E27FC236}">
              <a16:creationId xmlns:a16="http://schemas.microsoft.com/office/drawing/2014/main" id="{00000000-0008-0000-0100-00003C010000}"/>
            </a:ext>
          </a:extLst>
        </xdr:cNvPr>
        <xdr:cNvPicPr>
          <a:picLocks noChangeAspect="1"/>
        </xdr:cNvPicPr>
      </xdr:nvPicPr>
      <xdr:blipFill>
        <a:blip xmlns:r="http://schemas.openxmlformats.org/officeDocument/2006/relationships" r:embed="rId22" cstate="print"/>
        <a:stretch>
          <a:fillRect/>
        </a:stretch>
      </xdr:blipFill>
      <xdr:spPr>
        <a:xfrm>
          <a:off x="826295" y="31099154"/>
          <a:ext cx="358961" cy="264498"/>
        </a:xfrm>
        <a:prstGeom prst="rect">
          <a:avLst/>
        </a:prstGeom>
      </xdr:spPr>
    </xdr:pic>
    <xdr:clientData fPrintsWithSheet="0"/>
  </xdr:twoCellAnchor>
  <xdr:twoCellAnchor editAs="oneCell">
    <xdr:from>
      <xdr:col>2</xdr:col>
      <xdr:colOff>1007268</xdr:colOff>
      <xdr:row>837</xdr:row>
      <xdr:rowOff>19079</xdr:rowOff>
    </xdr:from>
    <xdr:to>
      <xdr:col>2</xdr:col>
      <xdr:colOff>1366229</xdr:colOff>
      <xdr:row>839</xdr:row>
      <xdr:rowOff>1002</xdr:rowOff>
    </xdr:to>
    <xdr:pic macro="[0]!GoHome">
      <xdr:nvPicPr>
        <xdr:cNvPr id="317" name="HomeBtn30" descr="homebtn37b.bmp">
          <a:extLst>
            <a:ext uri="{FF2B5EF4-FFF2-40B4-BE49-F238E27FC236}">
              <a16:creationId xmlns:a16="http://schemas.microsoft.com/office/drawing/2014/main" id="{00000000-0008-0000-0100-00003D010000}"/>
            </a:ext>
          </a:extLst>
        </xdr:cNvPr>
        <xdr:cNvPicPr>
          <a:picLocks noChangeAspect="1"/>
        </xdr:cNvPicPr>
      </xdr:nvPicPr>
      <xdr:blipFill>
        <a:blip xmlns:r="http://schemas.openxmlformats.org/officeDocument/2006/relationships" r:embed="rId23" cstate="print"/>
        <a:stretch>
          <a:fillRect/>
        </a:stretch>
      </xdr:blipFill>
      <xdr:spPr>
        <a:xfrm>
          <a:off x="1207293" y="31099154"/>
          <a:ext cx="358961" cy="264498"/>
        </a:xfrm>
        <a:prstGeom prst="rect">
          <a:avLst/>
        </a:prstGeom>
      </xdr:spPr>
    </xdr:pic>
    <xdr:clientData fPrintsWithSheet="0"/>
  </xdr:twoCellAnchor>
  <xdr:twoCellAnchor editAs="oneCell">
    <xdr:from>
      <xdr:col>2</xdr:col>
      <xdr:colOff>1388269</xdr:colOff>
      <xdr:row>837</xdr:row>
      <xdr:rowOff>19079</xdr:rowOff>
    </xdr:from>
    <xdr:to>
      <xdr:col>2</xdr:col>
      <xdr:colOff>1748743</xdr:colOff>
      <xdr:row>839</xdr:row>
      <xdr:rowOff>2117</xdr:rowOff>
    </xdr:to>
    <xdr:pic macro="[0]!CreateCalcChart">
      <xdr:nvPicPr>
        <xdr:cNvPr id="318" name="ChartBtn30" descr="chartbtn37.bmp">
          <a:extLst>
            <a:ext uri="{FF2B5EF4-FFF2-40B4-BE49-F238E27FC236}">
              <a16:creationId xmlns:a16="http://schemas.microsoft.com/office/drawing/2014/main" id="{00000000-0008-0000-0100-00003E010000}"/>
            </a:ext>
          </a:extLst>
        </xdr:cNvPr>
        <xdr:cNvPicPr>
          <a:picLocks noChangeAspect="1"/>
        </xdr:cNvPicPr>
      </xdr:nvPicPr>
      <xdr:blipFill>
        <a:blip xmlns:r="http://schemas.openxmlformats.org/officeDocument/2006/relationships" r:embed="rId24" cstate="print"/>
        <a:stretch>
          <a:fillRect/>
        </a:stretch>
      </xdr:blipFill>
      <xdr:spPr>
        <a:xfrm>
          <a:off x="1588294" y="31099154"/>
          <a:ext cx="360474" cy="265613"/>
        </a:xfrm>
        <a:prstGeom prst="rect">
          <a:avLst/>
        </a:prstGeom>
      </xdr:spPr>
    </xdr:pic>
    <xdr:clientData fPrintsWithSheet="0"/>
  </xdr:twoCellAnchor>
  <xdr:twoCellAnchor editAs="oneCell">
    <xdr:from>
      <xdr:col>2</xdr:col>
      <xdr:colOff>1769271</xdr:colOff>
      <xdr:row>837</xdr:row>
      <xdr:rowOff>19079</xdr:rowOff>
    </xdr:from>
    <xdr:to>
      <xdr:col>2</xdr:col>
      <xdr:colOff>2128232</xdr:colOff>
      <xdr:row>839</xdr:row>
      <xdr:rowOff>1002</xdr:rowOff>
    </xdr:to>
    <xdr:pic macro="[0]!ShowGuide">
      <xdr:nvPicPr>
        <xdr:cNvPr id="319" name="HelpBtn30" descr="helpbtn37c.bmp">
          <a:extLst>
            <a:ext uri="{FF2B5EF4-FFF2-40B4-BE49-F238E27FC236}">
              <a16:creationId xmlns:a16="http://schemas.microsoft.com/office/drawing/2014/main" id="{00000000-0008-0000-0100-00003F010000}"/>
            </a:ext>
          </a:extLst>
        </xdr:cNvPr>
        <xdr:cNvPicPr>
          <a:picLocks noChangeAspect="1"/>
        </xdr:cNvPicPr>
      </xdr:nvPicPr>
      <xdr:blipFill>
        <a:blip xmlns:r="http://schemas.openxmlformats.org/officeDocument/2006/relationships" r:embed="rId25" cstate="print"/>
        <a:stretch>
          <a:fillRect/>
        </a:stretch>
      </xdr:blipFill>
      <xdr:spPr>
        <a:xfrm>
          <a:off x="1969296" y="31099154"/>
          <a:ext cx="358961" cy="264498"/>
        </a:xfrm>
        <a:prstGeom prst="rect">
          <a:avLst/>
        </a:prstGeom>
      </xdr:spPr>
    </xdr:pic>
    <xdr:clientData fPrintsWithSheet="0"/>
  </xdr:twoCellAnchor>
  <xdr:twoCellAnchor editAs="oneCell">
    <xdr:from>
      <xdr:col>3</xdr:col>
      <xdr:colOff>21430</xdr:colOff>
      <xdr:row>837</xdr:row>
      <xdr:rowOff>19077</xdr:rowOff>
    </xdr:from>
    <xdr:to>
      <xdr:col>3</xdr:col>
      <xdr:colOff>211930</xdr:colOff>
      <xdr:row>838</xdr:row>
      <xdr:rowOff>85752</xdr:rowOff>
    </xdr:to>
    <xdr:pic macro="[0]!DetailLevelSelected">
      <xdr:nvPicPr>
        <xdr:cNvPr id="320" name="OutlinePic06" descr="levelbtn.bmp">
          <a:extLst>
            <a:ext uri="{FF2B5EF4-FFF2-40B4-BE49-F238E27FC236}">
              <a16:creationId xmlns:a16="http://schemas.microsoft.com/office/drawing/2014/main" id="{00000000-0008-0000-0100-000040010000}"/>
            </a:ext>
          </a:extLst>
        </xdr:cNvPr>
        <xdr:cNvPicPr>
          <a:picLocks noChangeAspect="1"/>
        </xdr:cNvPicPr>
      </xdr:nvPicPr>
      <xdr:blipFill>
        <a:blip xmlns:r="http://schemas.openxmlformats.org/officeDocument/2006/relationships" r:embed="rId26" cstate="print"/>
        <a:stretch>
          <a:fillRect/>
        </a:stretch>
      </xdr:blipFill>
      <xdr:spPr>
        <a:xfrm>
          <a:off x="2536030" y="28251177"/>
          <a:ext cx="190500" cy="209550"/>
        </a:xfrm>
        <a:prstGeom prst="rect">
          <a:avLst/>
        </a:prstGeom>
      </xdr:spPr>
    </xdr:pic>
    <xdr:clientData fPrintsWithSheet="0"/>
  </xdr:twoCellAnchor>
  <xdr:twoCellAnchor editAs="oneCell">
    <xdr:from>
      <xdr:col>3</xdr:col>
      <xdr:colOff>338138</xdr:colOff>
      <xdr:row>838</xdr:row>
      <xdr:rowOff>114300</xdr:rowOff>
    </xdr:from>
    <xdr:to>
      <xdr:col>3</xdr:col>
      <xdr:colOff>614363</xdr:colOff>
      <xdr:row>839</xdr:row>
      <xdr:rowOff>171450</xdr:rowOff>
    </xdr:to>
    <xdr:pic macro="[0]!FreezeCalcSheet">
      <xdr:nvPicPr>
        <xdr:cNvPr id="321" name="btnFreeze06" descr="FreezeBtnSmallb.bmp">
          <a:extLst>
            <a:ext uri="{FF2B5EF4-FFF2-40B4-BE49-F238E27FC236}">
              <a16:creationId xmlns:a16="http://schemas.microsoft.com/office/drawing/2014/main" id="{00000000-0008-0000-0100-000041010000}"/>
            </a:ext>
          </a:extLst>
        </xdr:cNvPr>
        <xdr:cNvPicPr>
          <a:picLocks noChangeAspect="1"/>
        </xdr:cNvPicPr>
      </xdr:nvPicPr>
      <xdr:blipFill>
        <a:blip xmlns:r="http://schemas.openxmlformats.org/officeDocument/2006/relationships" r:embed="rId27" cstate="print"/>
        <a:stretch>
          <a:fillRect/>
        </a:stretch>
      </xdr:blipFill>
      <xdr:spPr>
        <a:xfrm>
          <a:off x="2719388" y="31337250"/>
          <a:ext cx="276225" cy="200025"/>
        </a:xfrm>
        <a:prstGeom prst="rect">
          <a:avLst/>
        </a:prstGeom>
      </xdr:spPr>
    </xdr:pic>
    <xdr:clientData fPrintsWithSheet="0"/>
  </xdr:twoCellAnchor>
  <mc:AlternateContent xmlns:mc="http://schemas.openxmlformats.org/markup-compatibility/2006">
    <mc:Choice xmlns:a14="http://schemas.microsoft.com/office/drawing/2010/main" Requires="a14">
      <xdr:twoCellAnchor editAs="oneCell">
        <xdr:from>
          <xdr:col>2</xdr:col>
          <xdr:colOff>0</xdr:colOff>
          <xdr:row>14</xdr:row>
          <xdr:rowOff>165100</xdr:rowOff>
        </xdr:from>
        <xdr:to>
          <xdr:col>2</xdr:col>
          <xdr:colOff>1600200</xdr:colOff>
          <xdr:row>16</xdr:row>
          <xdr:rowOff>44450</xdr:rowOff>
        </xdr:to>
        <xdr:sp macro="" textlink="">
          <xdr:nvSpPr>
            <xdr:cNvPr id="2049" name="chkCalcDepr"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748</xdr:row>
          <xdr:rowOff>6350</xdr:rowOff>
        </xdr:from>
        <xdr:to>
          <xdr:col>2</xdr:col>
          <xdr:colOff>1460500</xdr:colOff>
          <xdr:row>766</xdr:row>
          <xdr:rowOff>25400</xdr:rowOff>
        </xdr:to>
        <xdr:sp macro="" textlink="">
          <xdr:nvSpPr>
            <xdr:cNvPr id="2050" name="ddBalDepr008" hidden="1">
              <a:extLst>
                <a:ext uri="{63B3BB69-23CF-44E3-9099-C40C66FF867C}">
                  <a14:compatExt spid="_x0000_s2050"/>
                </a:ext>
                <a:ext uri="{FF2B5EF4-FFF2-40B4-BE49-F238E27FC236}">
                  <a16:creationId xmlns:a16="http://schemas.microsoft.com/office/drawing/2014/main" id="{00000000-0008-0000-0100-00000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933450</xdr:colOff>
          <xdr:row>765</xdr:row>
          <xdr:rowOff>0</xdr:rowOff>
        </xdr:from>
        <xdr:to>
          <xdr:col>3</xdr:col>
          <xdr:colOff>0</xdr:colOff>
          <xdr:row>767</xdr:row>
          <xdr:rowOff>31750</xdr:rowOff>
        </xdr:to>
        <xdr:sp macro="" textlink="">
          <xdr:nvSpPr>
            <xdr:cNvPr id="2051" name="ddBalDepr012" hidden="1">
              <a:extLst>
                <a:ext uri="{63B3BB69-23CF-44E3-9099-C40C66FF867C}">
                  <a14:compatExt spid="_x0000_s2051"/>
                </a:ext>
                <a:ext uri="{FF2B5EF4-FFF2-40B4-BE49-F238E27FC236}">
                  <a16:creationId xmlns:a16="http://schemas.microsoft.com/office/drawing/2014/main" id="{00000000-0008-0000-0100-00000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727</xdr:row>
          <xdr:rowOff>0</xdr:rowOff>
        </xdr:from>
        <xdr:to>
          <xdr:col>2</xdr:col>
          <xdr:colOff>1460500</xdr:colOff>
          <xdr:row>749</xdr:row>
          <xdr:rowOff>25400</xdr:rowOff>
        </xdr:to>
        <xdr:sp macro="" textlink="">
          <xdr:nvSpPr>
            <xdr:cNvPr id="2052" name="ddBalDepr004" hidden="1">
              <a:extLst>
                <a:ext uri="{63B3BB69-23CF-44E3-9099-C40C66FF867C}">
                  <a14:compatExt spid="_x0000_s2052"/>
                </a:ext>
                <a:ext uri="{FF2B5EF4-FFF2-40B4-BE49-F238E27FC236}">
                  <a16:creationId xmlns:a16="http://schemas.microsoft.com/office/drawing/2014/main" id="{00000000-0008-0000-0100-00000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209550</xdr:colOff>
          <xdr:row>7</xdr:row>
          <xdr:rowOff>19050</xdr:rowOff>
        </xdr:from>
        <xdr:to>
          <xdr:col>3</xdr:col>
          <xdr:colOff>603250</xdr:colOff>
          <xdr:row>8</xdr:row>
          <xdr:rowOff>88900</xdr:rowOff>
        </xdr:to>
        <xdr:sp macro="" textlink="">
          <xdr:nvSpPr>
            <xdr:cNvPr id="2053" name="OutlineDD01" hidden="1">
              <a:extLst>
                <a:ext uri="{63B3BB69-23CF-44E3-9099-C40C66FF867C}">
                  <a14:compatExt spid="_x0000_s2053"/>
                </a:ext>
                <a:ext uri="{FF2B5EF4-FFF2-40B4-BE49-F238E27FC236}">
                  <a16:creationId xmlns:a16="http://schemas.microsoft.com/office/drawing/2014/main" id="{00000000-0008-0000-0100-00000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209550</xdr:colOff>
          <xdr:row>436</xdr:row>
          <xdr:rowOff>19050</xdr:rowOff>
        </xdr:from>
        <xdr:to>
          <xdr:col>3</xdr:col>
          <xdr:colOff>603250</xdr:colOff>
          <xdr:row>437</xdr:row>
          <xdr:rowOff>76200</xdr:rowOff>
        </xdr:to>
        <xdr:sp macro="" textlink="">
          <xdr:nvSpPr>
            <xdr:cNvPr id="2054" name="OutlineDD02" hidden="1">
              <a:extLst>
                <a:ext uri="{63B3BB69-23CF-44E3-9099-C40C66FF867C}">
                  <a14:compatExt spid="_x0000_s2054"/>
                </a:ext>
                <a:ext uri="{FF2B5EF4-FFF2-40B4-BE49-F238E27FC236}">
                  <a16:creationId xmlns:a16="http://schemas.microsoft.com/office/drawing/2014/main" id="{00000000-0008-0000-0100-00000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209550</xdr:colOff>
          <xdr:row>534</xdr:row>
          <xdr:rowOff>19050</xdr:rowOff>
        </xdr:from>
        <xdr:to>
          <xdr:col>3</xdr:col>
          <xdr:colOff>603250</xdr:colOff>
          <xdr:row>535</xdr:row>
          <xdr:rowOff>76200</xdr:rowOff>
        </xdr:to>
        <xdr:sp macro="" textlink="">
          <xdr:nvSpPr>
            <xdr:cNvPr id="2055" name="OutlineDD03" hidden="1">
              <a:extLst>
                <a:ext uri="{63B3BB69-23CF-44E3-9099-C40C66FF867C}">
                  <a14:compatExt spid="_x0000_s2055"/>
                </a:ext>
                <a:ext uri="{FF2B5EF4-FFF2-40B4-BE49-F238E27FC236}">
                  <a16:creationId xmlns:a16="http://schemas.microsoft.com/office/drawing/2014/main" id="{00000000-0008-0000-0100-00000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209550</xdr:colOff>
          <xdr:row>622</xdr:row>
          <xdr:rowOff>19050</xdr:rowOff>
        </xdr:from>
        <xdr:to>
          <xdr:col>3</xdr:col>
          <xdr:colOff>603250</xdr:colOff>
          <xdr:row>623</xdr:row>
          <xdr:rowOff>76200</xdr:rowOff>
        </xdr:to>
        <xdr:sp macro="" textlink="">
          <xdr:nvSpPr>
            <xdr:cNvPr id="2056" name="OutlineDD04" hidden="1">
              <a:extLst>
                <a:ext uri="{63B3BB69-23CF-44E3-9099-C40C66FF867C}">
                  <a14:compatExt spid="_x0000_s2056"/>
                </a:ext>
                <a:ext uri="{FF2B5EF4-FFF2-40B4-BE49-F238E27FC236}">
                  <a16:creationId xmlns:a16="http://schemas.microsoft.com/office/drawing/2014/main" id="{00000000-0008-0000-0100-000008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209550</xdr:colOff>
          <xdr:row>704</xdr:row>
          <xdr:rowOff>19050</xdr:rowOff>
        </xdr:from>
        <xdr:to>
          <xdr:col>3</xdr:col>
          <xdr:colOff>603250</xdr:colOff>
          <xdr:row>705</xdr:row>
          <xdr:rowOff>88900</xdr:rowOff>
        </xdr:to>
        <xdr:sp macro="" textlink="">
          <xdr:nvSpPr>
            <xdr:cNvPr id="2057" name="OutlineDD05" hidden="1">
              <a:extLst>
                <a:ext uri="{63B3BB69-23CF-44E3-9099-C40C66FF867C}">
                  <a14:compatExt spid="_x0000_s2057"/>
                </a:ext>
                <a:ext uri="{FF2B5EF4-FFF2-40B4-BE49-F238E27FC236}">
                  <a16:creationId xmlns:a16="http://schemas.microsoft.com/office/drawing/2014/main" id="{00000000-0008-0000-0100-000009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6350</xdr:colOff>
          <xdr:row>335</xdr:row>
          <xdr:rowOff>6350</xdr:rowOff>
        </xdr:from>
        <xdr:to>
          <xdr:col>4</xdr:col>
          <xdr:colOff>0</xdr:colOff>
          <xdr:row>437</xdr:row>
          <xdr:rowOff>0</xdr:rowOff>
        </xdr:to>
        <xdr:sp macro="" textlink="">
          <xdr:nvSpPr>
            <xdr:cNvPr id="2058" name="ddIFRSmethod" hidden="1">
              <a:extLst>
                <a:ext uri="{63B3BB69-23CF-44E3-9099-C40C66FF867C}">
                  <a14:compatExt spid="_x0000_s2058"/>
                </a:ext>
                <a:ext uri="{FF2B5EF4-FFF2-40B4-BE49-F238E27FC236}">
                  <a16:creationId xmlns:a16="http://schemas.microsoft.com/office/drawing/2014/main" id="{00000000-0008-0000-0100-00000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348</xdr:row>
          <xdr:rowOff>0</xdr:rowOff>
        </xdr:from>
        <xdr:to>
          <xdr:col>4</xdr:col>
          <xdr:colOff>0</xdr:colOff>
          <xdr:row>437</xdr:row>
          <xdr:rowOff>6350</xdr:rowOff>
        </xdr:to>
        <xdr:sp macro="" textlink="">
          <xdr:nvSpPr>
            <xdr:cNvPr id="2059" name="ddIFRSAlloc01" hidden="1">
              <a:extLst>
                <a:ext uri="{63B3BB69-23CF-44E3-9099-C40C66FF867C}">
                  <a14:compatExt spid="_x0000_s2059"/>
                </a:ext>
                <a:ext uri="{FF2B5EF4-FFF2-40B4-BE49-F238E27FC236}">
                  <a16:creationId xmlns:a16="http://schemas.microsoft.com/office/drawing/2014/main" id="{00000000-0008-0000-0100-00000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349</xdr:row>
          <xdr:rowOff>0</xdr:rowOff>
        </xdr:from>
        <xdr:to>
          <xdr:col>2</xdr:col>
          <xdr:colOff>1460500</xdr:colOff>
          <xdr:row>437</xdr:row>
          <xdr:rowOff>0</xdr:rowOff>
        </xdr:to>
        <xdr:sp macro="" textlink="">
          <xdr:nvSpPr>
            <xdr:cNvPr id="2060" name="ddIFRSDepr01" hidden="1">
              <a:extLst>
                <a:ext uri="{63B3BB69-23CF-44E3-9099-C40C66FF867C}">
                  <a14:compatExt spid="_x0000_s2060"/>
                </a:ext>
                <a:ext uri="{FF2B5EF4-FFF2-40B4-BE49-F238E27FC236}">
                  <a16:creationId xmlns:a16="http://schemas.microsoft.com/office/drawing/2014/main" id="{00000000-0008-0000-0100-00000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351</xdr:row>
          <xdr:rowOff>0</xdr:rowOff>
        </xdr:from>
        <xdr:to>
          <xdr:col>4</xdr:col>
          <xdr:colOff>0</xdr:colOff>
          <xdr:row>437</xdr:row>
          <xdr:rowOff>6350</xdr:rowOff>
        </xdr:to>
        <xdr:sp macro="" textlink="">
          <xdr:nvSpPr>
            <xdr:cNvPr id="2061" name="ddIFRSAlloc02" hidden="1">
              <a:extLst>
                <a:ext uri="{63B3BB69-23CF-44E3-9099-C40C66FF867C}">
                  <a14:compatExt spid="_x0000_s2061"/>
                </a:ext>
                <a:ext uri="{FF2B5EF4-FFF2-40B4-BE49-F238E27FC236}">
                  <a16:creationId xmlns:a16="http://schemas.microsoft.com/office/drawing/2014/main" id="{00000000-0008-0000-0100-00000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352</xdr:row>
          <xdr:rowOff>0</xdr:rowOff>
        </xdr:from>
        <xdr:to>
          <xdr:col>2</xdr:col>
          <xdr:colOff>1460500</xdr:colOff>
          <xdr:row>437</xdr:row>
          <xdr:rowOff>0</xdr:rowOff>
        </xdr:to>
        <xdr:sp macro="" textlink="">
          <xdr:nvSpPr>
            <xdr:cNvPr id="2062" name="ddIFRSDepr02" hidden="1">
              <a:extLst>
                <a:ext uri="{63B3BB69-23CF-44E3-9099-C40C66FF867C}">
                  <a14:compatExt spid="_x0000_s2062"/>
                </a:ext>
                <a:ext uri="{FF2B5EF4-FFF2-40B4-BE49-F238E27FC236}">
                  <a16:creationId xmlns:a16="http://schemas.microsoft.com/office/drawing/2014/main" id="{00000000-0008-0000-0100-00000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354</xdr:row>
          <xdr:rowOff>0</xdr:rowOff>
        </xdr:from>
        <xdr:to>
          <xdr:col>4</xdr:col>
          <xdr:colOff>0</xdr:colOff>
          <xdr:row>437</xdr:row>
          <xdr:rowOff>6350</xdr:rowOff>
        </xdr:to>
        <xdr:sp macro="" textlink="">
          <xdr:nvSpPr>
            <xdr:cNvPr id="2063" name="ddIFRSAlloc03" hidden="1">
              <a:extLst>
                <a:ext uri="{63B3BB69-23CF-44E3-9099-C40C66FF867C}">
                  <a14:compatExt spid="_x0000_s2063"/>
                </a:ext>
                <a:ext uri="{FF2B5EF4-FFF2-40B4-BE49-F238E27FC236}">
                  <a16:creationId xmlns:a16="http://schemas.microsoft.com/office/drawing/2014/main" id="{00000000-0008-0000-0100-00000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355</xdr:row>
          <xdr:rowOff>0</xdr:rowOff>
        </xdr:from>
        <xdr:to>
          <xdr:col>2</xdr:col>
          <xdr:colOff>1460500</xdr:colOff>
          <xdr:row>437</xdr:row>
          <xdr:rowOff>0</xdr:rowOff>
        </xdr:to>
        <xdr:sp macro="" textlink="">
          <xdr:nvSpPr>
            <xdr:cNvPr id="2064" name="ddIFRSDepr03" hidden="1">
              <a:extLst>
                <a:ext uri="{63B3BB69-23CF-44E3-9099-C40C66FF867C}">
                  <a14:compatExt spid="_x0000_s2064"/>
                </a:ext>
                <a:ext uri="{FF2B5EF4-FFF2-40B4-BE49-F238E27FC236}">
                  <a16:creationId xmlns:a16="http://schemas.microsoft.com/office/drawing/2014/main" id="{00000000-0008-0000-0100-00001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357</xdr:row>
          <xdr:rowOff>0</xdr:rowOff>
        </xdr:from>
        <xdr:to>
          <xdr:col>4</xdr:col>
          <xdr:colOff>0</xdr:colOff>
          <xdr:row>437</xdr:row>
          <xdr:rowOff>6350</xdr:rowOff>
        </xdr:to>
        <xdr:sp macro="" textlink="">
          <xdr:nvSpPr>
            <xdr:cNvPr id="2065" name="ddIFRSAlloc04" hidden="1">
              <a:extLst>
                <a:ext uri="{63B3BB69-23CF-44E3-9099-C40C66FF867C}">
                  <a14:compatExt spid="_x0000_s2065"/>
                </a:ext>
                <a:ext uri="{FF2B5EF4-FFF2-40B4-BE49-F238E27FC236}">
                  <a16:creationId xmlns:a16="http://schemas.microsoft.com/office/drawing/2014/main" id="{00000000-0008-0000-0100-00001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358</xdr:row>
          <xdr:rowOff>0</xdr:rowOff>
        </xdr:from>
        <xdr:to>
          <xdr:col>2</xdr:col>
          <xdr:colOff>1460500</xdr:colOff>
          <xdr:row>437</xdr:row>
          <xdr:rowOff>0</xdr:rowOff>
        </xdr:to>
        <xdr:sp macro="" textlink="">
          <xdr:nvSpPr>
            <xdr:cNvPr id="2066" name="ddIFRSDepr04" hidden="1">
              <a:extLst>
                <a:ext uri="{63B3BB69-23CF-44E3-9099-C40C66FF867C}">
                  <a14:compatExt spid="_x0000_s2066"/>
                </a:ext>
                <a:ext uri="{FF2B5EF4-FFF2-40B4-BE49-F238E27FC236}">
                  <a16:creationId xmlns:a16="http://schemas.microsoft.com/office/drawing/2014/main" id="{00000000-0008-0000-0100-00001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360</xdr:row>
          <xdr:rowOff>0</xdr:rowOff>
        </xdr:from>
        <xdr:to>
          <xdr:col>4</xdr:col>
          <xdr:colOff>0</xdr:colOff>
          <xdr:row>437</xdr:row>
          <xdr:rowOff>6350</xdr:rowOff>
        </xdr:to>
        <xdr:sp macro="" textlink="">
          <xdr:nvSpPr>
            <xdr:cNvPr id="2067" name="ddIFRSAlloc05" hidden="1">
              <a:extLst>
                <a:ext uri="{63B3BB69-23CF-44E3-9099-C40C66FF867C}">
                  <a14:compatExt spid="_x0000_s2067"/>
                </a:ext>
                <a:ext uri="{FF2B5EF4-FFF2-40B4-BE49-F238E27FC236}">
                  <a16:creationId xmlns:a16="http://schemas.microsoft.com/office/drawing/2014/main" id="{00000000-0008-0000-0100-00001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361</xdr:row>
          <xdr:rowOff>0</xdr:rowOff>
        </xdr:from>
        <xdr:to>
          <xdr:col>2</xdr:col>
          <xdr:colOff>1460500</xdr:colOff>
          <xdr:row>437</xdr:row>
          <xdr:rowOff>0</xdr:rowOff>
        </xdr:to>
        <xdr:sp macro="" textlink="">
          <xdr:nvSpPr>
            <xdr:cNvPr id="2068" name="ddIFRSDepr05" hidden="1">
              <a:extLst>
                <a:ext uri="{63B3BB69-23CF-44E3-9099-C40C66FF867C}">
                  <a14:compatExt spid="_x0000_s2068"/>
                </a:ext>
                <a:ext uri="{FF2B5EF4-FFF2-40B4-BE49-F238E27FC236}">
                  <a16:creationId xmlns:a16="http://schemas.microsoft.com/office/drawing/2014/main" id="{00000000-0008-0000-0100-00001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363</xdr:row>
          <xdr:rowOff>0</xdr:rowOff>
        </xdr:from>
        <xdr:to>
          <xdr:col>4</xdr:col>
          <xdr:colOff>0</xdr:colOff>
          <xdr:row>437</xdr:row>
          <xdr:rowOff>6350</xdr:rowOff>
        </xdr:to>
        <xdr:sp macro="" textlink="">
          <xdr:nvSpPr>
            <xdr:cNvPr id="2069" name="ddIFRSAlloc06" hidden="1">
              <a:extLst>
                <a:ext uri="{63B3BB69-23CF-44E3-9099-C40C66FF867C}">
                  <a14:compatExt spid="_x0000_s2069"/>
                </a:ext>
                <a:ext uri="{FF2B5EF4-FFF2-40B4-BE49-F238E27FC236}">
                  <a16:creationId xmlns:a16="http://schemas.microsoft.com/office/drawing/2014/main" id="{00000000-0008-0000-0100-00001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364</xdr:row>
          <xdr:rowOff>0</xdr:rowOff>
        </xdr:from>
        <xdr:to>
          <xdr:col>2</xdr:col>
          <xdr:colOff>1460500</xdr:colOff>
          <xdr:row>437</xdr:row>
          <xdr:rowOff>0</xdr:rowOff>
        </xdr:to>
        <xdr:sp macro="" textlink="">
          <xdr:nvSpPr>
            <xdr:cNvPr id="2070" name="ddIFRSDepr06" hidden="1">
              <a:extLst>
                <a:ext uri="{63B3BB69-23CF-44E3-9099-C40C66FF867C}">
                  <a14:compatExt spid="_x0000_s2070"/>
                </a:ext>
                <a:ext uri="{FF2B5EF4-FFF2-40B4-BE49-F238E27FC236}">
                  <a16:creationId xmlns:a16="http://schemas.microsoft.com/office/drawing/2014/main" id="{00000000-0008-0000-0100-00001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366</xdr:row>
          <xdr:rowOff>0</xdr:rowOff>
        </xdr:from>
        <xdr:to>
          <xdr:col>4</xdr:col>
          <xdr:colOff>0</xdr:colOff>
          <xdr:row>437</xdr:row>
          <xdr:rowOff>6350</xdr:rowOff>
        </xdr:to>
        <xdr:sp macro="" textlink="">
          <xdr:nvSpPr>
            <xdr:cNvPr id="2071" name="ddIFRSAlloc07" hidden="1">
              <a:extLst>
                <a:ext uri="{63B3BB69-23CF-44E3-9099-C40C66FF867C}">
                  <a14:compatExt spid="_x0000_s2071"/>
                </a:ext>
                <a:ext uri="{FF2B5EF4-FFF2-40B4-BE49-F238E27FC236}">
                  <a16:creationId xmlns:a16="http://schemas.microsoft.com/office/drawing/2014/main" id="{00000000-0008-0000-0100-00001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367</xdr:row>
          <xdr:rowOff>0</xdr:rowOff>
        </xdr:from>
        <xdr:to>
          <xdr:col>2</xdr:col>
          <xdr:colOff>1460500</xdr:colOff>
          <xdr:row>437</xdr:row>
          <xdr:rowOff>0</xdr:rowOff>
        </xdr:to>
        <xdr:sp macro="" textlink="">
          <xdr:nvSpPr>
            <xdr:cNvPr id="2072" name="ddIFRSDepr07" hidden="1">
              <a:extLst>
                <a:ext uri="{63B3BB69-23CF-44E3-9099-C40C66FF867C}">
                  <a14:compatExt spid="_x0000_s2072"/>
                </a:ext>
                <a:ext uri="{FF2B5EF4-FFF2-40B4-BE49-F238E27FC236}">
                  <a16:creationId xmlns:a16="http://schemas.microsoft.com/office/drawing/2014/main" id="{00000000-0008-0000-0100-000018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369</xdr:row>
          <xdr:rowOff>0</xdr:rowOff>
        </xdr:from>
        <xdr:to>
          <xdr:col>4</xdr:col>
          <xdr:colOff>0</xdr:colOff>
          <xdr:row>437</xdr:row>
          <xdr:rowOff>6350</xdr:rowOff>
        </xdr:to>
        <xdr:sp macro="" textlink="">
          <xdr:nvSpPr>
            <xdr:cNvPr id="2073" name="ddIFRSAlloc08" hidden="1">
              <a:extLst>
                <a:ext uri="{63B3BB69-23CF-44E3-9099-C40C66FF867C}">
                  <a14:compatExt spid="_x0000_s2073"/>
                </a:ext>
                <a:ext uri="{FF2B5EF4-FFF2-40B4-BE49-F238E27FC236}">
                  <a16:creationId xmlns:a16="http://schemas.microsoft.com/office/drawing/2014/main" id="{00000000-0008-0000-0100-000019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370</xdr:row>
          <xdr:rowOff>0</xdr:rowOff>
        </xdr:from>
        <xdr:to>
          <xdr:col>2</xdr:col>
          <xdr:colOff>1460500</xdr:colOff>
          <xdr:row>437</xdr:row>
          <xdr:rowOff>0</xdr:rowOff>
        </xdr:to>
        <xdr:sp macro="" textlink="">
          <xdr:nvSpPr>
            <xdr:cNvPr id="2074" name="ddIFRSDepr08" hidden="1">
              <a:extLst>
                <a:ext uri="{63B3BB69-23CF-44E3-9099-C40C66FF867C}">
                  <a14:compatExt spid="_x0000_s2074"/>
                </a:ext>
                <a:ext uri="{FF2B5EF4-FFF2-40B4-BE49-F238E27FC236}">
                  <a16:creationId xmlns:a16="http://schemas.microsoft.com/office/drawing/2014/main" id="{00000000-0008-0000-0100-00001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372</xdr:row>
          <xdr:rowOff>0</xdr:rowOff>
        </xdr:from>
        <xdr:to>
          <xdr:col>4</xdr:col>
          <xdr:colOff>0</xdr:colOff>
          <xdr:row>437</xdr:row>
          <xdr:rowOff>6350</xdr:rowOff>
        </xdr:to>
        <xdr:sp macro="" textlink="">
          <xdr:nvSpPr>
            <xdr:cNvPr id="2075" name="ddIFRSAlloc09" hidden="1">
              <a:extLst>
                <a:ext uri="{63B3BB69-23CF-44E3-9099-C40C66FF867C}">
                  <a14:compatExt spid="_x0000_s2075"/>
                </a:ext>
                <a:ext uri="{FF2B5EF4-FFF2-40B4-BE49-F238E27FC236}">
                  <a16:creationId xmlns:a16="http://schemas.microsoft.com/office/drawing/2014/main" id="{00000000-0008-0000-0100-00001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373</xdr:row>
          <xdr:rowOff>0</xdr:rowOff>
        </xdr:from>
        <xdr:to>
          <xdr:col>2</xdr:col>
          <xdr:colOff>1460500</xdr:colOff>
          <xdr:row>437</xdr:row>
          <xdr:rowOff>0</xdr:rowOff>
        </xdr:to>
        <xdr:sp macro="" textlink="">
          <xdr:nvSpPr>
            <xdr:cNvPr id="2076" name="ddIFRSDepr09" hidden="1">
              <a:extLst>
                <a:ext uri="{63B3BB69-23CF-44E3-9099-C40C66FF867C}">
                  <a14:compatExt spid="_x0000_s2076"/>
                </a:ext>
                <a:ext uri="{FF2B5EF4-FFF2-40B4-BE49-F238E27FC236}">
                  <a16:creationId xmlns:a16="http://schemas.microsoft.com/office/drawing/2014/main" id="{00000000-0008-0000-0100-00001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375</xdr:row>
          <xdr:rowOff>0</xdr:rowOff>
        </xdr:from>
        <xdr:to>
          <xdr:col>4</xdr:col>
          <xdr:colOff>0</xdr:colOff>
          <xdr:row>437</xdr:row>
          <xdr:rowOff>6350</xdr:rowOff>
        </xdr:to>
        <xdr:sp macro="" textlink="">
          <xdr:nvSpPr>
            <xdr:cNvPr id="2077" name="ddIFRSAlloc10" hidden="1">
              <a:extLst>
                <a:ext uri="{63B3BB69-23CF-44E3-9099-C40C66FF867C}">
                  <a14:compatExt spid="_x0000_s2077"/>
                </a:ext>
                <a:ext uri="{FF2B5EF4-FFF2-40B4-BE49-F238E27FC236}">
                  <a16:creationId xmlns:a16="http://schemas.microsoft.com/office/drawing/2014/main" id="{00000000-0008-0000-0100-00001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376</xdr:row>
          <xdr:rowOff>0</xdr:rowOff>
        </xdr:from>
        <xdr:to>
          <xdr:col>2</xdr:col>
          <xdr:colOff>1460500</xdr:colOff>
          <xdr:row>437</xdr:row>
          <xdr:rowOff>0</xdr:rowOff>
        </xdr:to>
        <xdr:sp macro="" textlink="">
          <xdr:nvSpPr>
            <xdr:cNvPr id="2078" name="ddIFRSDepr10" hidden="1">
              <a:extLst>
                <a:ext uri="{63B3BB69-23CF-44E3-9099-C40C66FF867C}">
                  <a14:compatExt spid="_x0000_s2078"/>
                </a:ext>
                <a:ext uri="{FF2B5EF4-FFF2-40B4-BE49-F238E27FC236}">
                  <a16:creationId xmlns:a16="http://schemas.microsoft.com/office/drawing/2014/main" id="{00000000-0008-0000-0100-00001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378</xdr:row>
          <xdr:rowOff>0</xdr:rowOff>
        </xdr:from>
        <xdr:to>
          <xdr:col>4</xdr:col>
          <xdr:colOff>0</xdr:colOff>
          <xdr:row>437</xdr:row>
          <xdr:rowOff>6350</xdr:rowOff>
        </xdr:to>
        <xdr:sp macro="" textlink="">
          <xdr:nvSpPr>
            <xdr:cNvPr id="2079" name="ddIFRSAlloc11" hidden="1">
              <a:extLst>
                <a:ext uri="{63B3BB69-23CF-44E3-9099-C40C66FF867C}">
                  <a14:compatExt spid="_x0000_s2079"/>
                </a:ext>
                <a:ext uri="{FF2B5EF4-FFF2-40B4-BE49-F238E27FC236}">
                  <a16:creationId xmlns:a16="http://schemas.microsoft.com/office/drawing/2014/main" id="{00000000-0008-0000-0100-00001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379</xdr:row>
          <xdr:rowOff>0</xdr:rowOff>
        </xdr:from>
        <xdr:to>
          <xdr:col>2</xdr:col>
          <xdr:colOff>1460500</xdr:colOff>
          <xdr:row>437</xdr:row>
          <xdr:rowOff>0</xdr:rowOff>
        </xdr:to>
        <xdr:sp macro="" textlink="">
          <xdr:nvSpPr>
            <xdr:cNvPr id="2080" name="ddIFRSDepr11" hidden="1">
              <a:extLst>
                <a:ext uri="{63B3BB69-23CF-44E3-9099-C40C66FF867C}">
                  <a14:compatExt spid="_x0000_s2080"/>
                </a:ext>
                <a:ext uri="{FF2B5EF4-FFF2-40B4-BE49-F238E27FC236}">
                  <a16:creationId xmlns:a16="http://schemas.microsoft.com/office/drawing/2014/main" id="{00000000-0008-0000-0100-00002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381</xdr:row>
          <xdr:rowOff>0</xdr:rowOff>
        </xdr:from>
        <xdr:to>
          <xdr:col>4</xdr:col>
          <xdr:colOff>0</xdr:colOff>
          <xdr:row>437</xdr:row>
          <xdr:rowOff>6350</xdr:rowOff>
        </xdr:to>
        <xdr:sp macro="" textlink="">
          <xdr:nvSpPr>
            <xdr:cNvPr id="2081" name="ddIFRSAlloc12" hidden="1">
              <a:extLst>
                <a:ext uri="{63B3BB69-23CF-44E3-9099-C40C66FF867C}">
                  <a14:compatExt spid="_x0000_s2081"/>
                </a:ext>
                <a:ext uri="{FF2B5EF4-FFF2-40B4-BE49-F238E27FC236}">
                  <a16:creationId xmlns:a16="http://schemas.microsoft.com/office/drawing/2014/main" id="{00000000-0008-0000-0100-00002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382</xdr:row>
          <xdr:rowOff>0</xdr:rowOff>
        </xdr:from>
        <xdr:to>
          <xdr:col>2</xdr:col>
          <xdr:colOff>1460500</xdr:colOff>
          <xdr:row>437</xdr:row>
          <xdr:rowOff>0</xdr:rowOff>
        </xdr:to>
        <xdr:sp macro="" textlink="">
          <xdr:nvSpPr>
            <xdr:cNvPr id="2082" name="ddIFRSDepr12" hidden="1">
              <a:extLst>
                <a:ext uri="{63B3BB69-23CF-44E3-9099-C40C66FF867C}">
                  <a14:compatExt spid="_x0000_s2082"/>
                </a:ext>
                <a:ext uri="{FF2B5EF4-FFF2-40B4-BE49-F238E27FC236}">
                  <a16:creationId xmlns:a16="http://schemas.microsoft.com/office/drawing/2014/main" id="{00000000-0008-0000-0100-00002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715</xdr:row>
          <xdr:rowOff>0</xdr:rowOff>
        </xdr:from>
        <xdr:to>
          <xdr:col>2</xdr:col>
          <xdr:colOff>1460500</xdr:colOff>
          <xdr:row>749</xdr:row>
          <xdr:rowOff>25400</xdr:rowOff>
        </xdr:to>
        <xdr:sp macro="" textlink="">
          <xdr:nvSpPr>
            <xdr:cNvPr id="2083" name="ddBalDepr001" hidden="1">
              <a:extLst>
                <a:ext uri="{63B3BB69-23CF-44E3-9099-C40C66FF867C}">
                  <a14:compatExt spid="_x0000_s2083"/>
                </a:ext>
                <a:ext uri="{FF2B5EF4-FFF2-40B4-BE49-F238E27FC236}">
                  <a16:creationId xmlns:a16="http://schemas.microsoft.com/office/drawing/2014/main" id="{00000000-0008-0000-0100-00002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719</xdr:row>
          <xdr:rowOff>0</xdr:rowOff>
        </xdr:from>
        <xdr:to>
          <xdr:col>2</xdr:col>
          <xdr:colOff>1460500</xdr:colOff>
          <xdr:row>749</xdr:row>
          <xdr:rowOff>25400</xdr:rowOff>
        </xdr:to>
        <xdr:sp macro="" textlink="">
          <xdr:nvSpPr>
            <xdr:cNvPr id="2084" name="ddBalDepr002" hidden="1">
              <a:extLst>
                <a:ext uri="{63B3BB69-23CF-44E3-9099-C40C66FF867C}">
                  <a14:compatExt spid="_x0000_s2084"/>
                </a:ext>
                <a:ext uri="{FF2B5EF4-FFF2-40B4-BE49-F238E27FC236}">
                  <a16:creationId xmlns:a16="http://schemas.microsoft.com/office/drawing/2014/main" id="{00000000-0008-0000-0100-00002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732</xdr:row>
          <xdr:rowOff>6350</xdr:rowOff>
        </xdr:from>
        <xdr:to>
          <xdr:col>2</xdr:col>
          <xdr:colOff>1460500</xdr:colOff>
          <xdr:row>766</xdr:row>
          <xdr:rowOff>25400</xdr:rowOff>
        </xdr:to>
        <xdr:sp macro="" textlink="">
          <xdr:nvSpPr>
            <xdr:cNvPr id="2085" name="ddBalDepr005" hidden="1">
              <a:extLst>
                <a:ext uri="{63B3BB69-23CF-44E3-9099-C40C66FF867C}">
                  <a14:compatExt spid="_x0000_s2085"/>
                </a:ext>
                <a:ext uri="{FF2B5EF4-FFF2-40B4-BE49-F238E27FC236}">
                  <a16:creationId xmlns:a16="http://schemas.microsoft.com/office/drawing/2014/main" id="{00000000-0008-0000-0100-00002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736</xdr:row>
          <xdr:rowOff>6350</xdr:rowOff>
        </xdr:from>
        <xdr:to>
          <xdr:col>2</xdr:col>
          <xdr:colOff>1460500</xdr:colOff>
          <xdr:row>766</xdr:row>
          <xdr:rowOff>25400</xdr:rowOff>
        </xdr:to>
        <xdr:sp macro="" textlink="">
          <xdr:nvSpPr>
            <xdr:cNvPr id="2086" name="ddBalDepr006" hidden="1">
              <a:extLst>
                <a:ext uri="{63B3BB69-23CF-44E3-9099-C40C66FF867C}">
                  <a14:compatExt spid="_x0000_s2086"/>
                </a:ext>
                <a:ext uri="{FF2B5EF4-FFF2-40B4-BE49-F238E27FC236}">
                  <a16:creationId xmlns:a16="http://schemas.microsoft.com/office/drawing/2014/main" id="{00000000-0008-0000-0100-00002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740</xdr:row>
          <xdr:rowOff>6350</xdr:rowOff>
        </xdr:from>
        <xdr:to>
          <xdr:col>2</xdr:col>
          <xdr:colOff>1460500</xdr:colOff>
          <xdr:row>766</xdr:row>
          <xdr:rowOff>25400</xdr:rowOff>
        </xdr:to>
        <xdr:sp macro="" textlink="">
          <xdr:nvSpPr>
            <xdr:cNvPr id="2087" name="ddBalDepr007" hidden="1">
              <a:extLst>
                <a:ext uri="{63B3BB69-23CF-44E3-9099-C40C66FF867C}">
                  <a14:compatExt spid="_x0000_s2087"/>
                </a:ext>
                <a:ext uri="{FF2B5EF4-FFF2-40B4-BE49-F238E27FC236}">
                  <a16:creationId xmlns:a16="http://schemas.microsoft.com/office/drawing/2014/main" id="{00000000-0008-0000-0100-00002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933450</xdr:colOff>
          <xdr:row>753</xdr:row>
          <xdr:rowOff>0</xdr:rowOff>
        </xdr:from>
        <xdr:to>
          <xdr:col>3</xdr:col>
          <xdr:colOff>0</xdr:colOff>
          <xdr:row>767</xdr:row>
          <xdr:rowOff>31750</xdr:rowOff>
        </xdr:to>
        <xdr:sp macro="" textlink="">
          <xdr:nvSpPr>
            <xdr:cNvPr id="2088" name="ddBalDepr009" hidden="1">
              <a:extLst>
                <a:ext uri="{63B3BB69-23CF-44E3-9099-C40C66FF867C}">
                  <a14:compatExt spid="_x0000_s2088"/>
                </a:ext>
                <a:ext uri="{FF2B5EF4-FFF2-40B4-BE49-F238E27FC236}">
                  <a16:creationId xmlns:a16="http://schemas.microsoft.com/office/drawing/2014/main" id="{00000000-0008-0000-0100-000028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933450</xdr:colOff>
          <xdr:row>757</xdr:row>
          <xdr:rowOff>0</xdr:rowOff>
        </xdr:from>
        <xdr:to>
          <xdr:col>3</xdr:col>
          <xdr:colOff>0</xdr:colOff>
          <xdr:row>767</xdr:row>
          <xdr:rowOff>31750</xdr:rowOff>
        </xdr:to>
        <xdr:sp macro="" textlink="">
          <xdr:nvSpPr>
            <xdr:cNvPr id="2089" name="ddBalDepr010" hidden="1">
              <a:extLst>
                <a:ext uri="{63B3BB69-23CF-44E3-9099-C40C66FF867C}">
                  <a14:compatExt spid="_x0000_s2089"/>
                </a:ext>
                <a:ext uri="{FF2B5EF4-FFF2-40B4-BE49-F238E27FC236}">
                  <a16:creationId xmlns:a16="http://schemas.microsoft.com/office/drawing/2014/main" id="{00000000-0008-0000-0100-000029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933450</xdr:colOff>
          <xdr:row>761</xdr:row>
          <xdr:rowOff>0</xdr:rowOff>
        </xdr:from>
        <xdr:to>
          <xdr:col>3</xdr:col>
          <xdr:colOff>0</xdr:colOff>
          <xdr:row>767</xdr:row>
          <xdr:rowOff>31750</xdr:rowOff>
        </xdr:to>
        <xdr:sp macro="" textlink="">
          <xdr:nvSpPr>
            <xdr:cNvPr id="2090" name="ddBalDepr011" hidden="1">
              <a:extLst>
                <a:ext uri="{63B3BB69-23CF-44E3-9099-C40C66FF867C}">
                  <a14:compatExt spid="_x0000_s2090"/>
                </a:ext>
                <a:ext uri="{FF2B5EF4-FFF2-40B4-BE49-F238E27FC236}">
                  <a16:creationId xmlns:a16="http://schemas.microsoft.com/office/drawing/2014/main" id="{00000000-0008-0000-0100-00002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723</xdr:row>
          <xdr:rowOff>0</xdr:rowOff>
        </xdr:from>
        <xdr:to>
          <xdr:col>2</xdr:col>
          <xdr:colOff>1460500</xdr:colOff>
          <xdr:row>749</xdr:row>
          <xdr:rowOff>25400</xdr:rowOff>
        </xdr:to>
        <xdr:sp macro="" textlink="">
          <xdr:nvSpPr>
            <xdr:cNvPr id="2091" name="ddBalDepr003" hidden="1">
              <a:extLst>
                <a:ext uri="{63B3BB69-23CF-44E3-9099-C40C66FF867C}">
                  <a14:compatExt spid="_x0000_s2091"/>
                </a:ext>
                <a:ext uri="{FF2B5EF4-FFF2-40B4-BE49-F238E27FC236}">
                  <a16:creationId xmlns:a16="http://schemas.microsoft.com/office/drawing/2014/main" id="{00000000-0008-0000-0100-00002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209550</xdr:colOff>
          <xdr:row>837</xdr:row>
          <xdr:rowOff>19050</xdr:rowOff>
        </xdr:from>
        <xdr:to>
          <xdr:col>3</xdr:col>
          <xdr:colOff>603250</xdr:colOff>
          <xdr:row>838</xdr:row>
          <xdr:rowOff>88900</xdr:rowOff>
        </xdr:to>
        <xdr:sp macro="" textlink="">
          <xdr:nvSpPr>
            <xdr:cNvPr id="2092" name="OutlineDD06" hidden="1">
              <a:extLst>
                <a:ext uri="{63B3BB69-23CF-44E3-9099-C40C66FF867C}">
                  <a14:compatExt spid="_x0000_s2092"/>
                </a:ext>
                <a:ext uri="{FF2B5EF4-FFF2-40B4-BE49-F238E27FC236}">
                  <a16:creationId xmlns:a16="http://schemas.microsoft.com/office/drawing/2014/main" id="{00000000-0008-0000-0100-00002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744</xdr:row>
          <xdr:rowOff>6350</xdr:rowOff>
        </xdr:from>
        <xdr:to>
          <xdr:col>2</xdr:col>
          <xdr:colOff>1460500</xdr:colOff>
          <xdr:row>766</xdr:row>
          <xdr:rowOff>25400</xdr:rowOff>
        </xdr:to>
        <xdr:sp macro="" textlink="">
          <xdr:nvSpPr>
            <xdr:cNvPr id="2093" name="ddBalDepr013" hidden="1">
              <a:extLst>
                <a:ext uri="{63B3BB69-23CF-44E3-9099-C40C66FF867C}">
                  <a14:compatExt spid="_x0000_s2093"/>
                </a:ext>
                <a:ext uri="{FF2B5EF4-FFF2-40B4-BE49-F238E27FC236}">
                  <a16:creationId xmlns:a16="http://schemas.microsoft.com/office/drawing/2014/main" id="{00000000-0008-0000-0100-00002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6</xdr:col>
      <xdr:colOff>2238375</xdr:colOff>
      <xdr:row>2</xdr:row>
      <xdr:rowOff>26194</xdr:rowOff>
    </xdr:from>
    <xdr:to>
      <xdr:col>6</xdr:col>
      <xdr:colOff>2390775</xdr:colOff>
      <xdr:row>2</xdr:row>
      <xdr:rowOff>169069</xdr:rowOff>
    </xdr:to>
    <xdr:pic macro="[0]!ElimShowDD">
      <xdr:nvPicPr>
        <xdr:cNvPr id="2" name="btnEliminations" descr="showhidebtn">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238375" y="350044"/>
          <a:ext cx="152400" cy="142875"/>
        </a:xfrm>
        <a:prstGeom prst="rect">
          <a:avLst/>
        </a:prstGeom>
        <a:noFill/>
        <a:ln w="9525">
          <a:noFill/>
          <a:miter lim="800000"/>
          <a:headEnd/>
          <a:tailEnd/>
        </a:ln>
      </xdr:spPr>
    </xdr:pic>
    <xdr:clientData fPrintsWithSheet="0"/>
  </xdr:twoCellAnchor>
  <xdr:twoCellAnchor editAs="oneCell">
    <xdr:from>
      <xdr:col>6</xdr:col>
      <xdr:colOff>2076450</xdr:colOff>
      <xdr:row>2</xdr:row>
      <xdr:rowOff>26194</xdr:rowOff>
    </xdr:from>
    <xdr:to>
      <xdr:col>6</xdr:col>
      <xdr:colOff>2228871</xdr:colOff>
      <xdr:row>2</xdr:row>
      <xdr:rowOff>169089</xdr:rowOff>
    </xdr:to>
    <xdr:pic macro="[0]!ElimGotoCalcSheetRow">
      <xdr:nvPicPr>
        <xdr:cNvPr id="7" name="btnGotoCalcRow" descr="GotoSourceRowButton2.png">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2" cstate="print"/>
        <a:stretch>
          <a:fillRect/>
        </a:stretch>
      </xdr:blipFill>
      <xdr:spPr>
        <a:xfrm>
          <a:off x="2076450" y="350044"/>
          <a:ext cx="152421" cy="142895"/>
        </a:xfrm>
        <a:prstGeom prst="rect">
          <a:avLst/>
        </a:prstGeom>
      </xdr:spPr>
    </xdr:pic>
    <xdr:clientData fPrintsWithSheet="0"/>
  </xdr:twoCellAnchor>
  <xdr:twoCellAnchor editAs="oneCell">
    <xdr:from>
      <xdr:col>6</xdr:col>
      <xdr:colOff>28576</xdr:colOff>
      <xdr:row>0</xdr:row>
      <xdr:rowOff>30958</xdr:rowOff>
    </xdr:from>
    <xdr:to>
      <xdr:col>6</xdr:col>
      <xdr:colOff>387537</xdr:colOff>
      <xdr:row>1</xdr:row>
      <xdr:rowOff>133531</xdr:rowOff>
    </xdr:to>
    <xdr:pic macro="[0]!AutoVBA.PrintCurrent">
      <xdr:nvPicPr>
        <xdr:cNvPr id="8" name="PrintBtnElim" descr="printbtn37.bmp">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3" cstate="print"/>
        <a:stretch>
          <a:fillRect/>
        </a:stretch>
      </xdr:blipFill>
      <xdr:spPr>
        <a:xfrm>
          <a:off x="28576" y="30958"/>
          <a:ext cx="358961" cy="264498"/>
        </a:xfrm>
        <a:prstGeom prst="rect">
          <a:avLst/>
        </a:prstGeom>
      </xdr:spPr>
    </xdr:pic>
    <xdr:clientData fPrintsWithSheet="0"/>
  </xdr:twoCellAnchor>
  <xdr:twoCellAnchor editAs="oneCell">
    <xdr:from>
      <xdr:col>6</xdr:col>
      <xdr:colOff>409574</xdr:colOff>
      <xdr:row>0</xdr:row>
      <xdr:rowOff>30958</xdr:rowOff>
    </xdr:from>
    <xdr:to>
      <xdr:col>6</xdr:col>
      <xdr:colOff>768535</xdr:colOff>
      <xdr:row>1</xdr:row>
      <xdr:rowOff>133531</xdr:rowOff>
    </xdr:to>
    <xdr:pic macro="[0]!GotoPrevSheet">
      <xdr:nvPicPr>
        <xdr:cNvPr id="9" name="PrevBtnElim" descr="prevbtn37c.bmp">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4" cstate="print"/>
        <a:stretch>
          <a:fillRect/>
        </a:stretch>
      </xdr:blipFill>
      <xdr:spPr>
        <a:xfrm>
          <a:off x="409574" y="30958"/>
          <a:ext cx="358961" cy="264498"/>
        </a:xfrm>
        <a:prstGeom prst="rect">
          <a:avLst/>
        </a:prstGeom>
      </xdr:spPr>
    </xdr:pic>
    <xdr:clientData fPrintsWithSheet="0"/>
  </xdr:twoCellAnchor>
  <xdr:twoCellAnchor editAs="oneCell">
    <xdr:from>
      <xdr:col>6</xdr:col>
      <xdr:colOff>790577</xdr:colOff>
      <xdr:row>0</xdr:row>
      <xdr:rowOff>30958</xdr:rowOff>
    </xdr:from>
    <xdr:to>
      <xdr:col>6</xdr:col>
      <xdr:colOff>1149538</xdr:colOff>
      <xdr:row>1</xdr:row>
      <xdr:rowOff>133531</xdr:rowOff>
    </xdr:to>
    <xdr:pic macro="[0]!GotoNextSheet">
      <xdr:nvPicPr>
        <xdr:cNvPr id="10" name="NextBtnElim" descr="nextbtn37c.bmp">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5" cstate="print"/>
        <a:stretch>
          <a:fillRect/>
        </a:stretch>
      </xdr:blipFill>
      <xdr:spPr>
        <a:xfrm>
          <a:off x="790577" y="30958"/>
          <a:ext cx="358961" cy="264498"/>
        </a:xfrm>
        <a:prstGeom prst="rect">
          <a:avLst/>
        </a:prstGeom>
      </xdr:spPr>
    </xdr:pic>
    <xdr:clientData fPrintsWithSheet="0"/>
  </xdr:twoCellAnchor>
  <xdr:twoCellAnchor editAs="oneCell">
    <xdr:from>
      <xdr:col>6</xdr:col>
      <xdr:colOff>1171577</xdr:colOff>
      <xdr:row>0</xdr:row>
      <xdr:rowOff>30958</xdr:rowOff>
    </xdr:from>
    <xdr:to>
      <xdr:col>6</xdr:col>
      <xdr:colOff>1530538</xdr:colOff>
      <xdr:row>1</xdr:row>
      <xdr:rowOff>133531</xdr:rowOff>
    </xdr:to>
    <xdr:pic macro="[0]!GoHome">
      <xdr:nvPicPr>
        <xdr:cNvPr id="11" name="HomeBtnElim" descr="homebtn37b.bmp">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6" cstate="print"/>
        <a:stretch>
          <a:fillRect/>
        </a:stretch>
      </xdr:blipFill>
      <xdr:spPr>
        <a:xfrm>
          <a:off x="1171577" y="30958"/>
          <a:ext cx="358961" cy="264498"/>
        </a:xfrm>
        <a:prstGeom prst="rect">
          <a:avLst/>
        </a:prstGeom>
      </xdr:spPr>
    </xdr:pic>
    <xdr:clientData fPrintsWithSheet="0"/>
  </xdr:twoCellAnchor>
  <mc:AlternateContent xmlns:mc="http://schemas.openxmlformats.org/markup-compatibility/2006">
    <mc:Choice xmlns:a14="http://schemas.microsoft.com/office/drawing/2010/main" Requires="a14">
      <xdr:twoCellAnchor editAs="oneCell">
        <xdr:from>
          <xdr:col>6</xdr:col>
          <xdr:colOff>1543238</xdr:colOff>
          <xdr:row>0</xdr:row>
          <xdr:rowOff>12700</xdr:rowOff>
        </xdr:from>
        <xdr:to>
          <xdr:col>11</xdr:col>
          <xdr:colOff>781238</xdr:colOff>
          <xdr:row>1</xdr:row>
          <xdr:rowOff>88900</xdr:rowOff>
        </xdr:to>
        <xdr:sp macro="" textlink="">
          <xdr:nvSpPr>
            <xdr:cNvPr id="7169" name="chkElimGroups" hidden="1">
              <a:extLst>
                <a:ext uri="{63B3BB69-23CF-44E3-9099-C40C66FF867C}">
                  <a14:compatExt spid="_x0000_s7169"/>
                </a:ext>
                <a:ext uri="{FF2B5EF4-FFF2-40B4-BE49-F238E27FC236}">
                  <a16:creationId xmlns:a16="http://schemas.microsoft.com/office/drawing/2014/main" id="{00000000-0008-0000-02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Grouping</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editAs="absolute">
    <xdr:from>
      <xdr:col>3</xdr:col>
      <xdr:colOff>1968500</xdr:colOff>
      <xdr:row>0</xdr:row>
      <xdr:rowOff>28575</xdr:rowOff>
    </xdr:from>
    <xdr:to>
      <xdr:col>3</xdr:col>
      <xdr:colOff>2149475</xdr:colOff>
      <xdr:row>0</xdr:row>
      <xdr:rowOff>200025</xdr:rowOff>
    </xdr:to>
    <xdr:pic macro="[0]!AutoVBA.ToResult1">
      <xdr:nvPicPr>
        <xdr:cNvPr id="7" name="Btn1" descr="btn1">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654300" y="28575"/>
          <a:ext cx="180975" cy="171450"/>
        </a:xfrm>
        <a:prstGeom prst="rect">
          <a:avLst/>
        </a:prstGeom>
        <a:noFill/>
        <a:ln w="9525">
          <a:noFill/>
          <a:miter lim="800000"/>
          <a:headEnd/>
          <a:tailEnd/>
        </a:ln>
      </xdr:spPr>
    </xdr:pic>
    <xdr:clientData fPrintsWithSheet="0"/>
  </xdr:twoCellAnchor>
  <xdr:twoCellAnchor editAs="absolute">
    <xdr:from>
      <xdr:col>3</xdr:col>
      <xdr:colOff>2393950</xdr:colOff>
      <xdr:row>0</xdr:row>
      <xdr:rowOff>28575</xdr:rowOff>
    </xdr:from>
    <xdr:to>
      <xdr:col>4</xdr:col>
      <xdr:colOff>79375</xdr:colOff>
      <xdr:row>0</xdr:row>
      <xdr:rowOff>200025</xdr:rowOff>
    </xdr:to>
    <xdr:pic macro="[0]!AutoVBA.ToResult3">
      <xdr:nvPicPr>
        <xdr:cNvPr id="8" name="Btn3" descr="btn3">
          <a:extLst>
            <a:ext uri="{FF2B5EF4-FFF2-40B4-BE49-F238E27FC236}">
              <a16:creationId xmlns:a16="http://schemas.microsoft.com/office/drawing/2014/main" id="{00000000-0008-0000-0300-000008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111500" y="28575"/>
          <a:ext cx="180975" cy="171450"/>
        </a:xfrm>
        <a:prstGeom prst="rect">
          <a:avLst/>
        </a:prstGeom>
        <a:noFill/>
        <a:ln w="9525">
          <a:noFill/>
          <a:miter lim="800000"/>
          <a:headEnd/>
          <a:tailEnd/>
        </a:ln>
      </xdr:spPr>
    </xdr:pic>
    <xdr:clientData fPrintsWithSheet="0"/>
  </xdr:twoCellAnchor>
  <xdr:twoCellAnchor editAs="absolute">
    <xdr:from>
      <xdr:col>4</xdr:col>
      <xdr:colOff>111125</xdr:colOff>
      <xdr:row>0</xdr:row>
      <xdr:rowOff>28575</xdr:rowOff>
    </xdr:from>
    <xdr:to>
      <xdr:col>4</xdr:col>
      <xdr:colOff>292100</xdr:colOff>
      <xdr:row>0</xdr:row>
      <xdr:rowOff>200025</xdr:rowOff>
    </xdr:to>
    <xdr:pic macro="[0]!AutoVBA.ToResult4">
      <xdr:nvPicPr>
        <xdr:cNvPr id="9" name="Btn4" descr="btn4">
          <a:extLst>
            <a:ext uri="{FF2B5EF4-FFF2-40B4-BE49-F238E27FC236}">
              <a16:creationId xmlns:a16="http://schemas.microsoft.com/office/drawing/2014/main" id="{00000000-0008-0000-0300-000009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3324225" y="28575"/>
          <a:ext cx="180975" cy="171450"/>
        </a:xfrm>
        <a:prstGeom prst="rect">
          <a:avLst/>
        </a:prstGeom>
        <a:noFill/>
        <a:ln w="9525">
          <a:noFill/>
          <a:miter lim="800000"/>
          <a:headEnd/>
          <a:tailEnd/>
        </a:ln>
      </xdr:spPr>
    </xdr:pic>
    <xdr:clientData fPrintsWithSheet="0"/>
  </xdr:twoCellAnchor>
  <xdr:twoCellAnchor editAs="absolute">
    <xdr:from>
      <xdr:col>4</xdr:col>
      <xdr:colOff>323850</xdr:colOff>
      <xdr:row>0</xdr:row>
      <xdr:rowOff>28575</xdr:rowOff>
    </xdr:from>
    <xdr:to>
      <xdr:col>4</xdr:col>
      <xdr:colOff>504825</xdr:colOff>
      <xdr:row>0</xdr:row>
      <xdr:rowOff>200025</xdr:rowOff>
    </xdr:to>
    <xdr:pic macro="[0]!AutoVBA.ToResult5">
      <xdr:nvPicPr>
        <xdr:cNvPr id="10" name="Btn5" descr="btn5">
          <a:extLst>
            <a:ext uri="{FF2B5EF4-FFF2-40B4-BE49-F238E27FC236}">
              <a16:creationId xmlns:a16="http://schemas.microsoft.com/office/drawing/2014/main" id="{00000000-0008-0000-0300-00000A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3536950" y="28575"/>
          <a:ext cx="180975" cy="171450"/>
        </a:xfrm>
        <a:prstGeom prst="rect">
          <a:avLst/>
        </a:prstGeom>
        <a:noFill/>
        <a:ln w="9525">
          <a:noFill/>
          <a:miter lim="800000"/>
          <a:headEnd/>
          <a:tailEnd/>
        </a:ln>
      </xdr:spPr>
    </xdr:pic>
    <xdr:clientData fPrintsWithSheet="0"/>
  </xdr:twoCellAnchor>
  <xdr:twoCellAnchor editAs="absolute">
    <xdr:from>
      <xdr:col>4</xdr:col>
      <xdr:colOff>536575</xdr:colOff>
      <xdr:row>0</xdr:row>
      <xdr:rowOff>28575</xdr:rowOff>
    </xdr:from>
    <xdr:to>
      <xdr:col>4</xdr:col>
      <xdr:colOff>717550</xdr:colOff>
      <xdr:row>0</xdr:row>
      <xdr:rowOff>200025</xdr:rowOff>
    </xdr:to>
    <xdr:pic macro="[0]!AutoVBA.ToResult6">
      <xdr:nvPicPr>
        <xdr:cNvPr id="11" name="Btn6" descr="btn6">
          <a:extLst>
            <a:ext uri="{FF2B5EF4-FFF2-40B4-BE49-F238E27FC236}">
              <a16:creationId xmlns:a16="http://schemas.microsoft.com/office/drawing/2014/main" id="{00000000-0008-0000-0300-00000B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3749675" y="28575"/>
          <a:ext cx="180975" cy="171450"/>
        </a:xfrm>
        <a:prstGeom prst="rect">
          <a:avLst/>
        </a:prstGeom>
        <a:noFill/>
        <a:ln w="9525">
          <a:noFill/>
          <a:miter lim="800000"/>
          <a:headEnd/>
          <a:tailEnd/>
        </a:ln>
      </xdr:spPr>
    </xdr:pic>
    <xdr:clientData fPrintsWithSheet="0"/>
  </xdr:twoCellAnchor>
  <xdr:twoCellAnchor editAs="absolute">
    <xdr:from>
      <xdr:col>3</xdr:col>
      <xdr:colOff>2181225</xdr:colOff>
      <xdr:row>0</xdr:row>
      <xdr:rowOff>28575</xdr:rowOff>
    </xdr:from>
    <xdr:to>
      <xdr:col>3</xdr:col>
      <xdr:colOff>2362200</xdr:colOff>
      <xdr:row>0</xdr:row>
      <xdr:rowOff>200025</xdr:rowOff>
    </xdr:to>
    <xdr:pic macro="[0]!AutoVBA.ToResult2">
      <xdr:nvPicPr>
        <xdr:cNvPr id="12" name="Btn2" descr="btn2">
          <a:extLst>
            <a:ext uri="{FF2B5EF4-FFF2-40B4-BE49-F238E27FC236}">
              <a16:creationId xmlns:a16="http://schemas.microsoft.com/office/drawing/2014/main" id="{00000000-0008-0000-0300-00000C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2867025" y="28575"/>
          <a:ext cx="180975" cy="171450"/>
        </a:xfrm>
        <a:prstGeom prst="rect">
          <a:avLst/>
        </a:prstGeom>
        <a:noFill/>
        <a:ln w="9525">
          <a:noFill/>
          <a:miter lim="800000"/>
          <a:headEnd/>
          <a:tailEnd/>
        </a:ln>
      </xdr:spPr>
    </xdr:pic>
    <xdr:clientData fPrintsWithSheet="0"/>
  </xdr:twoCellAnchor>
  <xdr:twoCellAnchor editAs="oneCell">
    <xdr:from>
      <xdr:col>9</xdr:col>
      <xdr:colOff>809626</xdr:colOff>
      <xdr:row>0</xdr:row>
      <xdr:rowOff>28575</xdr:rowOff>
    </xdr:from>
    <xdr:to>
      <xdr:col>10</xdr:col>
      <xdr:colOff>101601</xdr:colOff>
      <xdr:row>0</xdr:row>
      <xdr:rowOff>200025</xdr:rowOff>
    </xdr:to>
    <xdr:pic macro="[0]!GotoProposal">
      <xdr:nvPicPr>
        <xdr:cNvPr id="13" name="PropBtn" descr="propbtn">
          <a:extLst>
            <a:ext uri="{FF2B5EF4-FFF2-40B4-BE49-F238E27FC236}">
              <a16:creationId xmlns:a16="http://schemas.microsoft.com/office/drawing/2014/main" id="{00000000-0008-0000-0300-00000D000000}"/>
            </a:ext>
          </a:extLst>
        </xdr:cNvPr>
        <xdr:cNvPicPr>
          <a:picLocks noChangeArrowheads="1"/>
        </xdr:cNvPicPr>
      </xdr:nvPicPr>
      <xdr:blipFill>
        <a:blip xmlns:r="http://schemas.openxmlformats.org/officeDocument/2006/relationships" r:embed="rId7" cstate="print"/>
        <a:srcRect/>
        <a:stretch>
          <a:fillRect/>
        </a:stretch>
      </xdr:blipFill>
      <xdr:spPr bwMode="auto">
        <a:xfrm>
          <a:off x="7629526" y="28575"/>
          <a:ext cx="180975" cy="171450"/>
        </a:xfrm>
        <a:prstGeom prst="rect">
          <a:avLst/>
        </a:prstGeom>
        <a:noFill/>
        <a:ln w="9525">
          <a:noFill/>
          <a:miter lim="800000"/>
          <a:headEnd/>
          <a:tailEnd/>
        </a:ln>
      </xdr:spPr>
    </xdr:pic>
    <xdr:clientData fPrintsWithSheet="0"/>
  </xdr:twoCellAnchor>
  <xdr:twoCellAnchor editAs="absolute">
    <xdr:from>
      <xdr:col>2</xdr:col>
      <xdr:colOff>28575</xdr:colOff>
      <xdr:row>2</xdr:row>
      <xdr:rowOff>28575</xdr:rowOff>
    </xdr:from>
    <xdr:to>
      <xdr:col>3</xdr:col>
      <xdr:colOff>0</xdr:colOff>
      <xdr:row>2</xdr:row>
      <xdr:rowOff>171450</xdr:rowOff>
    </xdr:to>
    <xdr:pic macro="[0]!ShowHideResultRows">
      <xdr:nvPicPr>
        <xdr:cNvPr id="14" name="btnShowHideResult" descr="showhidebtn">
          <a:extLst>
            <a:ext uri="{FF2B5EF4-FFF2-40B4-BE49-F238E27FC236}">
              <a16:creationId xmlns:a16="http://schemas.microsoft.com/office/drawing/2014/main" id="{00000000-0008-0000-0300-00000E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533400" y="314325"/>
          <a:ext cx="152400" cy="142875"/>
        </a:xfrm>
        <a:prstGeom prst="rect">
          <a:avLst/>
        </a:prstGeom>
        <a:noFill/>
        <a:ln w="9525">
          <a:noFill/>
          <a:miter lim="800000"/>
          <a:headEnd/>
          <a:tailEnd/>
        </a:ln>
      </xdr:spPr>
    </xdr:pic>
    <xdr:clientData fPrintsWithSheet="0"/>
  </xdr:twoCellAnchor>
  <xdr:twoCellAnchor editAs="oneCell">
    <xdr:from>
      <xdr:col>2</xdr:col>
      <xdr:colOff>28575</xdr:colOff>
      <xdr:row>15</xdr:row>
      <xdr:rowOff>9525</xdr:rowOff>
    </xdr:from>
    <xdr:to>
      <xdr:col>3</xdr:col>
      <xdr:colOff>0</xdr:colOff>
      <xdr:row>15</xdr:row>
      <xdr:rowOff>152400</xdr:rowOff>
    </xdr:to>
    <xdr:pic macro="[0]!ShowHidePerpetuityCalculation">
      <xdr:nvPicPr>
        <xdr:cNvPr id="16" name="btnPerpetuity" descr="rspec2b" hidden="1">
          <a:extLst>
            <a:ext uri="{FF2B5EF4-FFF2-40B4-BE49-F238E27FC236}">
              <a16:creationId xmlns:a16="http://schemas.microsoft.com/office/drawing/2014/main" id="{00000000-0008-0000-0300-000010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33400" y="2047875"/>
          <a:ext cx="152400" cy="142875"/>
        </a:xfrm>
        <a:prstGeom prst="rect">
          <a:avLst/>
        </a:prstGeom>
        <a:noFill/>
        <a:ln w="9525">
          <a:noFill/>
          <a:miter lim="800000"/>
          <a:headEnd/>
          <a:tailEnd/>
        </a:ln>
      </xdr:spPr>
    </xdr:pic>
    <xdr:clientData fPrintsWithSheet="0"/>
  </xdr:twoCellAnchor>
  <xdr:twoCellAnchor editAs="oneCell">
    <xdr:from>
      <xdr:col>2</xdr:col>
      <xdr:colOff>28575</xdr:colOff>
      <xdr:row>37</xdr:row>
      <xdr:rowOff>9525</xdr:rowOff>
    </xdr:from>
    <xdr:to>
      <xdr:col>3</xdr:col>
      <xdr:colOff>0</xdr:colOff>
      <xdr:row>50</xdr:row>
      <xdr:rowOff>142875</xdr:rowOff>
    </xdr:to>
    <xdr:pic macro="[0]!ToggleResultNetDebtSpecs">
      <xdr:nvPicPr>
        <xdr:cNvPr id="17" name="btnNetDebt" descr="rspec2b" hidden="1">
          <a:extLst>
            <a:ext uri="{FF2B5EF4-FFF2-40B4-BE49-F238E27FC236}">
              <a16:creationId xmlns:a16="http://schemas.microsoft.com/office/drawing/2014/main" id="{00000000-0008-0000-0300-000011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33400" y="4495800"/>
          <a:ext cx="152400" cy="142875"/>
        </a:xfrm>
        <a:prstGeom prst="rect">
          <a:avLst/>
        </a:prstGeom>
        <a:noFill/>
        <a:ln w="9525">
          <a:noFill/>
          <a:miter lim="800000"/>
          <a:headEnd/>
          <a:tailEnd/>
        </a:ln>
      </xdr:spPr>
    </xdr:pic>
    <xdr:clientData fPrintsWithSheet="0"/>
  </xdr:twoCellAnchor>
  <xdr:twoCellAnchor editAs="oneCell">
    <xdr:from>
      <xdr:col>4</xdr:col>
      <xdr:colOff>768350</xdr:colOff>
      <xdr:row>37</xdr:row>
      <xdr:rowOff>9525</xdr:rowOff>
    </xdr:from>
    <xdr:to>
      <xdr:col>5</xdr:col>
      <xdr:colOff>6350</xdr:colOff>
      <xdr:row>50</xdr:row>
      <xdr:rowOff>142875</xdr:rowOff>
    </xdr:to>
    <xdr:pic macro="[0]!ResultNetDebtOptions">
      <xdr:nvPicPr>
        <xdr:cNvPr id="18" name="btnNetDebtOptions" descr="timebtn2b" hidden="1">
          <a:extLst>
            <a:ext uri="{FF2B5EF4-FFF2-40B4-BE49-F238E27FC236}">
              <a16:creationId xmlns:a16="http://schemas.microsoft.com/office/drawing/2014/main" id="{00000000-0008-0000-0300-00001200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3835400" y="4495800"/>
          <a:ext cx="152400" cy="142875"/>
        </a:xfrm>
        <a:prstGeom prst="rect">
          <a:avLst/>
        </a:prstGeom>
        <a:noFill/>
        <a:ln w="9525">
          <a:noFill/>
          <a:miter lim="800000"/>
          <a:headEnd/>
          <a:tailEnd/>
        </a:ln>
      </xdr:spPr>
    </xdr:pic>
    <xdr:clientData fPrintsWithSheet="0"/>
  </xdr:twoCellAnchor>
  <xdr:twoCellAnchor editAs="oneCell">
    <xdr:from>
      <xdr:col>4</xdr:col>
      <xdr:colOff>800100</xdr:colOff>
      <xdr:row>15</xdr:row>
      <xdr:rowOff>9525</xdr:rowOff>
    </xdr:from>
    <xdr:to>
      <xdr:col>4</xdr:col>
      <xdr:colOff>952500</xdr:colOff>
      <xdr:row>15</xdr:row>
      <xdr:rowOff>152400</xdr:rowOff>
    </xdr:to>
    <xdr:pic macro="[0]!ResidualOptions">
      <xdr:nvPicPr>
        <xdr:cNvPr id="19" name="btnResidualOptions" descr="timebtn2b">
          <a:extLst>
            <a:ext uri="{FF2B5EF4-FFF2-40B4-BE49-F238E27FC236}">
              <a16:creationId xmlns:a16="http://schemas.microsoft.com/office/drawing/2014/main" id="{00000000-0008-0000-0300-00001300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4013200" y="1889125"/>
          <a:ext cx="152400" cy="142875"/>
        </a:xfrm>
        <a:prstGeom prst="rect">
          <a:avLst/>
        </a:prstGeom>
        <a:noFill/>
        <a:ln w="9525">
          <a:noFill/>
          <a:miter lim="800000"/>
          <a:headEnd/>
          <a:tailEnd/>
        </a:ln>
      </xdr:spPr>
    </xdr:pic>
    <xdr:clientData fPrintsWithSheet="0"/>
  </xdr:twoCellAnchor>
  <xdr:twoCellAnchor editAs="oneCell">
    <xdr:from>
      <xdr:col>4</xdr:col>
      <xdr:colOff>768350</xdr:colOff>
      <xdr:row>62</xdr:row>
      <xdr:rowOff>9525</xdr:rowOff>
    </xdr:from>
    <xdr:to>
      <xdr:col>5</xdr:col>
      <xdr:colOff>6350</xdr:colOff>
      <xdr:row>66</xdr:row>
      <xdr:rowOff>142875</xdr:rowOff>
    </xdr:to>
    <xdr:pic macro="[0]!ShowImpairmentTestOptions">
      <xdr:nvPicPr>
        <xdr:cNvPr id="20" name="btnImpairmentBVR" descr="timebtn2b" hidden="1">
          <a:extLst>
            <a:ext uri="{FF2B5EF4-FFF2-40B4-BE49-F238E27FC236}">
              <a16:creationId xmlns:a16="http://schemas.microsoft.com/office/drawing/2014/main" id="{00000000-0008-0000-0300-00001400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3835400" y="8134350"/>
          <a:ext cx="152400" cy="142875"/>
        </a:xfrm>
        <a:prstGeom prst="rect">
          <a:avLst/>
        </a:prstGeom>
        <a:noFill/>
        <a:ln w="9525">
          <a:noFill/>
          <a:miter lim="800000"/>
          <a:headEnd/>
          <a:tailEnd/>
        </a:ln>
      </xdr:spPr>
    </xdr:pic>
    <xdr:clientData fPrintsWithSheet="0"/>
  </xdr:twoCellAnchor>
  <xdr:twoCellAnchor editAs="oneCell">
    <xdr:from>
      <xdr:col>2</xdr:col>
      <xdr:colOff>41275</xdr:colOff>
      <xdr:row>90</xdr:row>
      <xdr:rowOff>38100</xdr:rowOff>
    </xdr:from>
    <xdr:to>
      <xdr:col>2</xdr:col>
      <xdr:colOff>146050</xdr:colOff>
      <xdr:row>124</xdr:row>
      <xdr:rowOff>47625</xdr:rowOff>
    </xdr:to>
    <xdr:pic macro="[0]!ToggleResultEquityIndicators">
      <xdr:nvPicPr>
        <xdr:cNvPr id="21" name="btnToggleEquity" hidden="1">
          <a:extLst>
            <a:ext uri="{FF2B5EF4-FFF2-40B4-BE49-F238E27FC236}">
              <a16:creationId xmlns:a16="http://schemas.microsoft.com/office/drawing/2014/main" id="{00000000-0008-0000-0300-00001500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546100" y="11849100"/>
          <a:ext cx="104775" cy="104775"/>
        </a:xfrm>
        <a:prstGeom prst="rect">
          <a:avLst/>
        </a:prstGeom>
        <a:noFill/>
        <a:ln w="9525">
          <a:noFill/>
          <a:miter lim="800000"/>
          <a:headEnd/>
          <a:tailEnd/>
        </a:ln>
      </xdr:spPr>
    </xdr:pic>
    <xdr:clientData fPrintsWithSheet="0"/>
  </xdr:twoCellAnchor>
  <xdr:twoCellAnchor editAs="oneCell">
    <xdr:from>
      <xdr:col>2</xdr:col>
      <xdr:colOff>28575</xdr:colOff>
      <xdr:row>95</xdr:row>
      <xdr:rowOff>9525</xdr:rowOff>
    </xdr:from>
    <xdr:to>
      <xdr:col>3</xdr:col>
      <xdr:colOff>0</xdr:colOff>
      <xdr:row>124</xdr:row>
      <xdr:rowOff>85725</xdr:rowOff>
    </xdr:to>
    <xdr:pic macro="[0]!ShowHidePerpetuityCalculationequity">
      <xdr:nvPicPr>
        <xdr:cNvPr id="22" name="btnPerpetuityEquity" descr="rspec2b" hidden="1">
          <a:extLst>
            <a:ext uri="{FF2B5EF4-FFF2-40B4-BE49-F238E27FC236}">
              <a16:creationId xmlns:a16="http://schemas.microsoft.com/office/drawing/2014/main" id="{00000000-0008-0000-0300-000016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33400" y="12430125"/>
          <a:ext cx="152400" cy="142875"/>
        </a:xfrm>
        <a:prstGeom prst="rect">
          <a:avLst/>
        </a:prstGeom>
        <a:noFill/>
        <a:ln w="9525">
          <a:noFill/>
          <a:miter lim="800000"/>
          <a:headEnd/>
          <a:tailEnd/>
        </a:ln>
      </xdr:spPr>
    </xdr:pic>
    <xdr:clientData fPrintsWithSheet="0"/>
  </xdr:twoCellAnchor>
  <xdr:twoCellAnchor editAs="oneCell">
    <xdr:from>
      <xdr:col>2</xdr:col>
      <xdr:colOff>41275</xdr:colOff>
      <xdr:row>5</xdr:row>
      <xdr:rowOff>38100</xdr:rowOff>
    </xdr:from>
    <xdr:to>
      <xdr:col>2</xdr:col>
      <xdr:colOff>146050</xdr:colOff>
      <xdr:row>7</xdr:row>
      <xdr:rowOff>47625</xdr:rowOff>
    </xdr:to>
    <xdr:pic macro="[0]!ToggleResultFirmIndicators">
      <xdr:nvPicPr>
        <xdr:cNvPr id="23" name="btnToggleFirm" hidden="1">
          <a:extLst>
            <a:ext uri="{FF2B5EF4-FFF2-40B4-BE49-F238E27FC236}">
              <a16:creationId xmlns:a16="http://schemas.microsoft.com/office/drawing/2014/main" id="{00000000-0008-0000-0300-00001700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546100" y="762000"/>
          <a:ext cx="104775" cy="104775"/>
        </a:xfrm>
        <a:prstGeom prst="rect">
          <a:avLst/>
        </a:prstGeom>
        <a:noFill/>
        <a:ln w="9525">
          <a:noFill/>
          <a:miter lim="800000"/>
          <a:headEnd/>
          <a:tailEnd/>
        </a:ln>
      </xdr:spPr>
    </xdr:pic>
    <xdr:clientData fPrintsWithSheet="0"/>
  </xdr:twoCellAnchor>
  <xdr:twoCellAnchor editAs="oneCell">
    <xdr:from>
      <xdr:col>2</xdr:col>
      <xdr:colOff>28575</xdr:colOff>
      <xdr:row>82</xdr:row>
      <xdr:rowOff>9525</xdr:rowOff>
    </xdr:from>
    <xdr:to>
      <xdr:col>3</xdr:col>
      <xdr:colOff>0</xdr:colOff>
      <xdr:row>83</xdr:row>
      <xdr:rowOff>9525</xdr:rowOff>
    </xdr:to>
    <xdr:pic macro="[0]!UpdateDcvaIrrMirr">
      <xdr:nvPicPr>
        <xdr:cNvPr id="24" name="DcvaIrrMirrBtn">
          <a:extLst>
            <a:ext uri="{FF2B5EF4-FFF2-40B4-BE49-F238E27FC236}">
              <a16:creationId xmlns:a16="http://schemas.microsoft.com/office/drawing/2014/main" id="{00000000-0008-0000-0300-00001800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533400" y="10791825"/>
          <a:ext cx="152400" cy="146050"/>
        </a:xfrm>
        <a:prstGeom prst="rect">
          <a:avLst/>
        </a:prstGeom>
        <a:noFill/>
        <a:ln w="1">
          <a:noFill/>
          <a:miter lim="800000"/>
          <a:headEnd/>
          <a:tailEnd/>
        </a:ln>
        <a:effectLst/>
      </xdr:spPr>
    </xdr:pic>
    <xdr:clientData fPrintsWithSheet="0"/>
  </xdr:twoCellAnchor>
  <xdr:twoCellAnchor editAs="oneCell">
    <xdr:from>
      <xdr:col>2</xdr:col>
      <xdr:colOff>28575</xdr:colOff>
      <xdr:row>80</xdr:row>
      <xdr:rowOff>9525</xdr:rowOff>
    </xdr:from>
    <xdr:to>
      <xdr:col>3</xdr:col>
      <xdr:colOff>0</xdr:colOff>
      <xdr:row>80</xdr:row>
      <xdr:rowOff>152400</xdr:rowOff>
    </xdr:to>
    <xdr:pic macro="[0]!ToggleDCVAbasedRatios">
      <xdr:nvPicPr>
        <xdr:cNvPr id="25" name="btnDCVAbasedRatios">
          <a:extLst>
            <a:ext uri="{FF2B5EF4-FFF2-40B4-BE49-F238E27FC236}">
              <a16:creationId xmlns:a16="http://schemas.microsoft.com/office/drawing/2014/main" id="{00000000-0008-0000-0300-00001900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533400" y="5038725"/>
          <a:ext cx="152400" cy="142875"/>
        </a:xfrm>
        <a:prstGeom prst="rect">
          <a:avLst/>
        </a:prstGeom>
        <a:noFill/>
        <a:ln w="1">
          <a:noFill/>
          <a:miter lim="800000"/>
          <a:headEnd/>
          <a:tailEnd/>
        </a:ln>
        <a:effectLst/>
      </xdr:spPr>
    </xdr:pic>
    <xdr:clientData fPrintsWithSheet="0"/>
  </xdr:twoCellAnchor>
  <xdr:twoCellAnchor>
    <xdr:from>
      <xdr:col>1</xdr:col>
      <xdr:colOff>57149</xdr:colOff>
      <xdr:row>1</xdr:row>
      <xdr:rowOff>47625</xdr:rowOff>
    </xdr:from>
    <xdr:to>
      <xdr:col>11</xdr:col>
      <xdr:colOff>9524</xdr:colOff>
      <xdr:row>126</xdr:row>
      <xdr:rowOff>47625</xdr:rowOff>
    </xdr:to>
    <xdr:graphicFrame macro="">
      <xdr:nvGraphicFramePr>
        <xdr:cNvPr id="28" name="ChartYearlyPayback" hidden="1">
          <a:extLst>
            <a:ext uri="{FF2B5EF4-FFF2-40B4-BE49-F238E27FC236}">
              <a16:creationId xmlns:a16="http://schemas.microsoft.com/office/drawing/2014/main" id="{00000000-0008-0000-0300-00001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absolute">
    <xdr:from>
      <xdr:col>0</xdr:col>
      <xdr:colOff>47625</xdr:colOff>
      <xdr:row>32</xdr:row>
      <xdr:rowOff>142875</xdr:rowOff>
    </xdr:from>
    <xdr:to>
      <xdr:col>0</xdr:col>
      <xdr:colOff>409575</xdr:colOff>
      <xdr:row>35</xdr:row>
      <xdr:rowOff>28575</xdr:rowOff>
    </xdr:to>
    <xdr:pic macro="[0]!CameraButtonPressed">
      <xdr:nvPicPr>
        <xdr:cNvPr id="29" name="btnCamResultTableFull" descr="CameraBtn.bmp">
          <a:extLst>
            <a:ext uri="{FF2B5EF4-FFF2-40B4-BE49-F238E27FC236}">
              <a16:creationId xmlns:a16="http://schemas.microsoft.com/office/drawing/2014/main" id="{00000000-0008-0000-0300-00001D000000}"/>
            </a:ext>
          </a:extLst>
        </xdr:cNvPr>
        <xdr:cNvPicPr>
          <a:picLocks noChangeAspect="1"/>
        </xdr:cNvPicPr>
      </xdr:nvPicPr>
      <xdr:blipFill>
        <a:blip xmlns:r="http://schemas.openxmlformats.org/officeDocument/2006/relationships" r:embed="rId15" cstate="print"/>
        <a:stretch>
          <a:fillRect/>
        </a:stretch>
      </xdr:blipFill>
      <xdr:spPr>
        <a:xfrm>
          <a:off x="47625" y="2171700"/>
          <a:ext cx="361950" cy="266700"/>
        </a:xfrm>
        <a:prstGeom prst="rect">
          <a:avLst/>
        </a:prstGeom>
      </xdr:spPr>
    </xdr:pic>
    <xdr:clientData fPrintsWithSheet="0"/>
  </xdr:twoCellAnchor>
  <xdr:twoCellAnchor editAs="absolute">
    <xdr:from>
      <xdr:col>0</xdr:col>
      <xdr:colOff>47625</xdr:colOff>
      <xdr:row>2</xdr:row>
      <xdr:rowOff>2405</xdr:rowOff>
    </xdr:from>
    <xdr:to>
      <xdr:col>0</xdr:col>
      <xdr:colOff>406586</xdr:colOff>
      <xdr:row>4</xdr:row>
      <xdr:rowOff>57168</xdr:rowOff>
    </xdr:to>
    <xdr:pic macro="[0]!AutoVBA.PrintCurrent">
      <xdr:nvPicPr>
        <xdr:cNvPr id="30" name="PrintBtn10" descr="printbtn37.bmp">
          <a:extLst>
            <a:ext uri="{FF2B5EF4-FFF2-40B4-BE49-F238E27FC236}">
              <a16:creationId xmlns:a16="http://schemas.microsoft.com/office/drawing/2014/main" id="{00000000-0008-0000-0300-00001E000000}"/>
            </a:ext>
          </a:extLst>
        </xdr:cNvPr>
        <xdr:cNvPicPr>
          <a:picLocks noChangeAspect="1"/>
        </xdr:cNvPicPr>
      </xdr:nvPicPr>
      <xdr:blipFill>
        <a:blip xmlns:r="http://schemas.openxmlformats.org/officeDocument/2006/relationships" r:embed="rId16" cstate="print"/>
        <a:stretch>
          <a:fillRect/>
        </a:stretch>
      </xdr:blipFill>
      <xdr:spPr>
        <a:xfrm>
          <a:off x="47625" y="288155"/>
          <a:ext cx="358961" cy="264313"/>
        </a:xfrm>
        <a:prstGeom prst="rect">
          <a:avLst/>
        </a:prstGeom>
      </xdr:spPr>
    </xdr:pic>
    <xdr:clientData fPrintsWithSheet="0"/>
  </xdr:twoCellAnchor>
  <xdr:twoCellAnchor editAs="absolute">
    <xdr:from>
      <xdr:col>0</xdr:col>
      <xdr:colOff>47625</xdr:colOff>
      <xdr:row>4</xdr:row>
      <xdr:rowOff>104775</xdr:rowOff>
    </xdr:from>
    <xdr:to>
      <xdr:col>0</xdr:col>
      <xdr:colOff>406586</xdr:colOff>
      <xdr:row>7</xdr:row>
      <xdr:rowOff>83523</xdr:rowOff>
    </xdr:to>
    <xdr:pic macro="[0]!GotoKeyFiguresOrCashflowTable">
      <xdr:nvPicPr>
        <xdr:cNvPr id="31" name="PrevBtn10" descr="prevbtn37c.bmp">
          <a:extLst>
            <a:ext uri="{FF2B5EF4-FFF2-40B4-BE49-F238E27FC236}">
              <a16:creationId xmlns:a16="http://schemas.microsoft.com/office/drawing/2014/main" id="{00000000-0008-0000-0300-00001F000000}"/>
            </a:ext>
          </a:extLst>
        </xdr:cNvPr>
        <xdr:cNvPicPr>
          <a:picLocks noChangeAspect="1"/>
        </xdr:cNvPicPr>
      </xdr:nvPicPr>
      <xdr:blipFill>
        <a:blip xmlns:r="http://schemas.openxmlformats.org/officeDocument/2006/relationships" r:embed="rId17" cstate="print"/>
        <a:stretch>
          <a:fillRect/>
        </a:stretch>
      </xdr:blipFill>
      <xdr:spPr>
        <a:xfrm>
          <a:off x="47625" y="600075"/>
          <a:ext cx="358961" cy="264498"/>
        </a:xfrm>
        <a:prstGeom prst="rect">
          <a:avLst/>
        </a:prstGeom>
      </xdr:spPr>
    </xdr:pic>
    <xdr:clientData fPrintsWithSheet="0"/>
  </xdr:twoCellAnchor>
  <xdr:twoCellAnchor editAs="absolute">
    <xdr:from>
      <xdr:col>0</xdr:col>
      <xdr:colOff>47625</xdr:colOff>
      <xdr:row>7</xdr:row>
      <xdr:rowOff>133351</xdr:rowOff>
    </xdr:from>
    <xdr:to>
      <xdr:col>0</xdr:col>
      <xdr:colOff>406586</xdr:colOff>
      <xdr:row>9</xdr:row>
      <xdr:rowOff>73999</xdr:rowOff>
    </xdr:to>
    <xdr:pic macro="[0]!AutoVBA.GotoDiscAnalysis">
      <xdr:nvPicPr>
        <xdr:cNvPr id="32" name="NextBtn10" descr="nextbtn37c.bmp">
          <a:extLst>
            <a:ext uri="{FF2B5EF4-FFF2-40B4-BE49-F238E27FC236}">
              <a16:creationId xmlns:a16="http://schemas.microsoft.com/office/drawing/2014/main" id="{00000000-0008-0000-0300-000020000000}"/>
            </a:ext>
          </a:extLst>
        </xdr:cNvPr>
        <xdr:cNvPicPr>
          <a:picLocks noChangeAspect="1"/>
        </xdr:cNvPicPr>
      </xdr:nvPicPr>
      <xdr:blipFill>
        <a:blip xmlns:r="http://schemas.openxmlformats.org/officeDocument/2006/relationships" r:embed="rId18" cstate="print"/>
        <a:stretch>
          <a:fillRect/>
        </a:stretch>
      </xdr:blipFill>
      <xdr:spPr>
        <a:xfrm>
          <a:off x="47625" y="914401"/>
          <a:ext cx="358961" cy="264498"/>
        </a:xfrm>
        <a:prstGeom prst="rect">
          <a:avLst/>
        </a:prstGeom>
      </xdr:spPr>
    </xdr:pic>
    <xdr:clientData fPrintsWithSheet="0"/>
  </xdr:twoCellAnchor>
  <xdr:twoCellAnchor editAs="absolute">
    <xdr:from>
      <xdr:col>0</xdr:col>
      <xdr:colOff>47625</xdr:colOff>
      <xdr:row>9</xdr:row>
      <xdr:rowOff>126206</xdr:rowOff>
    </xdr:from>
    <xdr:to>
      <xdr:col>0</xdr:col>
      <xdr:colOff>406586</xdr:colOff>
      <xdr:row>12</xdr:row>
      <xdr:rowOff>9704</xdr:rowOff>
    </xdr:to>
    <xdr:pic macro="[0]!GoHome">
      <xdr:nvPicPr>
        <xdr:cNvPr id="33" name="HomeBtn10" descr="homebtn37b.bmp">
          <a:extLst>
            <a:ext uri="{FF2B5EF4-FFF2-40B4-BE49-F238E27FC236}">
              <a16:creationId xmlns:a16="http://schemas.microsoft.com/office/drawing/2014/main" id="{00000000-0008-0000-0300-000021000000}"/>
            </a:ext>
          </a:extLst>
        </xdr:cNvPr>
        <xdr:cNvPicPr>
          <a:picLocks noChangeAspect="1"/>
        </xdr:cNvPicPr>
      </xdr:nvPicPr>
      <xdr:blipFill>
        <a:blip xmlns:r="http://schemas.openxmlformats.org/officeDocument/2006/relationships" r:embed="rId19" cstate="print"/>
        <a:stretch>
          <a:fillRect/>
        </a:stretch>
      </xdr:blipFill>
      <xdr:spPr>
        <a:xfrm>
          <a:off x="47625" y="1231106"/>
          <a:ext cx="358961" cy="264498"/>
        </a:xfrm>
        <a:prstGeom prst="rect">
          <a:avLst/>
        </a:prstGeom>
      </xdr:spPr>
    </xdr:pic>
    <xdr:clientData fPrintsWithSheet="0"/>
  </xdr:twoCellAnchor>
  <xdr:twoCellAnchor editAs="absolute">
    <xdr:from>
      <xdr:col>0</xdr:col>
      <xdr:colOff>47625</xdr:colOff>
      <xdr:row>13</xdr:row>
      <xdr:rowOff>1</xdr:rowOff>
    </xdr:from>
    <xdr:to>
      <xdr:col>0</xdr:col>
      <xdr:colOff>406586</xdr:colOff>
      <xdr:row>14</xdr:row>
      <xdr:rowOff>102574</xdr:rowOff>
    </xdr:to>
    <xdr:pic macro="[0]!ShowGuide">
      <xdr:nvPicPr>
        <xdr:cNvPr id="34" name="HelpBtn10" descr="helpbtn37c.bmp">
          <a:extLst>
            <a:ext uri="{FF2B5EF4-FFF2-40B4-BE49-F238E27FC236}">
              <a16:creationId xmlns:a16="http://schemas.microsoft.com/office/drawing/2014/main" id="{00000000-0008-0000-0300-000022000000}"/>
            </a:ext>
          </a:extLst>
        </xdr:cNvPr>
        <xdr:cNvPicPr>
          <a:picLocks noChangeAspect="1"/>
        </xdr:cNvPicPr>
      </xdr:nvPicPr>
      <xdr:blipFill>
        <a:blip xmlns:r="http://schemas.openxmlformats.org/officeDocument/2006/relationships" r:embed="rId20" cstate="print"/>
        <a:stretch>
          <a:fillRect/>
        </a:stretch>
      </xdr:blipFill>
      <xdr:spPr>
        <a:xfrm>
          <a:off x="47625" y="1543051"/>
          <a:ext cx="358961" cy="264498"/>
        </a:xfrm>
        <a:prstGeom prst="rect">
          <a:avLst/>
        </a:prstGeom>
      </xdr:spPr>
    </xdr:pic>
    <xdr:clientData fPrintsWithSheet="0"/>
  </xdr:twoCellAnchor>
  <xdr:twoCellAnchor editAs="absolute">
    <xdr:from>
      <xdr:col>0</xdr:col>
      <xdr:colOff>47625</xdr:colOff>
      <xdr:row>14</xdr:row>
      <xdr:rowOff>154781</xdr:rowOff>
    </xdr:from>
    <xdr:to>
      <xdr:col>0</xdr:col>
      <xdr:colOff>408099</xdr:colOff>
      <xdr:row>32</xdr:row>
      <xdr:rowOff>96544</xdr:rowOff>
    </xdr:to>
    <xdr:pic macro="[0]!ShowPayBackChart">
      <xdr:nvPicPr>
        <xdr:cNvPr id="36" name="CFChartBtn" descr="cfchart37b.bmp">
          <a:extLst>
            <a:ext uri="{FF2B5EF4-FFF2-40B4-BE49-F238E27FC236}">
              <a16:creationId xmlns:a16="http://schemas.microsoft.com/office/drawing/2014/main" id="{00000000-0008-0000-0300-000024000000}"/>
            </a:ext>
          </a:extLst>
        </xdr:cNvPr>
        <xdr:cNvPicPr>
          <a:picLocks noChangeAspect="1"/>
        </xdr:cNvPicPr>
      </xdr:nvPicPr>
      <xdr:blipFill>
        <a:blip xmlns:r="http://schemas.openxmlformats.org/officeDocument/2006/relationships" r:embed="rId21" cstate="print"/>
        <a:stretch>
          <a:fillRect/>
        </a:stretch>
      </xdr:blipFill>
      <xdr:spPr>
        <a:xfrm>
          <a:off x="47625" y="1859756"/>
          <a:ext cx="360474" cy="265613"/>
        </a:xfrm>
        <a:prstGeom prst="rect">
          <a:avLst/>
        </a:prstGeom>
      </xdr:spPr>
    </xdr:pic>
    <xdr:clientData fPrintsWithSheet="0"/>
  </xdr:twoCellAnchor>
  <xdr:twoCellAnchor editAs="oneCell">
    <xdr:from>
      <xdr:col>10</xdr:col>
      <xdr:colOff>0</xdr:colOff>
      <xdr:row>2</xdr:row>
      <xdr:rowOff>28575</xdr:rowOff>
    </xdr:from>
    <xdr:to>
      <xdr:col>11</xdr:col>
      <xdr:colOff>0</xdr:colOff>
      <xdr:row>3</xdr:row>
      <xdr:rowOff>9525</xdr:rowOff>
    </xdr:to>
    <xdr:pic macro="[0]!HidePayBackChart">
      <xdr:nvPicPr>
        <xdr:cNvPr id="27" name="btnClosePB" descr="xbtn" hidden="1">
          <a:extLst>
            <a:ext uri="{FF2B5EF4-FFF2-40B4-BE49-F238E27FC236}">
              <a16:creationId xmlns:a16="http://schemas.microsoft.com/office/drawing/2014/main" id="{00000000-0008-0000-0300-00001B000000}"/>
            </a:ext>
          </a:extLst>
        </xdr:cNvPr>
        <xdr:cNvPicPr>
          <a:picLocks noChangeAspect="1" noChangeArrowheads="1"/>
        </xdr:cNvPicPr>
      </xdr:nvPicPr>
      <xdr:blipFill>
        <a:blip xmlns:r="http://schemas.openxmlformats.org/officeDocument/2006/relationships" r:embed="rId22" cstate="print"/>
        <a:srcRect/>
        <a:stretch>
          <a:fillRect/>
        </a:stretch>
      </xdr:blipFill>
      <xdr:spPr bwMode="auto">
        <a:xfrm>
          <a:off x="7353300" y="314325"/>
          <a:ext cx="180975" cy="171450"/>
        </a:xfrm>
        <a:prstGeom prst="rect">
          <a:avLst/>
        </a:prstGeom>
        <a:noFill/>
        <a:ln w="9525">
          <a:noFill/>
          <a:miter lim="800000"/>
          <a:headEnd/>
          <a:tailEnd/>
        </a:ln>
      </xdr:spPr>
    </xdr:pic>
    <xdr:clientData fPrintsWithSheet="0"/>
  </xdr:twoCellAnchor>
  <mc:AlternateContent xmlns:mc="http://schemas.openxmlformats.org/markup-compatibility/2006">
    <mc:Choice xmlns:a14="http://schemas.microsoft.com/office/drawing/2010/main" Requires="a14">
      <xdr:twoCellAnchor editAs="oneCell">
        <xdr:from>
          <xdr:col>3</xdr:col>
          <xdr:colOff>0</xdr:colOff>
          <xdr:row>128</xdr:row>
          <xdr:rowOff>44450</xdr:rowOff>
        </xdr:from>
        <xdr:to>
          <xdr:col>4</xdr:col>
          <xdr:colOff>57150</xdr:colOff>
          <xdr:row>130</xdr:row>
          <xdr:rowOff>19050</xdr:rowOff>
        </xdr:to>
        <xdr:sp macro="" textlink="">
          <xdr:nvSpPr>
            <xdr:cNvPr id="3073" name="chkShowConclusions" hidden="1">
              <a:extLst>
                <a:ext uri="{63B3BB69-23CF-44E3-9099-C40C66FF867C}">
                  <a14:compatExt spid="_x0000_s3073"/>
                </a:ext>
                <a:ext uri="{FF2B5EF4-FFF2-40B4-BE49-F238E27FC236}">
                  <a16:creationId xmlns:a16="http://schemas.microsoft.com/office/drawing/2014/main" id="{00000000-0008-0000-03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177800</xdr:colOff>
          <xdr:row>16</xdr:row>
          <xdr:rowOff>0</xdr:rowOff>
        </xdr:from>
        <xdr:to>
          <xdr:col>5</xdr:col>
          <xdr:colOff>0</xdr:colOff>
          <xdr:row>33</xdr:row>
          <xdr:rowOff>50800</xdr:rowOff>
        </xdr:to>
        <xdr:sp macro="" textlink="">
          <xdr:nvSpPr>
            <xdr:cNvPr id="3074" name="cboPerpetuityBasePeriod" hidden="1">
              <a:extLst>
                <a:ext uri="{63B3BB69-23CF-44E3-9099-C40C66FF867C}">
                  <a14:compatExt spid="_x0000_s3074"/>
                </a:ext>
                <a:ext uri="{FF2B5EF4-FFF2-40B4-BE49-F238E27FC236}">
                  <a16:creationId xmlns:a16="http://schemas.microsoft.com/office/drawing/2014/main" id="{00000000-0008-0000-0300-0000020C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18</xdr:row>
          <xdr:rowOff>0</xdr:rowOff>
        </xdr:from>
        <xdr:to>
          <xdr:col>4</xdr:col>
          <xdr:colOff>190500</xdr:colOff>
          <xdr:row>34</xdr:row>
          <xdr:rowOff>0</xdr:rowOff>
        </xdr:to>
        <xdr:sp macro="" textlink="">
          <xdr:nvSpPr>
            <xdr:cNvPr id="3075" name="optPerpetuityBase1" hidden="1">
              <a:extLst>
                <a:ext uri="{63B3BB69-23CF-44E3-9099-C40C66FF867C}">
                  <a14:compatExt spid="_x0000_s3075"/>
                </a:ext>
                <a:ext uri="{FF2B5EF4-FFF2-40B4-BE49-F238E27FC236}">
                  <a16:creationId xmlns:a16="http://schemas.microsoft.com/office/drawing/2014/main" id="{00000000-0008-0000-0300-00000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xdr:row>
          <xdr:rowOff>0</xdr:rowOff>
        </xdr:from>
        <xdr:to>
          <xdr:col>4</xdr:col>
          <xdr:colOff>196850</xdr:colOff>
          <xdr:row>34</xdr:row>
          <xdr:rowOff>0</xdr:rowOff>
        </xdr:to>
        <xdr:sp macro="" textlink="">
          <xdr:nvSpPr>
            <xdr:cNvPr id="3076" name="optPerpetuityBase2" hidden="1">
              <a:extLst>
                <a:ext uri="{63B3BB69-23CF-44E3-9099-C40C66FF867C}">
                  <a14:compatExt spid="_x0000_s3076"/>
                </a:ext>
                <a:ext uri="{FF2B5EF4-FFF2-40B4-BE49-F238E27FC236}">
                  <a16:creationId xmlns:a16="http://schemas.microsoft.com/office/drawing/2014/main" id="{00000000-0008-0000-03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24</xdr:row>
          <xdr:rowOff>0</xdr:rowOff>
        </xdr:from>
        <xdr:to>
          <xdr:col>4</xdr:col>
          <xdr:colOff>177800</xdr:colOff>
          <xdr:row>34</xdr:row>
          <xdr:rowOff>0</xdr:rowOff>
        </xdr:to>
        <xdr:sp macro="" textlink="">
          <xdr:nvSpPr>
            <xdr:cNvPr id="3077" name="optPerpetuityNoGrowth" hidden="1">
              <a:extLst>
                <a:ext uri="{63B3BB69-23CF-44E3-9099-C40C66FF867C}">
                  <a14:compatExt spid="_x0000_s3077"/>
                </a:ext>
                <a:ext uri="{FF2B5EF4-FFF2-40B4-BE49-F238E27FC236}">
                  <a16:creationId xmlns:a16="http://schemas.microsoft.com/office/drawing/2014/main" id="{00000000-0008-0000-03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26</xdr:row>
          <xdr:rowOff>0</xdr:rowOff>
        </xdr:from>
        <xdr:to>
          <xdr:col>4</xdr:col>
          <xdr:colOff>171450</xdr:colOff>
          <xdr:row>34</xdr:row>
          <xdr:rowOff>0</xdr:rowOff>
        </xdr:to>
        <xdr:sp macro="" textlink="">
          <xdr:nvSpPr>
            <xdr:cNvPr id="3078" name="optPerpetuityGrowth" hidden="1">
              <a:extLst>
                <a:ext uri="{63B3BB69-23CF-44E3-9099-C40C66FF867C}">
                  <a14:compatExt spid="_x0000_s3078"/>
                </a:ext>
                <a:ext uri="{FF2B5EF4-FFF2-40B4-BE49-F238E27FC236}">
                  <a16:creationId xmlns:a16="http://schemas.microsoft.com/office/drawing/2014/main" id="{00000000-0008-0000-0300-00000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16</xdr:row>
          <xdr:rowOff>0</xdr:rowOff>
        </xdr:from>
        <xdr:to>
          <xdr:col>6</xdr:col>
          <xdr:colOff>38100</xdr:colOff>
          <xdr:row>50</xdr:row>
          <xdr:rowOff>57150</xdr:rowOff>
        </xdr:to>
        <xdr:sp macro="" textlink="">
          <xdr:nvSpPr>
            <xdr:cNvPr id="3079" name="grpPerpetuityBase" hidden="1">
              <a:extLst>
                <a:ext uri="{63B3BB69-23CF-44E3-9099-C40C66FF867C}">
                  <a14:compatExt spid="_x0000_s3079"/>
                </a:ext>
                <a:ext uri="{FF2B5EF4-FFF2-40B4-BE49-F238E27FC236}">
                  <a16:creationId xmlns:a16="http://schemas.microsoft.com/office/drawing/2014/main" id="{00000000-0008-0000-0300-000007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23</xdr:row>
          <xdr:rowOff>6350</xdr:rowOff>
        </xdr:from>
        <xdr:to>
          <xdr:col>6</xdr:col>
          <xdr:colOff>38100</xdr:colOff>
          <xdr:row>50</xdr:row>
          <xdr:rowOff>57150</xdr:rowOff>
        </xdr:to>
        <xdr:sp macro="" textlink="">
          <xdr:nvSpPr>
            <xdr:cNvPr id="3080" name="grpPerpetuityType" hidden="1">
              <a:extLst>
                <a:ext uri="{63B3BB69-23CF-44E3-9099-C40C66FF867C}">
                  <a14:compatExt spid="_x0000_s3080"/>
                </a:ext>
                <a:ext uri="{FF2B5EF4-FFF2-40B4-BE49-F238E27FC236}">
                  <a16:creationId xmlns:a16="http://schemas.microsoft.com/office/drawing/2014/main" id="{00000000-0008-0000-0300-000008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177800</xdr:colOff>
          <xdr:row>90</xdr:row>
          <xdr:rowOff>0</xdr:rowOff>
        </xdr:from>
        <xdr:to>
          <xdr:col>5</xdr:col>
          <xdr:colOff>0</xdr:colOff>
          <xdr:row>124</xdr:row>
          <xdr:rowOff>146050</xdr:rowOff>
        </xdr:to>
        <xdr:sp macro="" textlink="">
          <xdr:nvSpPr>
            <xdr:cNvPr id="3081" name="cboPerpetuityBasePeriodEquity" hidden="1">
              <a:extLst>
                <a:ext uri="{63B3BB69-23CF-44E3-9099-C40C66FF867C}">
                  <a14:compatExt spid="_x0000_s3081"/>
                </a:ext>
                <a:ext uri="{FF2B5EF4-FFF2-40B4-BE49-F238E27FC236}">
                  <a16:creationId xmlns:a16="http://schemas.microsoft.com/office/drawing/2014/main" id="{00000000-0008-0000-0300-0000090C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98</xdr:row>
          <xdr:rowOff>0</xdr:rowOff>
        </xdr:from>
        <xdr:to>
          <xdr:col>4</xdr:col>
          <xdr:colOff>190500</xdr:colOff>
          <xdr:row>125</xdr:row>
          <xdr:rowOff>0</xdr:rowOff>
        </xdr:to>
        <xdr:sp macro="" textlink="">
          <xdr:nvSpPr>
            <xdr:cNvPr id="3082" name="optPerpetuityBase1Equity" hidden="1">
              <a:extLst>
                <a:ext uri="{63B3BB69-23CF-44E3-9099-C40C66FF867C}">
                  <a14:compatExt spid="_x0000_s3082"/>
                </a:ext>
                <a:ext uri="{FF2B5EF4-FFF2-40B4-BE49-F238E27FC236}">
                  <a16:creationId xmlns:a16="http://schemas.microsoft.com/office/drawing/2014/main" id="{00000000-0008-0000-0300-00000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100</xdr:row>
          <xdr:rowOff>0</xdr:rowOff>
        </xdr:from>
        <xdr:to>
          <xdr:col>4</xdr:col>
          <xdr:colOff>196850</xdr:colOff>
          <xdr:row>125</xdr:row>
          <xdr:rowOff>0</xdr:rowOff>
        </xdr:to>
        <xdr:sp macro="" textlink="">
          <xdr:nvSpPr>
            <xdr:cNvPr id="3083" name="optPerpetuityBase2Equity" hidden="1">
              <a:extLst>
                <a:ext uri="{63B3BB69-23CF-44E3-9099-C40C66FF867C}">
                  <a14:compatExt spid="_x0000_s3083"/>
                </a:ext>
                <a:ext uri="{FF2B5EF4-FFF2-40B4-BE49-F238E27FC236}">
                  <a16:creationId xmlns:a16="http://schemas.microsoft.com/office/drawing/2014/main" id="{00000000-0008-0000-0300-00000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104</xdr:row>
          <xdr:rowOff>0</xdr:rowOff>
        </xdr:from>
        <xdr:to>
          <xdr:col>4</xdr:col>
          <xdr:colOff>177800</xdr:colOff>
          <xdr:row>125</xdr:row>
          <xdr:rowOff>0</xdr:rowOff>
        </xdr:to>
        <xdr:sp macro="" textlink="">
          <xdr:nvSpPr>
            <xdr:cNvPr id="3084" name="optPerpetuityNoGrowthEquity" hidden="1">
              <a:extLst>
                <a:ext uri="{63B3BB69-23CF-44E3-9099-C40C66FF867C}">
                  <a14:compatExt spid="_x0000_s3084"/>
                </a:ext>
                <a:ext uri="{FF2B5EF4-FFF2-40B4-BE49-F238E27FC236}">
                  <a16:creationId xmlns:a16="http://schemas.microsoft.com/office/drawing/2014/main" id="{00000000-0008-0000-0300-00000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106</xdr:row>
          <xdr:rowOff>0</xdr:rowOff>
        </xdr:from>
        <xdr:to>
          <xdr:col>4</xdr:col>
          <xdr:colOff>171450</xdr:colOff>
          <xdr:row>125</xdr:row>
          <xdr:rowOff>0</xdr:rowOff>
        </xdr:to>
        <xdr:sp macro="" textlink="">
          <xdr:nvSpPr>
            <xdr:cNvPr id="3085" name="optPerpetuityGrowthEquity" hidden="1">
              <a:extLst>
                <a:ext uri="{63B3BB69-23CF-44E3-9099-C40C66FF867C}">
                  <a14:compatExt spid="_x0000_s3085"/>
                </a:ext>
                <a:ext uri="{FF2B5EF4-FFF2-40B4-BE49-F238E27FC236}">
                  <a16:creationId xmlns:a16="http://schemas.microsoft.com/office/drawing/2014/main" id="{00000000-0008-0000-0300-00000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96</xdr:row>
          <xdr:rowOff>0</xdr:rowOff>
        </xdr:from>
        <xdr:to>
          <xdr:col>6</xdr:col>
          <xdr:colOff>38100</xdr:colOff>
          <xdr:row>129</xdr:row>
          <xdr:rowOff>63500</xdr:rowOff>
        </xdr:to>
        <xdr:sp macro="" textlink="">
          <xdr:nvSpPr>
            <xdr:cNvPr id="3086" name="grpPerpetuityBaseEquity" hidden="1">
              <a:extLst>
                <a:ext uri="{63B3BB69-23CF-44E3-9099-C40C66FF867C}">
                  <a14:compatExt spid="_x0000_s3086"/>
                </a:ext>
                <a:ext uri="{FF2B5EF4-FFF2-40B4-BE49-F238E27FC236}">
                  <a16:creationId xmlns:a16="http://schemas.microsoft.com/office/drawing/2014/main" id="{00000000-0008-0000-0300-00000E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103</xdr:row>
          <xdr:rowOff>6350</xdr:rowOff>
        </xdr:from>
        <xdr:to>
          <xdr:col>6</xdr:col>
          <xdr:colOff>38100</xdr:colOff>
          <xdr:row>129</xdr:row>
          <xdr:rowOff>63500</xdr:rowOff>
        </xdr:to>
        <xdr:sp macro="" textlink="">
          <xdr:nvSpPr>
            <xdr:cNvPr id="3087" name="grpPerpetuityTypeEquity" hidden="1">
              <a:extLst>
                <a:ext uri="{63B3BB69-23CF-44E3-9099-C40C66FF867C}">
                  <a14:compatExt spid="_x0000_s3087"/>
                </a:ext>
                <a:ext uri="{FF2B5EF4-FFF2-40B4-BE49-F238E27FC236}">
                  <a16:creationId xmlns:a16="http://schemas.microsoft.com/office/drawing/2014/main" id="{00000000-0008-0000-0300-00000F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16</xdr:row>
          <xdr:rowOff>0</xdr:rowOff>
        </xdr:from>
        <xdr:to>
          <xdr:col>10</xdr:col>
          <xdr:colOff>0</xdr:colOff>
          <xdr:row>33</xdr:row>
          <xdr:rowOff>50800</xdr:rowOff>
        </xdr:to>
        <xdr:sp macro="" textlink="">
          <xdr:nvSpPr>
            <xdr:cNvPr id="3088" name="PerpetuityLimitDD" hidden="1">
              <a:extLst>
                <a:ext uri="{63B3BB69-23CF-44E3-9099-C40C66FF867C}">
                  <a14:compatExt spid="_x0000_s3088"/>
                </a:ext>
                <a:ext uri="{FF2B5EF4-FFF2-40B4-BE49-F238E27FC236}">
                  <a16:creationId xmlns:a16="http://schemas.microsoft.com/office/drawing/2014/main" id="{00000000-0008-0000-0300-00001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90</xdr:row>
          <xdr:rowOff>0</xdr:rowOff>
        </xdr:from>
        <xdr:to>
          <xdr:col>10</xdr:col>
          <xdr:colOff>0</xdr:colOff>
          <xdr:row>124</xdr:row>
          <xdr:rowOff>146050</xdr:rowOff>
        </xdr:to>
        <xdr:sp macro="" textlink="">
          <xdr:nvSpPr>
            <xdr:cNvPr id="3089" name="PerpetuityLimitDDEquity" hidden="1">
              <a:extLst>
                <a:ext uri="{63B3BB69-23CF-44E3-9099-C40C66FF867C}">
                  <a14:compatExt spid="_x0000_s3089"/>
                </a:ext>
                <a:ext uri="{FF2B5EF4-FFF2-40B4-BE49-F238E27FC236}">
                  <a16:creationId xmlns:a16="http://schemas.microsoft.com/office/drawing/2014/main" id="{00000000-0008-0000-0300-00001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44450</xdr:colOff>
          <xdr:row>48</xdr:row>
          <xdr:rowOff>6350</xdr:rowOff>
        </xdr:from>
        <xdr:to>
          <xdr:col>9</xdr:col>
          <xdr:colOff>558800</xdr:colOff>
          <xdr:row>51</xdr:row>
          <xdr:rowOff>25400</xdr:rowOff>
        </xdr:to>
        <xdr:sp macro="" textlink="">
          <xdr:nvSpPr>
            <xdr:cNvPr id="3090" name="cboEVEbitda" hidden="1">
              <a:extLst>
                <a:ext uri="{63B3BB69-23CF-44E3-9099-C40C66FF867C}">
                  <a14:compatExt spid="_x0000_s3090"/>
                </a:ext>
                <a:ext uri="{FF2B5EF4-FFF2-40B4-BE49-F238E27FC236}">
                  <a16:creationId xmlns:a16="http://schemas.microsoft.com/office/drawing/2014/main" id="{00000000-0008-0000-0300-00001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3</xdr:col>
      <xdr:colOff>0</xdr:colOff>
      <xdr:row>18</xdr:row>
      <xdr:rowOff>0</xdr:rowOff>
    </xdr:from>
    <xdr:to>
      <xdr:col>10</xdr:col>
      <xdr:colOff>0</xdr:colOff>
      <xdr:row>32</xdr:row>
      <xdr:rowOff>0</xdr:rowOff>
    </xdr:to>
    <xdr:graphicFrame macro="">
      <xdr:nvGraphicFramePr>
        <xdr:cNvPr id="44" name="ChartA06">
          <a:extLst>
            <a:ext uri="{FF2B5EF4-FFF2-40B4-BE49-F238E27FC236}">
              <a16:creationId xmlns:a16="http://schemas.microsoft.com/office/drawing/2014/main" id="{00000000-0008-0000-0400-00002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63</xdr:row>
      <xdr:rowOff>0</xdr:rowOff>
    </xdr:from>
    <xdr:to>
      <xdr:col>10</xdr:col>
      <xdr:colOff>0</xdr:colOff>
      <xdr:row>77</xdr:row>
      <xdr:rowOff>0</xdr:rowOff>
    </xdr:to>
    <xdr:graphicFrame macro="">
      <xdr:nvGraphicFramePr>
        <xdr:cNvPr id="45" name="ChartA01">
          <a:extLst>
            <a:ext uri="{FF2B5EF4-FFF2-40B4-BE49-F238E27FC236}">
              <a16:creationId xmlns:a16="http://schemas.microsoft.com/office/drawing/2014/main" id="{00000000-0008-0000-0400-00002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0</xdr:colOff>
      <xdr:row>107</xdr:row>
      <xdr:rowOff>0</xdr:rowOff>
    </xdr:from>
    <xdr:to>
      <xdr:col>10</xdr:col>
      <xdr:colOff>0</xdr:colOff>
      <xdr:row>121</xdr:row>
      <xdr:rowOff>0</xdr:rowOff>
    </xdr:to>
    <xdr:graphicFrame macro="">
      <xdr:nvGraphicFramePr>
        <xdr:cNvPr id="46" name="ChartA02">
          <a:extLst>
            <a:ext uri="{FF2B5EF4-FFF2-40B4-BE49-F238E27FC236}">
              <a16:creationId xmlns:a16="http://schemas.microsoft.com/office/drawing/2014/main" id="{00000000-0008-0000-0400-00002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151</xdr:row>
      <xdr:rowOff>0</xdr:rowOff>
    </xdr:from>
    <xdr:to>
      <xdr:col>10</xdr:col>
      <xdr:colOff>0</xdr:colOff>
      <xdr:row>165</xdr:row>
      <xdr:rowOff>0</xdr:rowOff>
    </xdr:to>
    <xdr:graphicFrame macro="">
      <xdr:nvGraphicFramePr>
        <xdr:cNvPr id="47" name="ChartA03">
          <a:extLst>
            <a:ext uri="{FF2B5EF4-FFF2-40B4-BE49-F238E27FC236}">
              <a16:creationId xmlns:a16="http://schemas.microsoft.com/office/drawing/2014/main" id="{00000000-0008-0000-0400-00002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195</xdr:row>
      <xdr:rowOff>0</xdr:rowOff>
    </xdr:from>
    <xdr:to>
      <xdr:col>10</xdr:col>
      <xdr:colOff>0</xdr:colOff>
      <xdr:row>209</xdr:row>
      <xdr:rowOff>0</xdr:rowOff>
    </xdr:to>
    <xdr:graphicFrame macro="">
      <xdr:nvGraphicFramePr>
        <xdr:cNvPr id="48" name="ChartA04">
          <a:extLst>
            <a:ext uri="{FF2B5EF4-FFF2-40B4-BE49-F238E27FC236}">
              <a16:creationId xmlns:a16="http://schemas.microsoft.com/office/drawing/2014/main" id="{00000000-0008-0000-0400-00003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241</xdr:row>
      <xdr:rowOff>0</xdr:rowOff>
    </xdr:from>
    <xdr:to>
      <xdr:col>10</xdr:col>
      <xdr:colOff>0</xdr:colOff>
      <xdr:row>255</xdr:row>
      <xdr:rowOff>0</xdr:rowOff>
    </xdr:to>
    <xdr:graphicFrame macro="">
      <xdr:nvGraphicFramePr>
        <xdr:cNvPr id="49" name="ChartA05">
          <a:extLst>
            <a:ext uri="{FF2B5EF4-FFF2-40B4-BE49-F238E27FC236}">
              <a16:creationId xmlns:a16="http://schemas.microsoft.com/office/drawing/2014/main" id="{00000000-0008-0000-0400-00003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0</xdr:col>
      <xdr:colOff>42864</xdr:colOff>
      <xdr:row>243</xdr:row>
      <xdr:rowOff>95250</xdr:rowOff>
    </xdr:from>
    <xdr:to>
      <xdr:col>0</xdr:col>
      <xdr:colOff>404814</xdr:colOff>
      <xdr:row>245</xdr:row>
      <xdr:rowOff>38100</xdr:rowOff>
    </xdr:to>
    <xdr:pic macro="[0]!CameraButtonPressed">
      <xdr:nvPicPr>
        <xdr:cNvPr id="52" name="btnCamIncVarAnalysis1" descr="CameraBtn.bmp">
          <a:extLst>
            <a:ext uri="{FF2B5EF4-FFF2-40B4-BE49-F238E27FC236}">
              <a16:creationId xmlns:a16="http://schemas.microsoft.com/office/drawing/2014/main" id="{00000000-0008-0000-0400-000034000000}"/>
            </a:ext>
          </a:extLst>
        </xdr:cNvPr>
        <xdr:cNvPicPr>
          <a:picLocks noChangeAspect="1"/>
        </xdr:cNvPicPr>
      </xdr:nvPicPr>
      <xdr:blipFill>
        <a:blip xmlns:r="http://schemas.openxmlformats.org/officeDocument/2006/relationships" r:embed="rId7" cstate="print"/>
        <a:stretch>
          <a:fillRect/>
        </a:stretch>
      </xdr:blipFill>
      <xdr:spPr>
        <a:xfrm>
          <a:off x="42864" y="25884909"/>
          <a:ext cx="361950" cy="260350"/>
        </a:xfrm>
        <a:prstGeom prst="rect">
          <a:avLst/>
        </a:prstGeom>
      </xdr:spPr>
    </xdr:pic>
    <xdr:clientData fPrintsWithSheet="0"/>
  </xdr:twoCellAnchor>
  <xdr:twoCellAnchor editAs="oneCell">
    <xdr:from>
      <xdr:col>0</xdr:col>
      <xdr:colOff>42864</xdr:colOff>
      <xdr:row>200</xdr:row>
      <xdr:rowOff>9525</xdr:rowOff>
    </xdr:from>
    <xdr:to>
      <xdr:col>0</xdr:col>
      <xdr:colOff>404814</xdr:colOff>
      <xdr:row>201</xdr:row>
      <xdr:rowOff>114300</xdr:rowOff>
    </xdr:to>
    <xdr:pic macro="[0]!CameraButtonPressed">
      <xdr:nvPicPr>
        <xdr:cNvPr id="53" name="btnCamFixedCostAnalysis" descr="CameraBtn.bmp">
          <a:extLst>
            <a:ext uri="{FF2B5EF4-FFF2-40B4-BE49-F238E27FC236}">
              <a16:creationId xmlns:a16="http://schemas.microsoft.com/office/drawing/2014/main" id="{00000000-0008-0000-0400-000035000000}"/>
            </a:ext>
          </a:extLst>
        </xdr:cNvPr>
        <xdr:cNvPicPr>
          <a:picLocks noChangeAspect="1"/>
        </xdr:cNvPicPr>
      </xdr:nvPicPr>
      <xdr:blipFill>
        <a:blip xmlns:r="http://schemas.openxmlformats.org/officeDocument/2006/relationships" r:embed="rId7" cstate="print"/>
        <a:stretch>
          <a:fillRect/>
        </a:stretch>
      </xdr:blipFill>
      <xdr:spPr>
        <a:xfrm>
          <a:off x="42864" y="21094411"/>
          <a:ext cx="361950" cy="263525"/>
        </a:xfrm>
        <a:prstGeom prst="rect">
          <a:avLst/>
        </a:prstGeom>
      </xdr:spPr>
    </xdr:pic>
    <xdr:clientData fPrintsWithSheet="0"/>
  </xdr:twoCellAnchor>
  <xdr:twoCellAnchor editAs="oneCell">
    <xdr:from>
      <xdr:col>0</xdr:col>
      <xdr:colOff>42864</xdr:colOff>
      <xdr:row>155</xdr:row>
      <xdr:rowOff>142875</xdr:rowOff>
    </xdr:from>
    <xdr:to>
      <xdr:col>0</xdr:col>
      <xdr:colOff>404814</xdr:colOff>
      <xdr:row>157</xdr:row>
      <xdr:rowOff>85725</xdr:rowOff>
    </xdr:to>
    <xdr:pic macro="[0]!CameraButtonPressed">
      <xdr:nvPicPr>
        <xdr:cNvPr id="54" name="btnCamVariableCostAnalysis" descr="CameraBtn.bmp">
          <a:extLst>
            <a:ext uri="{FF2B5EF4-FFF2-40B4-BE49-F238E27FC236}">
              <a16:creationId xmlns:a16="http://schemas.microsoft.com/office/drawing/2014/main" id="{00000000-0008-0000-0400-000036000000}"/>
            </a:ext>
          </a:extLst>
        </xdr:cNvPr>
        <xdr:cNvPicPr>
          <a:picLocks noChangeAspect="1"/>
        </xdr:cNvPicPr>
      </xdr:nvPicPr>
      <xdr:blipFill>
        <a:blip xmlns:r="http://schemas.openxmlformats.org/officeDocument/2006/relationships" r:embed="rId7" cstate="print"/>
        <a:stretch>
          <a:fillRect/>
        </a:stretch>
      </xdr:blipFill>
      <xdr:spPr>
        <a:xfrm>
          <a:off x="42864" y="16292080"/>
          <a:ext cx="361950" cy="260350"/>
        </a:xfrm>
        <a:prstGeom prst="rect">
          <a:avLst/>
        </a:prstGeom>
      </xdr:spPr>
    </xdr:pic>
    <xdr:clientData fPrintsWithSheet="0"/>
  </xdr:twoCellAnchor>
  <xdr:twoCellAnchor editAs="oneCell">
    <xdr:from>
      <xdr:col>0</xdr:col>
      <xdr:colOff>42864</xdr:colOff>
      <xdr:row>111</xdr:row>
      <xdr:rowOff>142875</xdr:rowOff>
    </xdr:from>
    <xdr:to>
      <xdr:col>0</xdr:col>
      <xdr:colOff>404814</xdr:colOff>
      <xdr:row>113</xdr:row>
      <xdr:rowOff>85725</xdr:rowOff>
    </xdr:to>
    <xdr:pic macro="[0]!CameraButtonPressed">
      <xdr:nvPicPr>
        <xdr:cNvPr id="55" name="btnCamTurnoverAnalysis" descr="CameraBtn.bmp">
          <a:extLst>
            <a:ext uri="{FF2B5EF4-FFF2-40B4-BE49-F238E27FC236}">
              <a16:creationId xmlns:a16="http://schemas.microsoft.com/office/drawing/2014/main" id="{00000000-0008-0000-0400-000037000000}"/>
            </a:ext>
          </a:extLst>
        </xdr:cNvPr>
        <xdr:cNvPicPr>
          <a:picLocks noChangeAspect="1"/>
        </xdr:cNvPicPr>
      </xdr:nvPicPr>
      <xdr:blipFill>
        <a:blip xmlns:r="http://schemas.openxmlformats.org/officeDocument/2006/relationships" r:embed="rId7" cstate="print"/>
        <a:stretch>
          <a:fillRect/>
        </a:stretch>
      </xdr:blipFill>
      <xdr:spPr>
        <a:xfrm>
          <a:off x="42864" y="11515148"/>
          <a:ext cx="361950" cy="260350"/>
        </a:xfrm>
        <a:prstGeom prst="rect">
          <a:avLst/>
        </a:prstGeom>
      </xdr:spPr>
    </xdr:pic>
    <xdr:clientData fPrintsWithSheet="0"/>
  </xdr:twoCellAnchor>
  <xdr:twoCellAnchor editAs="oneCell">
    <xdr:from>
      <xdr:col>0</xdr:col>
      <xdr:colOff>42864</xdr:colOff>
      <xdr:row>66</xdr:row>
      <xdr:rowOff>152400</xdr:rowOff>
    </xdr:from>
    <xdr:to>
      <xdr:col>0</xdr:col>
      <xdr:colOff>404814</xdr:colOff>
      <xdr:row>68</xdr:row>
      <xdr:rowOff>95250</xdr:rowOff>
    </xdr:to>
    <xdr:pic macro="[0]!CameraButtonPressed">
      <xdr:nvPicPr>
        <xdr:cNvPr id="56" name="btnCamInvestmentAnalysis" descr="CameraBtn.bmp">
          <a:extLst>
            <a:ext uri="{FF2B5EF4-FFF2-40B4-BE49-F238E27FC236}">
              <a16:creationId xmlns:a16="http://schemas.microsoft.com/office/drawing/2014/main" id="{00000000-0008-0000-0400-000038000000}"/>
            </a:ext>
          </a:extLst>
        </xdr:cNvPr>
        <xdr:cNvPicPr>
          <a:picLocks noChangeAspect="1"/>
        </xdr:cNvPicPr>
      </xdr:nvPicPr>
      <xdr:blipFill>
        <a:blip xmlns:r="http://schemas.openxmlformats.org/officeDocument/2006/relationships" r:embed="rId7" cstate="print"/>
        <a:stretch>
          <a:fillRect/>
        </a:stretch>
      </xdr:blipFill>
      <xdr:spPr>
        <a:xfrm>
          <a:off x="42864" y="6588991"/>
          <a:ext cx="361950" cy="260350"/>
        </a:xfrm>
        <a:prstGeom prst="rect">
          <a:avLst/>
        </a:prstGeom>
      </xdr:spPr>
    </xdr:pic>
    <xdr:clientData fPrintsWithSheet="0"/>
  </xdr:twoCellAnchor>
  <xdr:twoCellAnchor editAs="absolute">
    <xdr:from>
      <xdr:col>0</xdr:col>
      <xdr:colOff>42864</xdr:colOff>
      <xdr:row>21</xdr:row>
      <xdr:rowOff>152400</xdr:rowOff>
    </xdr:from>
    <xdr:to>
      <xdr:col>0</xdr:col>
      <xdr:colOff>404814</xdr:colOff>
      <xdr:row>23</xdr:row>
      <xdr:rowOff>95250</xdr:rowOff>
    </xdr:to>
    <xdr:pic macro="[0]!CameraButtonPressed">
      <xdr:nvPicPr>
        <xdr:cNvPr id="57" name="btnCamDiscAnalysis" descr="CameraBtn.bmp">
          <a:extLst>
            <a:ext uri="{FF2B5EF4-FFF2-40B4-BE49-F238E27FC236}">
              <a16:creationId xmlns:a16="http://schemas.microsoft.com/office/drawing/2014/main" id="{00000000-0008-0000-0400-000039000000}"/>
            </a:ext>
          </a:extLst>
        </xdr:cNvPr>
        <xdr:cNvPicPr>
          <a:picLocks noChangeAspect="1"/>
        </xdr:cNvPicPr>
      </xdr:nvPicPr>
      <xdr:blipFill>
        <a:blip xmlns:r="http://schemas.openxmlformats.org/officeDocument/2006/relationships" r:embed="rId7" cstate="print"/>
        <a:stretch>
          <a:fillRect/>
        </a:stretch>
      </xdr:blipFill>
      <xdr:spPr>
        <a:xfrm>
          <a:off x="42864" y="1667741"/>
          <a:ext cx="361950" cy="260350"/>
        </a:xfrm>
        <a:prstGeom prst="rect">
          <a:avLst/>
        </a:prstGeom>
      </xdr:spPr>
    </xdr:pic>
    <xdr:clientData fPrintsWithSheet="0"/>
  </xdr:twoCellAnchor>
  <xdr:twoCellAnchor>
    <xdr:from>
      <xdr:col>3</xdr:col>
      <xdr:colOff>0</xdr:colOff>
      <xdr:row>287</xdr:row>
      <xdr:rowOff>0</xdr:rowOff>
    </xdr:from>
    <xdr:to>
      <xdr:col>10</xdr:col>
      <xdr:colOff>0</xdr:colOff>
      <xdr:row>301</xdr:row>
      <xdr:rowOff>0</xdr:rowOff>
    </xdr:to>
    <xdr:graphicFrame macro="">
      <xdr:nvGraphicFramePr>
        <xdr:cNvPr id="65" name="ChartA07">
          <a:extLst>
            <a:ext uri="{FF2B5EF4-FFF2-40B4-BE49-F238E27FC236}">
              <a16:creationId xmlns:a16="http://schemas.microsoft.com/office/drawing/2014/main" id="{00000000-0008-0000-0400-00004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333</xdr:row>
      <xdr:rowOff>0</xdr:rowOff>
    </xdr:from>
    <xdr:to>
      <xdr:col>10</xdr:col>
      <xdr:colOff>0</xdr:colOff>
      <xdr:row>347</xdr:row>
      <xdr:rowOff>0</xdr:rowOff>
    </xdr:to>
    <xdr:graphicFrame macro="">
      <xdr:nvGraphicFramePr>
        <xdr:cNvPr id="67" name="ChartA08">
          <a:extLst>
            <a:ext uri="{FF2B5EF4-FFF2-40B4-BE49-F238E27FC236}">
              <a16:creationId xmlns:a16="http://schemas.microsoft.com/office/drawing/2014/main" id="{00000000-0008-0000-0400-00004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0</xdr:colOff>
      <xdr:row>379</xdr:row>
      <xdr:rowOff>0</xdr:rowOff>
    </xdr:from>
    <xdr:to>
      <xdr:col>10</xdr:col>
      <xdr:colOff>0</xdr:colOff>
      <xdr:row>393</xdr:row>
      <xdr:rowOff>0</xdr:rowOff>
    </xdr:to>
    <xdr:graphicFrame macro="">
      <xdr:nvGraphicFramePr>
        <xdr:cNvPr id="69" name="ChartA09">
          <a:extLst>
            <a:ext uri="{FF2B5EF4-FFF2-40B4-BE49-F238E27FC236}">
              <a16:creationId xmlns:a16="http://schemas.microsoft.com/office/drawing/2014/main" id="{00000000-0008-0000-0400-00004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0</xdr:colOff>
      <xdr:row>425</xdr:row>
      <xdr:rowOff>0</xdr:rowOff>
    </xdr:from>
    <xdr:to>
      <xdr:col>10</xdr:col>
      <xdr:colOff>0</xdr:colOff>
      <xdr:row>439</xdr:row>
      <xdr:rowOff>0</xdr:rowOff>
    </xdr:to>
    <xdr:graphicFrame macro="">
      <xdr:nvGraphicFramePr>
        <xdr:cNvPr id="71" name="ChartA10">
          <a:extLst>
            <a:ext uri="{FF2B5EF4-FFF2-40B4-BE49-F238E27FC236}">
              <a16:creationId xmlns:a16="http://schemas.microsoft.com/office/drawing/2014/main" id="{00000000-0008-0000-0400-00004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xdr:col>
      <xdr:colOff>0</xdr:colOff>
      <xdr:row>471</xdr:row>
      <xdr:rowOff>0</xdr:rowOff>
    </xdr:from>
    <xdr:to>
      <xdr:col>10</xdr:col>
      <xdr:colOff>0</xdr:colOff>
      <xdr:row>485</xdr:row>
      <xdr:rowOff>0</xdr:rowOff>
    </xdr:to>
    <xdr:graphicFrame macro="">
      <xdr:nvGraphicFramePr>
        <xdr:cNvPr id="73" name="ChartA11">
          <a:extLst>
            <a:ext uri="{FF2B5EF4-FFF2-40B4-BE49-F238E27FC236}">
              <a16:creationId xmlns:a16="http://schemas.microsoft.com/office/drawing/2014/main" id="{00000000-0008-0000-0400-00004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0</xdr:col>
      <xdr:colOff>42864</xdr:colOff>
      <xdr:row>289</xdr:row>
      <xdr:rowOff>73025</xdr:rowOff>
    </xdr:from>
    <xdr:to>
      <xdr:col>0</xdr:col>
      <xdr:colOff>404814</xdr:colOff>
      <xdr:row>291</xdr:row>
      <xdr:rowOff>15875</xdr:rowOff>
    </xdr:to>
    <xdr:pic macro="[0]!CameraButtonPressed">
      <xdr:nvPicPr>
        <xdr:cNvPr id="75" name="btnCamIncVarAnalysis2" descr="CameraBtn.bmp">
          <a:extLst>
            <a:ext uri="{FF2B5EF4-FFF2-40B4-BE49-F238E27FC236}">
              <a16:creationId xmlns:a16="http://schemas.microsoft.com/office/drawing/2014/main" id="{00000000-0008-0000-0400-00004B000000}"/>
            </a:ext>
          </a:extLst>
        </xdr:cNvPr>
        <xdr:cNvPicPr>
          <a:picLocks noChangeAspect="1"/>
        </xdr:cNvPicPr>
      </xdr:nvPicPr>
      <xdr:blipFill>
        <a:blip xmlns:r="http://schemas.openxmlformats.org/officeDocument/2006/relationships" r:embed="rId7" cstate="print"/>
        <a:stretch>
          <a:fillRect/>
        </a:stretch>
      </xdr:blipFill>
      <xdr:spPr>
        <a:xfrm>
          <a:off x="42864" y="31072570"/>
          <a:ext cx="361950" cy="260350"/>
        </a:xfrm>
        <a:prstGeom prst="rect">
          <a:avLst/>
        </a:prstGeom>
      </xdr:spPr>
    </xdr:pic>
    <xdr:clientData fPrintsWithSheet="0"/>
  </xdr:twoCellAnchor>
  <xdr:twoCellAnchor editAs="oneCell">
    <xdr:from>
      <xdr:col>0</xdr:col>
      <xdr:colOff>42864</xdr:colOff>
      <xdr:row>335</xdr:row>
      <xdr:rowOff>99218</xdr:rowOff>
    </xdr:from>
    <xdr:to>
      <xdr:col>0</xdr:col>
      <xdr:colOff>404814</xdr:colOff>
      <xdr:row>337</xdr:row>
      <xdr:rowOff>42068</xdr:rowOff>
    </xdr:to>
    <xdr:pic macro="[0]!CameraButtonPressed">
      <xdr:nvPicPr>
        <xdr:cNvPr id="83" name="btnCamIncVarAnalysis3" descr="CameraBtn.bmp">
          <a:extLst>
            <a:ext uri="{FF2B5EF4-FFF2-40B4-BE49-F238E27FC236}">
              <a16:creationId xmlns:a16="http://schemas.microsoft.com/office/drawing/2014/main" id="{00000000-0008-0000-0400-000053000000}"/>
            </a:ext>
          </a:extLst>
        </xdr:cNvPr>
        <xdr:cNvPicPr>
          <a:picLocks noChangeAspect="1"/>
        </xdr:cNvPicPr>
      </xdr:nvPicPr>
      <xdr:blipFill>
        <a:blip xmlns:r="http://schemas.openxmlformats.org/officeDocument/2006/relationships" r:embed="rId7" cstate="print"/>
        <a:stretch>
          <a:fillRect/>
        </a:stretch>
      </xdr:blipFill>
      <xdr:spPr>
        <a:xfrm>
          <a:off x="42864" y="36308650"/>
          <a:ext cx="361950" cy="260350"/>
        </a:xfrm>
        <a:prstGeom prst="rect">
          <a:avLst/>
        </a:prstGeom>
      </xdr:spPr>
    </xdr:pic>
    <xdr:clientData fPrintsWithSheet="0"/>
  </xdr:twoCellAnchor>
  <xdr:twoCellAnchor editAs="oneCell">
    <xdr:from>
      <xdr:col>0</xdr:col>
      <xdr:colOff>42864</xdr:colOff>
      <xdr:row>381</xdr:row>
      <xdr:rowOff>84931</xdr:rowOff>
    </xdr:from>
    <xdr:to>
      <xdr:col>0</xdr:col>
      <xdr:colOff>404814</xdr:colOff>
      <xdr:row>383</xdr:row>
      <xdr:rowOff>27781</xdr:rowOff>
    </xdr:to>
    <xdr:pic macro="[0]!CameraButtonPressed">
      <xdr:nvPicPr>
        <xdr:cNvPr id="89" name="btnCamIncVarAnalysis4" descr="CameraBtn.bmp">
          <a:extLst>
            <a:ext uri="{FF2B5EF4-FFF2-40B4-BE49-F238E27FC236}">
              <a16:creationId xmlns:a16="http://schemas.microsoft.com/office/drawing/2014/main" id="{00000000-0008-0000-0400-000059000000}"/>
            </a:ext>
          </a:extLst>
        </xdr:cNvPr>
        <xdr:cNvPicPr>
          <a:picLocks noChangeAspect="1"/>
        </xdr:cNvPicPr>
      </xdr:nvPicPr>
      <xdr:blipFill>
        <a:blip xmlns:r="http://schemas.openxmlformats.org/officeDocument/2006/relationships" r:embed="rId7" cstate="print"/>
        <a:stretch>
          <a:fillRect/>
        </a:stretch>
      </xdr:blipFill>
      <xdr:spPr>
        <a:xfrm>
          <a:off x="42864" y="41504249"/>
          <a:ext cx="361950" cy="260350"/>
        </a:xfrm>
        <a:prstGeom prst="rect">
          <a:avLst/>
        </a:prstGeom>
      </xdr:spPr>
    </xdr:pic>
    <xdr:clientData fPrintsWithSheet="0"/>
  </xdr:twoCellAnchor>
  <xdr:twoCellAnchor editAs="oneCell">
    <xdr:from>
      <xdr:col>0</xdr:col>
      <xdr:colOff>42864</xdr:colOff>
      <xdr:row>427</xdr:row>
      <xdr:rowOff>82550</xdr:rowOff>
    </xdr:from>
    <xdr:to>
      <xdr:col>0</xdr:col>
      <xdr:colOff>404814</xdr:colOff>
      <xdr:row>429</xdr:row>
      <xdr:rowOff>25400</xdr:rowOff>
    </xdr:to>
    <xdr:pic macro="[0]!CameraButtonPressed">
      <xdr:nvPicPr>
        <xdr:cNvPr id="95" name="btnCamIncVarAnalysis5" descr="CameraBtn.bmp">
          <a:extLst>
            <a:ext uri="{FF2B5EF4-FFF2-40B4-BE49-F238E27FC236}">
              <a16:creationId xmlns:a16="http://schemas.microsoft.com/office/drawing/2014/main" id="{00000000-0008-0000-0400-00005F000000}"/>
            </a:ext>
          </a:extLst>
        </xdr:cNvPr>
        <xdr:cNvPicPr>
          <a:picLocks noChangeAspect="1"/>
        </xdr:cNvPicPr>
      </xdr:nvPicPr>
      <xdr:blipFill>
        <a:blip xmlns:r="http://schemas.openxmlformats.org/officeDocument/2006/relationships" r:embed="rId7" cstate="print"/>
        <a:stretch>
          <a:fillRect/>
        </a:stretch>
      </xdr:blipFill>
      <xdr:spPr>
        <a:xfrm>
          <a:off x="42864" y="46711755"/>
          <a:ext cx="361950" cy="260350"/>
        </a:xfrm>
        <a:prstGeom prst="rect">
          <a:avLst/>
        </a:prstGeom>
      </xdr:spPr>
    </xdr:pic>
    <xdr:clientData fPrintsWithSheet="0"/>
  </xdr:twoCellAnchor>
  <xdr:twoCellAnchor editAs="oneCell">
    <xdr:from>
      <xdr:col>0</xdr:col>
      <xdr:colOff>42864</xdr:colOff>
      <xdr:row>473</xdr:row>
      <xdr:rowOff>82550</xdr:rowOff>
    </xdr:from>
    <xdr:to>
      <xdr:col>0</xdr:col>
      <xdr:colOff>404814</xdr:colOff>
      <xdr:row>475</xdr:row>
      <xdr:rowOff>25400</xdr:rowOff>
    </xdr:to>
    <xdr:pic macro="[0]!CameraButtonPressed">
      <xdr:nvPicPr>
        <xdr:cNvPr id="101" name="btnCamIncVarAnalysis6" descr="CameraBtn.bmp">
          <a:extLst>
            <a:ext uri="{FF2B5EF4-FFF2-40B4-BE49-F238E27FC236}">
              <a16:creationId xmlns:a16="http://schemas.microsoft.com/office/drawing/2014/main" id="{00000000-0008-0000-0400-000065000000}"/>
            </a:ext>
          </a:extLst>
        </xdr:cNvPr>
        <xdr:cNvPicPr>
          <a:picLocks noChangeAspect="1"/>
        </xdr:cNvPicPr>
      </xdr:nvPicPr>
      <xdr:blipFill>
        <a:blip xmlns:r="http://schemas.openxmlformats.org/officeDocument/2006/relationships" r:embed="rId7" cstate="print"/>
        <a:stretch>
          <a:fillRect/>
        </a:stretch>
      </xdr:blipFill>
      <xdr:spPr>
        <a:xfrm>
          <a:off x="42864" y="51921641"/>
          <a:ext cx="361950" cy="260350"/>
        </a:xfrm>
        <a:prstGeom prst="rect">
          <a:avLst/>
        </a:prstGeom>
      </xdr:spPr>
    </xdr:pic>
    <xdr:clientData fPrintsWithSheet="0"/>
  </xdr:twoCellAnchor>
  <xdr:twoCellAnchor editAs="oneCell">
    <xdr:from>
      <xdr:col>0</xdr:col>
      <xdr:colOff>42864</xdr:colOff>
      <xdr:row>2</xdr:row>
      <xdr:rowOff>14290</xdr:rowOff>
    </xdr:from>
    <xdr:to>
      <xdr:col>0</xdr:col>
      <xdr:colOff>401825</xdr:colOff>
      <xdr:row>4</xdr:row>
      <xdr:rowOff>31138</xdr:rowOff>
    </xdr:to>
    <xdr:pic macro="[0]!AutoVBA.PrintCurrent">
      <xdr:nvPicPr>
        <xdr:cNvPr id="102" name="PrintBtn12" descr="printbtn37.bmp">
          <a:extLst>
            <a:ext uri="{FF2B5EF4-FFF2-40B4-BE49-F238E27FC236}">
              <a16:creationId xmlns:a16="http://schemas.microsoft.com/office/drawing/2014/main" id="{00000000-0008-0000-0400-000066000000}"/>
            </a:ext>
          </a:extLst>
        </xdr:cNvPr>
        <xdr:cNvPicPr>
          <a:picLocks noChangeAspect="1"/>
        </xdr:cNvPicPr>
      </xdr:nvPicPr>
      <xdr:blipFill>
        <a:blip xmlns:r="http://schemas.openxmlformats.org/officeDocument/2006/relationships" r:embed="rId13" cstate="print"/>
        <a:stretch>
          <a:fillRect/>
        </a:stretch>
      </xdr:blipFill>
      <xdr:spPr>
        <a:xfrm>
          <a:off x="42864" y="129745"/>
          <a:ext cx="358961" cy="262188"/>
        </a:xfrm>
        <a:prstGeom prst="rect">
          <a:avLst/>
        </a:prstGeom>
      </xdr:spPr>
    </xdr:pic>
    <xdr:clientData fPrintsWithSheet="0"/>
  </xdr:twoCellAnchor>
  <xdr:twoCellAnchor editAs="oneCell">
    <xdr:from>
      <xdr:col>0</xdr:col>
      <xdr:colOff>42864</xdr:colOff>
      <xdr:row>4</xdr:row>
      <xdr:rowOff>80962</xdr:rowOff>
    </xdr:from>
    <xdr:to>
      <xdr:col>0</xdr:col>
      <xdr:colOff>401825</xdr:colOff>
      <xdr:row>8</xdr:row>
      <xdr:rowOff>21610</xdr:rowOff>
    </xdr:to>
    <xdr:pic macro="[0]!GotoPreviousAnalysis">
      <xdr:nvPicPr>
        <xdr:cNvPr id="103" name="PrevBtn12" descr="prevbtn37c.bmp">
          <a:extLst>
            <a:ext uri="{FF2B5EF4-FFF2-40B4-BE49-F238E27FC236}">
              <a16:creationId xmlns:a16="http://schemas.microsoft.com/office/drawing/2014/main" id="{00000000-0008-0000-0400-000067000000}"/>
            </a:ext>
          </a:extLst>
        </xdr:cNvPr>
        <xdr:cNvPicPr>
          <a:picLocks noChangeAspect="1"/>
        </xdr:cNvPicPr>
      </xdr:nvPicPr>
      <xdr:blipFill>
        <a:blip xmlns:r="http://schemas.openxmlformats.org/officeDocument/2006/relationships" r:embed="rId14" cstate="print"/>
        <a:stretch>
          <a:fillRect/>
        </a:stretch>
      </xdr:blipFill>
      <xdr:spPr>
        <a:xfrm>
          <a:off x="42864" y="441757"/>
          <a:ext cx="358961" cy="258148"/>
        </a:xfrm>
        <a:prstGeom prst="rect">
          <a:avLst/>
        </a:prstGeom>
      </xdr:spPr>
    </xdr:pic>
    <xdr:clientData fPrintsWithSheet="0"/>
  </xdr:twoCellAnchor>
  <xdr:twoCellAnchor editAs="oneCell">
    <xdr:from>
      <xdr:col>0</xdr:col>
      <xdr:colOff>42864</xdr:colOff>
      <xdr:row>8</xdr:row>
      <xdr:rowOff>76200</xdr:rowOff>
    </xdr:from>
    <xdr:to>
      <xdr:col>0</xdr:col>
      <xdr:colOff>401825</xdr:colOff>
      <xdr:row>17</xdr:row>
      <xdr:rowOff>140673</xdr:rowOff>
    </xdr:to>
    <xdr:pic macro="[0]!GotoNextAnalysis">
      <xdr:nvPicPr>
        <xdr:cNvPr id="104" name="NextBtn12" descr="nextbtn37c.bmp">
          <a:extLst>
            <a:ext uri="{FF2B5EF4-FFF2-40B4-BE49-F238E27FC236}">
              <a16:creationId xmlns:a16="http://schemas.microsoft.com/office/drawing/2014/main" id="{00000000-0008-0000-0400-000068000000}"/>
            </a:ext>
          </a:extLst>
        </xdr:cNvPr>
        <xdr:cNvPicPr>
          <a:picLocks noChangeAspect="1"/>
        </xdr:cNvPicPr>
      </xdr:nvPicPr>
      <xdr:blipFill>
        <a:blip xmlns:r="http://schemas.openxmlformats.org/officeDocument/2006/relationships" r:embed="rId15" cstate="print"/>
        <a:stretch>
          <a:fillRect/>
        </a:stretch>
      </xdr:blipFill>
      <xdr:spPr>
        <a:xfrm>
          <a:off x="42864" y="774700"/>
          <a:ext cx="358961" cy="267673"/>
        </a:xfrm>
        <a:prstGeom prst="rect">
          <a:avLst/>
        </a:prstGeom>
      </xdr:spPr>
    </xdr:pic>
    <xdr:clientData fPrintsWithSheet="0"/>
  </xdr:twoCellAnchor>
  <xdr:twoCellAnchor editAs="oneCell">
    <xdr:from>
      <xdr:col>0</xdr:col>
      <xdr:colOff>42864</xdr:colOff>
      <xdr:row>18</xdr:row>
      <xdr:rowOff>31750</xdr:rowOff>
    </xdr:from>
    <xdr:to>
      <xdr:col>0</xdr:col>
      <xdr:colOff>401825</xdr:colOff>
      <xdr:row>19</xdr:row>
      <xdr:rowOff>134323</xdr:rowOff>
    </xdr:to>
    <xdr:pic macro="[0]!GoHome">
      <xdr:nvPicPr>
        <xdr:cNvPr id="105" name="HomeBtn12" descr="homebtn37b.bmp">
          <a:extLst>
            <a:ext uri="{FF2B5EF4-FFF2-40B4-BE49-F238E27FC236}">
              <a16:creationId xmlns:a16="http://schemas.microsoft.com/office/drawing/2014/main" id="{00000000-0008-0000-0400-000069000000}"/>
            </a:ext>
          </a:extLst>
        </xdr:cNvPr>
        <xdr:cNvPicPr>
          <a:picLocks noChangeAspect="1"/>
        </xdr:cNvPicPr>
      </xdr:nvPicPr>
      <xdr:blipFill>
        <a:blip xmlns:r="http://schemas.openxmlformats.org/officeDocument/2006/relationships" r:embed="rId16" cstate="print"/>
        <a:stretch>
          <a:fillRect/>
        </a:stretch>
      </xdr:blipFill>
      <xdr:spPr>
        <a:xfrm>
          <a:off x="42864" y="1092200"/>
          <a:ext cx="358961" cy="261323"/>
        </a:xfrm>
        <a:prstGeom prst="rect">
          <a:avLst/>
        </a:prstGeom>
      </xdr:spPr>
    </xdr:pic>
    <xdr:clientData fPrintsWithSheet="0"/>
  </xdr:twoCellAnchor>
  <xdr:twoCellAnchor editAs="oneCell">
    <xdr:from>
      <xdr:col>0</xdr:col>
      <xdr:colOff>42864</xdr:colOff>
      <xdr:row>20</xdr:row>
      <xdr:rowOff>31750</xdr:rowOff>
    </xdr:from>
    <xdr:to>
      <xdr:col>0</xdr:col>
      <xdr:colOff>401825</xdr:colOff>
      <xdr:row>21</xdr:row>
      <xdr:rowOff>134323</xdr:rowOff>
    </xdr:to>
    <xdr:pic macro="[0]!ShowGuide">
      <xdr:nvPicPr>
        <xdr:cNvPr id="106" name="HelpBtn12" descr="helpbtn37c.bmp">
          <a:extLst>
            <a:ext uri="{FF2B5EF4-FFF2-40B4-BE49-F238E27FC236}">
              <a16:creationId xmlns:a16="http://schemas.microsoft.com/office/drawing/2014/main" id="{00000000-0008-0000-0400-00006A000000}"/>
            </a:ext>
          </a:extLst>
        </xdr:cNvPr>
        <xdr:cNvPicPr>
          <a:picLocks noChangeAspect="1"/>
        </xdr:cNvPicPr>
      </xdr:nvPicPr>
      <xdr:blipFill>
        <a:blip xmlns:r="http://schemas.openxmlformats.org/officeDocument/2006/relationships" r:embed="rId17" cstate="print"/>
        <a:stretch>
          <a:fillRect/>
        </a:stretch>
      </xdr:blipFill>
      <xdr:spPr>
        <a:xfrm>
          <a:off x="42864" y="1409700"/>
          <a:ext cx="358961" cy="261323"/>
        </a:xfrm>
        <a:prstGeom prst="rect">
          <a:avLst/>
        </a:prstGeom>
      </xdr:spPr>
    </xdr:pic>
    <xdr:clientData fPrintsWithSheet="0"/>
  </xdr:twoCellAnchor>
  <xdr:twoCellAnchor editAs="oneCell">
    <xdr:from>
      <xdr:col>4</xdr:col>
      <xdr:colOff>247650</xdr:colOff>
      <xdr:row>4</xdr:row>
      <xdr:rowOff>7145</xdr:rowOff>
    </xdr:from>
    <xdr:to>
      <xdr:col>4</xdr:col>
      <xdr:colOff>428625</xdr:colOff>
      <xdr:row>5</xdr:row>
      <xdr:rowOff>16670</xdr:rowOff>
    </xdr:to>
    <xdr:pic macro="[0]!AnalysisRefresh">
      <xdr:nvPicPr>
        <xdr:cNvPr id="108" name="DiscountRateAnalysisBtn" descr="analysisrefresh37.bmp">
          <a:extLst>
            <a:ext uri="{FF2B5EF4-FFF2-40B4-BE49-F238E27FC236}">
              <a16:creationId xmlns:a16="http://schemas.microsoft.com/office/drawing/2014/main" id="{00000000-0008-0000-0400-00006C000000}"/>
            </a:ext>
          </a:extLst>
        </xdr:cNvPr>
        <xdr:cNvPicPr>
          <a:picLocks noChangeAspect="1"/>
        </xdr:cNvPicPr>
      </xdr:nvPicPr>
      <xdr:blipFill>
        <a:blip xmlns:r="http://schemas.openxmlformats.org/officeDocument/2006/relationships" r:embed="rId18" cstate="print"/>
        <a:stretch>
          <a:fillRect/>
        </a:stretch>
      </xdr:blipFill>
      <xdr:spPr>
        <a:xfrm>
          <a:off x="2978150" y="388145"/>
          <a:ext cx="180975" cy="168275"/>
        </a:xfrm>
        <a:prstGeom prst="rect">
          <a:avLst/>
        </a:prstGeom>
      </xdr:spPr>
    </xdr:pic>
    <xdr:clientData fPrintsWithSheet="0"/>
  </xdr:twoCellAnchor>
  <xdr:twoCellAnchor editAs="oneCell">
    <xdr:from>
      <xdr:col>0</xdr:col>
      <xdr:colOff>42864</xdr:colOff>
      <xdr:row>43</xdr:row>
      <xdr:rowOff>21432</xdr:rowOff>
    </xdr:from>
    <xdr:to>
      <xdr:col>0</xdr:col>
      <xdr:colOff>401825</xdr:colOff>
      <xdr:row>45</xdr:row>
      <xdr:rowOff>38280</xdr:rowOff>
    </xdr:to>
    <xdr:pic macro="[0]!AutoVBA.PrintCurrent">
      <xdr:nvPicPr>
        <xdr:cNvPr id="109" name="PrintBtn13" descr="printbtn37.bmp">
          <a:extLst>
            <a:ext uri="{FF2B5EF4-FFF2-40B4-BE49-F238E27FC236}">
              <a16:creationId xmlns:a16="http://schemas.microsoft.com/office/drawing/2014/main" id="{00000000-0008-0000-0400-00006D000000}"/>
            </a:ext>
          </a:extLst>
        </xdr:cNvPr>
        <xdr:cNvPicPr>
          <a:picLocks noChangeAspect="1"/>
        </xdr:cNvPicPr>
      </xdr:nvPicPr>
      <xdr:blipFill>
        <a:blip xmlns:r="http://schemas.openxmlformats.org/officeDocument/2006/relationships" r:embed="rId13" cstate="print"/>
        <a:stretch>
          <a:fillRect/>
        </a:stretch>
      </xdr:blipFill>
      <xdr:spPr>
        <a:xfrm>
          <a:off x="42864" y="5029273"/>
          <a:ext cx="358961" cy="262189"/>
        </a:xfrm>
        <a:prstGeom prst="rect">
          <a:avLst/>
        </a:prstGeom>
      </xdr:spPr>
    </xdr:pic>
    <xdr:clientData fPrintsWithSheet="0"/>
  </xdr:twoCellAnchor>
  <xdr:twoCellAnchor editAs="oneCell">
    <xdr:from>
      <xdr:col>0</xdr:col>
      <xdr:colOff>42864</xdr:colOff>
      <xdr:row>45</xdr:row>
      <xdr:rowOff>88106</xdr:rowOff>
    </xdr:from>
    <xdr:to>
      <xdr:col>0</xdr:col>
      <xdr:colOff>401825</xdr:colOff>
      <xdr:row>47</xdr:row>
      <xdr:rowOff>19229</xdr:rowOff>
    </xdr:to>
    <xdr:pic macro="[0]!GotoPreviousAnalysis">
      <xdr:nvPicPr>
        <xdr:cNvPr id="110" name="PrevBtn13" descr="prevbtn37c.bmp">
          <a:extLst>
            <a:ext uri="{FF2B5EF4-FFF2-40B4-BE49-F238E27FC236}">
              <a16:creationId xmlns:a16="http://schemas.microsoft.com/office/drawing/2014/main" id="{00000000-0008-0000-0400-00006E000000}"/>
            </a:ext>
          </a:extLst>
        </xdr:cNvPr>
        <xdr:cNvPicPr>
          <a:picLocks noChangeAspect="1"/>
        </xdr:cNvPicPr>
      </xdr:nvPicPr>
      <xdr:blipFill>
        <a:blip xmlns:r="http://schemas.openxmlformats.org/officeDocument/2006/relationships" r:embed="rId14" cstate="print"/>
        <a:stretch>
          <a:fillRect/>
        </a:stretch>
      </xdr:blipFill>
      <xdr:spPr>
        <a:xfrm>
          <a:off x="42864" y="5341288"/>
          <a:ext cx="358961" cy="263055"/>
        </a:xfrm>
        <a:prstGeom prst="rect">
          <a:avLst/>
        </a:prstGeom>
      </xdr:spPr>
    </xdr:pic>
    <xdr:clientData fPrintsWithSheet="0"/>
  </xdr:twoCellAnchor>
  <xdr:twoCellAnchor editAs="oneCell">
    <xdr:from>
      <xdr:col>0</xdr:col>
      <xdr:colOff>42864</xdr:colOff>
      <xdr:row>47</xdr:row>
      <xdr:rowOff>69058</xdr:rowOff>
    </xdr:from>
    <xdr:to>
      <xdr:col>0</xdr:col>
      <xdr:colOff>401825</xdr:colOff>
      <xdr:row>62</xdr:row>
      <xdr:rowOff>133531</xdr:rowOff>
    </xdr:to>
    <xdr:pic macro="[0]!GotoNextAnalysis">
      <xdr:nvPicPr>
        <xdr:cNvPr id="111" name="NextBtn13" descr="nextbtn37c.bmp">
          <a:extLst>
            <a:ext uri="{FF2B5EF4-FFF2-40B4-BE49-F238E27FC236}">
              <a16:creationId xmlns:a16="http://schemas.microsoft.com/office/drawing/2014/main" id="{00000000-0008-0000-0400-00006F000000}"/>
            </a:ext>
          </a:extLst>
        </xdr:cNvPr>
        <xdr:cNvPicPr>
          <a:picLocks noChangeAspect="1"/>
        </xdr:cNvPicPr>
      </xdr:nvPicPr>
      <xdr:blipFill>
        <a:blip xmlns:r="http://schemas.openxmlformats.org/officeDocument/2006/relationships" r:embed="rId15" cstate="print"/>
        <a:stretch>
          <a:fillRect/>
        </a:stretch>
      </xdr:blipFill>
      <xdr:spPr>
        <a:xfrm>
          <a:off x="42864" y="5654172"/>
          <a:ext cx="358961" cy="266518"/>
        </a:xfrm>
        <a:prstGeom prst="rect">
          <a:avLst/>
        </a:prstGeom>
      </xdr:spPr>
    </xdr:pic>
    <xdr:clientData fPrintsWithSheet="0"/>
  </xdr:twoCellAnchor>
  <xdr:twoCellAnchor editAs="oneCell">
    <xdr:from>
      <xdr:col>0</xdr:col>
      <xdr:colOff>42864</xdr:colOff>
      <xdr:row>63</xdr:row>
      <xdr:rowOff>9526</xdr:rowOff>
    </xdr:from>
    <xdr:to>
      <xdr:col>0</xdr:col>
      <xdr:colOff>401825</xdr:colOff>
      <xdr:row>64</xdr:row>
      <xdr:rowOff>112099</xdr:rowOff>
    </xdr:to>
    <xdr:pic macro="[0]!GoHome">
      <xdr:nvPicPr>
        <xdr:cNvPr id="112" name="HomeBtn13" descr="homebtn37b.bmp">
          <a:extLst>
            <a:ext uri="{FF2B5EF4-FFF2-40B4-BE49-F238E27FC236}">
              <a16:creationId xmlns:a16="http://schemas.microsoft.com/office/drawing/2014/main" id="{00000000-0008-0000-0400-000070000000}"/>
            </a:ext>
          </a:extLst>
        </xdr:cNvPr>
        <xdr:cNvPicPr>
          <a:picLocks noChangeAspect="1"/>
        </xdr:cNvPicPr>
      </xdr:nvPicPr>
      <xdr:blipFill>
        <a:blip xmlns:r="http://schemas.openxmlformats.org/officeDocument/2006/relationships" r:embed="rId16" cstate="print"/>
        <a:stretch>
          <a:fillRect/>
        </a:stretch>
      </xdr:blipFill>
      <xdr:spPr>
        <a:xfrm>
          <a:off x="42864" y="5969867"/>
          <a:ext cx="358961" cy="261323"/>
        </a:xfrm>
        <a:prstGeom prst="rect">
          <a:avLst/>
        </a:prstGeom>
      </xdr:spPr>
    </xdr:pic>
    <xdr:clientData fPrintsWithSheet="0"/>
  </xdr:twoCellAnchor>
  <xdr:twoCellAnchor editAs="oneCell">
    <xdr:from>
      <xdr:col>0</xdr:col>
      <xdr:colOff>42864</xdr:colOff>
      <xdr:row>65</xdr:row>
      <xdr:rowOff>1</xdr:rowOff>
    </xdr:from>
    <xdr:to>
      <xdr:col>0</xdr:col>
      <xdr:colOff>401825</xdr:colOff>
      <xdr:row>66</xdr:row>
      <xdr:rowOff>102574</xdr:rowOff>
    </xdr:to>
    <xdr:pic macro="[0]!ShowGuide">
      <xdr:nvPicPr>
        <xdr:cNvPr id="113" name="HelpBtn13" descr="helpbtn37c.bmp">
          <a:extLst>
            <a:ext uri="{FF2B5EF4-FFF2-40B4-BE49-F238E27FC236}">
              <a16:creationId xmlns:a16="http://schemas.microsoft.com/office/drawing/2014/main" id="{00000000-0008-0000-0400-000071000000}"/>
            </a:ext>
          </a:extLst>
        </xdr:cNvPr>
        <xdr:cNvPicPr>
          <a:picLocks noChangeAspect="1"/>
        </xdr:cNvPicPr>
      </xdr:nvPicPr>
      <xdr:blipFill>
        <a:blip xmlns:r="http://schemas.openxmlformats.org/officeDocument/2006/relationships" r:embed="rId17" cstate="print"/>
        <a:stretch>
          <a:fillRect/>
        </a:stretch>
      </xdr:blipFill>
      <xdr:spPr>
        <a:xfrm>
          <a:off x="42864" y="6277842"/>
          <a:ext cx="358961" cy="261323"/>
        </a:xfrm>
        <a:prstGeom prst="rect">
          <a:avLst/>
        </a:prstGeom>
      </xdr:spPr>
    </xdr:pic>
    <xdr:clientData fPrintsWithSheet="0"/>
  </xdr:twoCellAnchor>
  <xdr:twoCellAnchor editAs="oneCell">
    <xdr:from>
      <xdr:col>4</xdr:col>
      <xdr:colOff>247650</xdr:colOff>
      <xdr:row>45</xdr:row>
      <xdr:rowOff>9524</xdr:rowOff>
    </xdr:from>
    <xdr:to>
      <xdr:col>4</xdr:col>
      <xdr:colOff>428625</xdr:colOff>
      <xdr:row>46</xdr:row>
      <xdr:rowOff>9524</xdr:rowOff>
    </xdr:to>
    <xdr:pic macro="[0]!AnalysisRefresh">
      <xdr:nvPicPr>
        <xdr:cNvPr id="114" name="InvestmentAnalysisBtn" descr="analysisrefresh37.bmp">
          <a:extLst>
            <a:ext uri="{FF2B5EF4-FFF2-40B4-BE49-F238E27FC236}">
              <a16:creationId xmlns:a16="http://schemas.microsoft.com/office/drawing/2014/main" id="{00000000-0008-0000-0400-000072000000}"/>
            </a:ext>
          </a:extLst>
        </xdr:cNvPr>
        <xdr:cNvPicPr>
          <a:picLocks noChangeAspect="1"/>
        </xdr:cNvPicPr>
      </xdr:nvPicPr>
      <xdr:blipFill>
        <a:blip xmlns:r="http://schemas.openxmlformats.org/officeDocument/2006/relationships" r:embed="rId18" cstate="print"/>
        <a:stretch>
          <a:fillRect/>
        </a:stretch>
      </xdr:blipFill>
      <xdr:spPr>
        <a:xfrm>
          <a:off x="2978150" y="5318124"/>
          <a:ext cx="180975" cy="177800"/>
        </a:xfrm>
        <a:prstGeom prst="rect">
          <a:avLst/>
        </a:prstGeom>
      </xdr:spPr>
    </xdr:pic>
    <xdr:clientData fPrintsWithSheet="0"/>
  </xdr:twoCellAnchor>
  <xdr:twoCellAnchor editAs="oneCell">
    <xdr:from>
      <xdr:col>0</xdr:col>
      <xdr:colOff>42864</xdr:colOff>
      <xdr:row>88</xdr:row>
      <xdr:rowOff>4762</xdr:rowOff>
    </xdr:from>
    <xdr:to>
      <xdr:col>0</xdr:col>
      <xdr:colOff>401825</xdr:colOff>
      <xdr:row>90</xdr:row>
      <xdr:rowOff>21610</xdr:rowOff>
    </xdr:to>
    <xdr:pic macro="[0]!AutoVBA.PrintCurrent">
      <xdr:nvPicPr>
        <xdr:cNvPr id="115" name="PrintBtn14" descr="printbtn37.bmp">
          <a:extLst>
            <a:ext uri="{FF2B5EF4-FFF2-40B4-BE49-F238E27FC236}">
              <a16:creationId xmlns:a16="http://schemas.microsoft.com/office/drawing/2014/main" id="{00000000-0008-0000-0400-000073000000}"/>
            </a:ext>
          </a:extLst>
        </xdr:cNvPr>
        <xdr:cNvPicPr>
          <a:picLocks noChangeAspect="1"/>
        </xdr:cNvPicPr>
      </xdr:nvPicPr>
      <xdr:blipFill>
        <a:blip xmlns:r="http://schemas.openxmlformats.org/officeDocument/2006/relationships" r:embed="rId13" cstate="print"/>
        <a:stretch>
          <a:fillRect/>
        </a:stretch>
      </xdr:blipFill>
      <xdr:spPr>
        <a:xfrm>
          <a:off x="42864" y="9933853"/>
          <a:ext cx="358961" cy="262189"/>
        </a:xfrm>
        <a:prstGeom prst="rect">
          <a:avLst/>
        </a:prstGeom>
      </xdr:spPr>
    </xdr:pic>
    <xdr:clientData fPrintsWithSheet="0"/>
  </xdr:twoCellAnchor>
  <xdr:twoCellAnchor editAs="oneCell">
    <xdr:from>
      <xdr:col>4</xdr:col>
      <xdr:colOff>247650</xdr:colOff>
      <xdr:row>90</xdr:row>
      <xdr:rowOff>4764</xdr:rowOff>
    </xdr:from>
    <xdr:to>
      <xdr:col>4</xdr:col>
      <xdr:colOff>428625</xdr:colOff>
      <xdr:row>90</xdr:row>
      <xdr:rowOff>176214</xdr:rowOff>
    </xdr:to>
    <xdr:pic macro="[0]!AnalysisRefresh">
      <xdr:nvPicPr>
        <xdr:cNvPr id="116" name="TurnoverAnalysisBtn" descr="analysisrefresh37.bmp">
          <a:extLst>
            <a:ext uri="{FF2B5EF4-FFF2-40B4-BE49-F238E27FC236}">
              <a16:creationId xmlns:a16="http://schemas.microsoft.com/office/drawing/2014/main" id="{00000000-0008-0000-0400-000074000000}"/>
            </a:ext>
          </a:extLst>
        </xdr:cNvPr>
        <xdr:cNvPicPr>
          <a:picLocks noChangeAspect="1"/>
        </xdr:cNvPicPr>
      </xdr:nvPicPr>
      <xdr:blipFill>
        <a:blip xmlns:r="http://schemas.openxmlformats.org/officeDocument/2006/relationships" r:embed="rId18" cstate="print"/>
        <a:stretch>
          <a:fillRect/>
        </a:stretch>
      </xdr:blipFill>
      <xdr:spPr>
        <a:xfrm>
          <a:off x="2978150" y="10285414"/>
          <a:ext cx="180975" cy="171450"/>
        </a:xfrm>
        <a:prstGeom prst="rect">
          <a:avLst/>
        </a:prstGeom>
      </xdr:spPr>
    </xdr:pic>
    <xdr:clientData fPrintsWithSheet="0"/>
  </xdr:twoCellAnchor>
  <xdr:twoCellAnchor editAs="oneCell">
    <xdr:from>
      <xdr:col>0</xdr:col>
      <xdr:colOff>42864</xdr:colOff>
      <xdr:row>90</xdr:row>
      <xdr:rowOff>78580</xdr:rowOff>
    </xdr:from>
    <xdr:to>
      <xdr:col>0</xdr:col>
      <xdr:colOff>401825</xdr:colOff>
      <xdr:row>91</xdr:row>
      <xdr:rowOff>152578</xdr:rowOff>
    </xdr:to>
    <xdr:pic macro="[0]!GotoPreviousAnalysis">
      <xdr:nvPicPr>
        <xdr:cNvPr id="117" name="PrevBtn14" descr="prevbtn37c.bmp">
          <a:extLst>
            <a:ext uri="{FF2B5EF4-FFF2-40B4-BE49-F238E27FC236}">
              <a16:creationId xmlns:a16="http://schemas.microsoft.com/office/drawing/2014/main" id="{00000000-0008-0000-0400-000075000000}"/>
            </a:ext>
          </a:extLst>
        </xdr:cNvPr>
        <xdr:cNvPicPr>
          <a:picLocks noChangeAspect="1"/>
        </xdr:cNvPicPr>
      </xdr:nvPicPr>
      <xdr:blipFill>
        <a:blip xmlns:r="http://schemas.openxmlformats.org/officeDocument/2006/relationships" r:embed="rId14" cstate="print"/>
        <a:stretch>
          <a:fillRect/>
        </a:stretch>
      </xdr:blipFill>
      <xdr:spPr>
        <a:xfrm>
          <a:off x="42864" y="10253012"/>
          <a:ext cx="358961" cy="261611"/>
        </a:xfrm>
        <a:prstGeom prst="rect">
          <a:avLst/>
        </a:prstGeom>
      </xdr:spPr>
    </xdr:pic>
    <xdr:clientData fPrintsWithSheet="0"/>
  </xdr:twoCellAnchor>
  <xdr:twoCellAnchor editAs="oneCell">
    <xdr:from>
      <xdr:col>0</xdr:col>
      <xdr:colOff>42864</xdr:colOff>
      <xdr:row>92</xdr:row>
      <xdr:rowOff>0</xdr:rowOff>
    </xdr:from>
    <xdr:to>
      <xdr:col>0</xdr:col>
      <xdr:colOff>401825</xdr:colOff>
      <xdr:row>107</xdr:row>
      <xdr:rowOff>95428</xdr:rowOff>
    </xdr:to>
    <xdr:pic macro="[0]!GotoNextAnalysis">
      <xdr:nvPicPr>
        <xdr:cNvPr id="120" name="NextBtn14" descr="nextbtn37c.bmp">
          <a:extLst>
            <a:ext uri="{FF2B5EF4-FFF2-40B4-BE49-F238E27FC236}">
              <a16:creationId xmlns:a16="http://schemas.microsoft.com/office/drawing/2014/main" id="{00000000-0008-0000-0400-000078000000}"/>
            </a:ext>
          </a:extLst>
        </xdr:cNvPr>
        <xdr:cNvPicPr>
          <a:picLocks noChangeAspect="1"/>
        </xdr:cNvPicPr>
      </xdr:nvPicPr>
      <xdr:blipFill>
        <a:blip xmlns:r="http://schemas.openxmlformats.org/officeDocument/2006/relationships" r:embed="rId15" cstate="print"/>
        <a:stretch>
          <a:fillRect/>
        </a:stretch>
      </xdr:blipFill>
      <xdr:spPr>
        <a:xfrm>
          <a:off x="42864" y="10564091"/>
          <a:ext cx="358961" cy="268610"/>
        </a:xfrm>
        <a:prstGeom prst="rect">
          <a:avLst/>
        </a:prstGeom>
      </xdr:spPr>
    </xdr:pic>
    <xdr:clientData fPrintsWithSheet="0"/>
  </xdr:twoCellAnchor>
  <xdr:twoCellAnchor editAs="oneCell">
    <xdr:from>
      <xdr:col>0</xdr:col>
      <xdr:colOff>42864</xdr:colOff>
      <xdr:row>107</xdr:row>
      <xdr:rowOff>142875</xdr:rowOff>
    </xdr:from>
    <xdr:to>
      <xdr:col>0</xdr:col>
      <xdr:colOff>401825</xdr:colOff>
      <xdr:row>109</xdr:row>
      <xdr:rowOff>83523</xdr:rowOff>
    </xdr:to>
    <xdr:pic macro="[0]!GoHome">
      <xdr:nvPicPr>
        <xdr:cNvPr id="121" name="HomeBtn14" descr="homebtn37b.bmp">
          <a:extLst>
            <a:ext uri="{FF2B5EF4-FFF2-40B4-BE49-F238E27FC236}">
              <a16:creationId xmlns:a16="http://schemas.microsoft.com/office/drawing/2014/main" id="{00000000-0008-0000-0400-000079000000}"/>
            </a:ext>
          </a:extLst>
        </xdr:cNvPr>
        <xdr:cNvPicPr>
          <a:picLocks noChangeAspect="1"/>
        </xdr:cNvPicPr>
      </xdr:nvPicPr>
      <xdr:blipFill>
        <a:blip xmlns:r="http://schemas.openxmlformats.org/officeDocument/2006/relationships" r:embed="rId16" cstate="print"/>
        <a:stretch>
          <a:fillRect/>
        </a:stretch>
      </xdr:blipFill>
      <xdr:spPr>
        <a:xfrm>
          <a:off x="42864" y="10880148"/>
          <a:ext cx="358961" cy="258148"/>
        </a:xfrm>
        <a:prstGeom prst="rect">
          <a:avLst/>
        </a:prstGeom>
      </xdr:spPr>
    </xdr:pic>
    <xdr:clientData fPrintsWithSheet="0"/>
  </xdr:twoCellAnchor>
  <xdr:twoCellAnchor editAs="oneCell">
    <xdr:from>
      <xdr:col>0</xdr:col>
      <xdr:colOff>42864</xdr:colOff>
      <xdr:row>109</xdr:row>
      <xdr:rowOff>140495</xdr:rowOff>
    </xdr:from>
    <xdr:to>
      <xdr:col>0</xdr:col>
      <xdr:colOff>401825</xdr:colOff>
      <xdr:row>111</xdr:row>
      <xdr:rowOff>81143</xdr:rowOff>
    </xdr:to>
    <xdr:pic macro="[0]!ShowGuide">
      <xdr:nvPicPr>
        <xdr:cNvPr id="122" name="HelpBtn14" descr="helpbtn37c.bmp">
          <a:extLst>
            <a:ext uri="{FF2B5EF4-FFF2-40B4-BE49-F238E27FC236}">
              <a16:creationId xmlns:a16="http://schemas.microsoft.com/office/drawing/2014/main" id="{00000000-0008-0000-0400-00007A000000}"/>
            </a:ext>
          </a:extLst>
        </xdr:cNvPr>
        <xdr:cNvPicPr>
          <a:picLocks noChangeAspect="1"/>
        </xdr:cNvPicPr>
      </xdr:nvPicPr>
      <xdr:blipFill>
        <a:blip xmlns:r="http://schemas.openxmlformats.org/officeDocument/2006/relationships" r:embed="rId17" cstate="print"/>
        <a:stretch>
          <a:fillRect/>
        </a:stretch>
      </xdr:blipFill>
      <xdr:spPr>
        <a:xfrm>
          <a:off x="42864" y="11195268"/>
          <a:ext cx="358961" cy="258148"/>
        </a:xfrm>
        <a:prstGeom prst="rect">
          <a:avLst/>
        </a:prstGeom>
      </xdr:spPr>
    </xdr:pic>
    <xdr:clientData fPrintsWithSheet="0"/>
  </xdr:twoCellAnchor>
  <xdr:twoCellAnchor editAs="oneCell">
    <xdr:from>
      <xdr:col>0</xdr:col>
      <xdr:colOff>42864</xdr:colOff>
      <xdr:row>132</xdr:row>
      <xdr:rowOff>19052</xdr:rowOff>
    </xdr:from>
    <xdr:to>
      <xdr:col>0</xdr:col>
      <xdr:colOff>401825</xdr:colOff>
      <xdr:row>134</xdr:row>
      <xdr:rowOff>35900</xdr:rowOff>
    </xdr:to>
    <xdr:pic macro="[0]!AutoVBA.PrintCurrent">
      <xdr:nvPicPr>
        <xdr:cNvPr id="123" name="PrintBtn15" descr="printbtn37.bmp">
          <a:extLst>
            <a:ext uri="{FF2B5EF4-FFF2-40B4-BE49-F238E27FC236}">
              <a16:creationId xmlns:a16="http://schemas.microsoft.com/office/drawing/2014/main" id="{00000000-0008-0000-0400-00007B000000}"/>
            </a:ext>
          </a:extLst>
        </xdr:cNvPr>
        <xdr:cNvPicPr>
          <a:picLocks noChangeAspect="1"/>
        </xdr:cNvPicPr>
      </xdr:nvPicPr>
      <xdr:blipFill>
        <a:blip xmlns:r="http://schemas.openxmlformats.org/officeDocument/2006/relationships" r:embed="rId13" cstate="print"/>
        <a:stretch>
          <a:fillRect/>
        </a:stretch>
      </xdr:blipFill>
      <xdr:spPr>
        <a:xfrm>
          <a:off x="42864" y="14725075"/>
          <a:ext cx="358961" cy="262189"/>
        </a:xfrm>
        <a:prstGeom prst="rect">
          <a:avLst/>
        </a:prstGeom>
      </xdr:spPr>
    </xdr:pic>
    <xdr:clientData fPrintsWithSheet="0"/>
  </xdr:twoCellAnchor>
  <xdr:twoCellAnchor editAs="oneCell">
    <xdr:from>
      <xdr:col>0</xdr:col>
      <xdr:colOff>42864</xdr:colOff>
      <xdr:row>134</xdr:row>
      <xdr:rowOff>83347</xdr:rowOff>
    </xdr:from>
    <xdr:to>
      <xdr:col>0</xdr:col>
      <xdr:colOff>401825</xdr:colOff>
      <xdr:row>135</xdr:row>
      <xdr:rowOff>157345</xdr:rowOff>
    </xdr:to>
    <xdr:pic macro="[0]!GotoPreviousAnalysis">
      <xdr:nvPicPr>
        <xdr:cNvPr id="124" name="PrevBtn15" descr="prevbtn37c.bmp">
          <a:extLst>
            <a:ext uri="{FF2B5EF4-FFF2-40B4-BE49-F238E27FC236}">
              <a16:creationId xmlns:a16="http://schemas.microsoft.com/office/drawing/2014/main" id="{00000000-0008-0000-0400-00007C000000}"/>
            </a:ext>
          </a:extLst>
        </xdr:cNvPr>
        <xdr:cNvPicPr>
          <a:picLocks noChangeAspect="1"/>
        </xdr:cNvPicPr>
      </xdr:nvPicPr>
      <xdr:blipFill>
        <a:blip xmlns:r="http://schemas.openxmlformats.org/officeDocument/2006/relationships" r:embed="rId14" cstate="print"/>
        <a:stretch>
          <a:fillRect/>
        </a:stretch>
      </xdr:blipFill>
      <xdr:spPr>
        <a:xfrm>
          <a:off x="42864" y="15034711"/>
          <a:ext cx="358961" cy="261611"/>
        </a:xfrm>
        <a:prstGeom prst="rect">
          <a:avLst/>
        </a:prstGeom>
      </xdr:spPr>
    </xdr:pic>
    <xdr:clientData fPrintsWithSheet="0"/>
  </xdr:twoCellAnchor>
  <xdr:twoCellAnchor editAs="oneCell">
    <xdr:from>
      <xdr:col>0</xdr:col>
      <xdr:colOff>42864</xdr:colOff>
      <xdr:row>136</xdr:row>
      <xdr:rowOff>7148</xdr:rowOff>
    </xdr:from>
    <xdr:to>
      <xdr:col>0</xdr:col>
      <xdr:colOff>401825</xdr:colOff>
      <xdr:row>151</xdr:row>
      <xdr:rowOff>100196</xdr:rowOff>
    </xdr:to>
    <xdr:pic macro="[0]!GotoNextAnalysis">
      <xdr:nvPicPr>
        <xdr:cNvPr id="125" name="NextBtn15" descr="nextbtn37c.bmp">
          <a:extLst>
            <a:ext uri="{FF2B5EF4-FFF2-40B4-BE49-F238E27FC236}">
              <a16:creationId xmlns:a16="http://schemas.microsoft.com/office/drawing/2014/main" id="{00000000-0008-0000-0400-00007D000000}"/>
            </a:ext>
          </a:extLst>
        </xdr:cNvPr>
        <xdr:cNvPicPr>
          <a:picLocks noChangeAspect="1"/>
        </xdr:cNvPicPr>
      </xdr:nvPicPr>
      <xdr:blipFill>
        <a:blip xmlns:r="http://schemas.openxmlformats.org/officeDocument/2006/relationships" r:embed="rId15" cstate="print"/>
        <a:stretch>
          <a:fillRect/>
        </a:stretch>
      </xdr:blipFill>
      <xdr:spPr>
        <a:xfrm>
          <a:off x="42864" y="15348171"/>
          <a:ext cx="358961" cy="266230"/>
        </a:xfrm>
        <a:prstGeom prst="rect">
          <a:avLst/>
        </a:prstGeom>
      </xdr:spPr>
    </xdr:pic>
    <xdr:clientData fPrintsWithSheet="0"/>
  </xdr:twoCellAnchor>
  <xdr:twoCellAnchor editAs="oneCell">
    <xdr:from>
      <xdr:col>0</xdr:col>
      <xdr:colOff>42864</xdr:colOff>
      <xdr:row>151</xdr:row>
      <xdr:rowOff>147642</xdr:rowOff>
    </xdr:from>
    <xdr:to>
      <xdr:col>0</xdr:col>
      <xdr:colOff>401825</xdr:colOff>
      <xdr:row>153</xdr:row>
      <xdr:rowOff>88290</xdr:rowOff>
    </xdr:to>
    <xdr:pic macro="[0]!GoHome">
      <xdr:nvPicPr>
        <xdr:cNvPr id="126" name="HomeBtn15" descr="homebtn37b.bmp">
          <a:extLst>
            <a:ext uri="{FF2B5EF4-FFF2-40B4-BE49-F238E27FC236}">
              <a16:creationId xmlns:a16="http://schemas.microsoft.com/office/drawing/2014/main" id="{00000000-0008-0000-0400-00007E000000}"/>
            </a:ext>
          </a:extLst>
        </xdr:cNvPr>
        <xdr:cNvPicPr>
          <a:picLocks noChangeAspect="1"/>
        </xdr:cNvPicPr>
      </xdr:nvPicPr>
      <xdr:blipFill>
        <a:blip xmlns:r="http://schemas.openxmlformats.org/officeDocument/2006/relationships" r:embed="rId16" cstate="print"/>
        <a:stretch>
          <a:fillRect/>
        </a:stretch>
      </xdr:blipFill>
      <xdr:spPr>
        <a:xfrm>
          <a:off x="42864" y="15661847"/>
          <a:ext cx="358961" cy="258148"/>
        </a:xfrm>
        <a:prstGeom prst="rect">
          <a:avLst/>
        </a:prstGeom>
      </xdr:spPr>
    </xdr:pic>
    <xdr:clientData fPrintsWithSheet="0"/>
  </xdr:twoCellAnchor>
  <xdr:twoCellAnchor editAs="oneCell">
    <xdr:from>
      <xdr:col>0</xdr:col>
      <xdr:colOff>42864</xdr:colOff>
      <xdr:row>153</xdr:row>
      <xdr:rowOff>142878</xdr:rowOff>
    </xdr:from>
    <xdr:to>
      <xdr:col>0</xdr:col>
      <xdr:colOff>401825</xdr:colOff>
      <xdr:row>155</xdr:row>
      <xdr:rowOff>83526</xdr:rowOff>
    </xdr:to>
    <xdr:pic macro="[0]!ShowGuide">
      <xdr:nvPicPr>
        <xdr:cNvPr id="127" name="HelpBtn15" descr="helpbtn37c.bmp">
          <a:extLst>
            <a:ext uri="{FF2B5EF4-FFF2-40B4-BE49-F238E27FC236}">
              <a16:creationId xmlns:a16="http://schemas.microsoft.com/office/drawing/2014/main" id="{00000000-0008-0000-0400-00007F000000}"/>
            </a:ext>
          </a:extLst>
        </xdr:cNvPr>
        <xdr:cNvPicPr>
          <a:picLocks noChangeAspect="1"/>
        </xdr:cNvPicPr>
      </xdr:nvPicPr>
      <xdr:blipFill>
        <a:blip xmlns:r="http://schemas.openxmlformats.org/officeDocument/2006/relationships" r:embed="rId17" cstate="print"/>
        <a:stretch>
          <a:fillRect/>
        </a:stretch>
      </xdr:blipFill>
      <xdr:spPr>
        <a:xfrm>
          <a:off x="42864" y="15974583"/>
          <a:ext cx="358961" cy="258148"/>
        </a:xfrm>
        <a:prstGeom prst="rect">
          <a:avLst/>
        </a:prstGeom>
      </xdr:spPr>
    </xdr:pic>
    <xdr:clientData fPrintsWithSheet="0"/>
  </xdr:twoCellAnchor>
  <xdr:twoCellAnchor editAs="oneCell">
    <xdr:from>
      <xdr:col>4</xdr:col>
      <xdr:colOff>247650</xdr:colOff>
      <xdr:row>134</xdr:row>
      <xdr:rowOff>4765</xdr:rowOff>
    </xdr:from>
    <xdr:to>
      <xdr:col>4</xdr:col>
      <xdr:colOff>428625</xdr:colOff>
      <xdr:row>134</xdr:row>
      <xdr:rowOff>176215</xdr:rowOff>
    </xdr:to>
    <xdr:pic macro="[0]!AnalysisRefresh">
      <xdr:nvPicPr>
        <xdr:cNvPr id="128" name="VariableCostAnalysisBtn" descr="analysisrefresh37.bmp">
          <a:extLst>
            <a:ext uri="{FF2B5EF4-FFF2-40B4-BE49-F238E27FC236}">
              <a16:creationId xmlns:a16="http://schemas.microsoft.com/office/drawing/2014/main" id="{00000000-0008-0000-0400-000080000000}"/>
            </a:ext>
          </a:extLst>
        </xdr:cNvPr>
        <xdr:cNvPicPr>
          <a:picLocks noChangeAspect="1"/>
        </xdr:cNvPicPr>
      </xdr:nvPicPr>
      <xdr:blipFill>
        <a:blip xmlns:r="http://schemas.openxmlformats.org/officeDocument/2006/relationships" r:embed="rId18" cstate="print"/>
        <a:stretch>
          <a:fillRect/>
        </a:stretch>
      </xdr:blipFill>
      <xdr:spPr>
        <a:xfrm>
          <a:off x="2978150" y="15105065"/>
          <a:ext cx="180975" cy="171450"/>
        </a:xfrm>
        <a:prstGeom prst="rect">
          <a:avLst/>
        </a:prstGeom>
      </xdr:spPr>
    </xdr:pic>
    <xdr:clientData fPrintsWithSheet="0"/>
  </xdr:twoCellAnchor>
  <xdr:twoCellAnchor editAs="oneCell">
    <xdr:from>
      <xdr:col>0</xdr:col>
      <xdr:colOff>42864</xdr:colOff>
      <xdr:row>176</xdr:row>
      <xdr:rowOff>30958</xdr:rowOff>
    </xdr:from>
    <xdr:to>
      <xdr:col>0</xdr:col>
      <xdr:colOff>401825</xdr:colOff>
      <xdr:row>178</xdr:row>
      <xdr:rowOff>47806</xdr:rowOff>
    </xdr:to>
    <xdr:pic macro="[0]!AutoVBA.PrintCurrent">
      <xdr:nvPicPr>
        <xdr:cNvPr id="129" name="PrintBtn16" descr="printbtn37.bmp">
          <a:extLst>
            <a:ext uri="{FF2B5EF4-FFF2-40B4-BE49-F238E27FC236}">
              <a16:creationId xmlns:a16="http://schemas.microsoft.com/office/drawing/2014/main" id="{00000000-0008-0000-0400-000081000000}"/>
            </a:ext>
          </a:extLst>
        </xdr:cNvPr>
        <xdr:cNvPicPr>
          <a:picLocks noChangeAspect="1"/>
        </xdr:cNvPicPr>
      </xdr:nvPicPr>
      <xdr:blipFill>
        <a:blip xmlns:r="http://schemas.openxmlformats.org/officeDocument/2006/relationships" r:embed="rId13" cstate="print"/>
        <a:stretch>
          <a:fillRect/>
        </a:stretch>
      </xdr:blipFill>
      <xdr:spPr>
        <a:xfrm>
          <a:off x="42864" y="19513913"/>
          <a:ext cx="358961" cy="262188"/>
        </a:xfrm>
        <a:prstGeom prst="rect">
          <a:avLst/>
        </a:prstGeom>
      </xdr:spPr>
    </xdr:pic>
    <xdr:clientData fPrintsWithSheet="0"/>
  </xdr:twoCellAnchor>
  <xdr:twoCellAnchor editAs="oneCell">
    <xdr:from>
      <xdr:col>0</xdr:col>
      <xdr:colOff>42864</xdr:colOff>
      <xdr:row>178</xdr:row>
      <xdr:rowOff>97636</xdr:rowOff>
    </xdr:from>
    <xdr:to>
      <xdr:col>0</xdr:col>
      <xdr:colOff>401825</xdr:colOff>
      <xdr:row>179</xdr:row>
      <xdr:rowOff>171453</xdr:rowOff>
    </xdr:to>
    <xdr:pic macro="[0]!GotoPreviousAnalysis">
      <xdr:nvPicPr>
        <xdr:cNvPr id="130" name="PrevBtn16" descr="prevbtn37c.bmp">
          <a:extLst>
            <a:ext uri="{FF2B5EF4-FFF2-40B4-BE49-F238E27FC236}">
              <a16:creationId xmlns:a16="http://schemas.microsoft.com/office/drawing/2014/main" id="{00000000-0008-0000-0400-000082000000}"/>
            </a:ext>
          </a:extLst>
        </xdr:cNvPr>
        <xdr:cNvPicPr>
          <a:picLocks noChangeAspect="1"/>
        </xdr:cNvPicPr>
      </xdr:nvPicPr>
      <xdr:blipFill>
        <a:blip xmlns:r="http://schemas.openxmlformats.org/officeDocument/2006/relationships" r:embed="rId14" cstate="print"/>
        <a:stretch>
          <a:fillRect/>
        </a:stretch>
      </xdr:blipFill>
      <xdr:spPr>
        <a:xfrm>
          <a:off x="42864" y="19825931"/>
          <a:ext cx="358961" cy="261431"/>
        </a:xfrm>
        <a:prstGeom prst="rect">
          <a:avLst/>
        </a:prstGeom>
      </xdr:spPr>
    </xdr:pic>
    <xdr:clientData fPrintsWithSheet="0"/>
  </xdr:twoCellAnchor>
  <xdr:twoCellAnchor editAs="oneCell">
    <xdr:from>
      <xdr:col>0</xdr:col>
      <xdr:colOff>42864</xdr:colOff>
      <xdr:row>194</xdr:row>
      <xdr:rowOff>26196</xdr:rowOff>
    </xdr:from>
    <xdr:to>
      <xdr:col>0</xdr:col>
      <xdr:colOff>401825</xdr:colOff>
      <xdr:row>195</xdr:row>
      <xdr:rowOff>119244</xdr:rowOff>
    </xdr:to>
    <xdr:pic macro="[0]!GotoNextAnalysis">
      <xdr:nvPicPr>
        <xdr:cNvPr id="131" name="NextBtn16" descr="nextbtn37c.bmp">
          <a:extLst>
            <a:ext uri="{FF2B5EF4-FFF2-40B4-BE49-F238E27FC236}">
              <a16:creationId xmlns:a16="http://schemas.microsoft.com/office/drawing/2014/main" id="{00000000-0008-0000-0400-000083000000}"/>
            </a:ext>
          </a:extLst>
        </xdr:cNvPr>
        <xdr:cNvPicPr>
          <a:picLocks noChangeAspect="1"/>
        </xdr:cNvPicPr>
      </xdr:nvPicPr>
      <xdr:blipFill>
        <a:blip xmlns:r="http://schemas.openxmlformats.org/officeDocument/2006/relationships" r:embed="rId15" cstate="print"/>
        <a:stretch>
          <a:fillRect/>
        </a:stretch>
      </xdr:blipFill>
      <xdr:spPr>
        <a:xfrm>
          <a:off x="42864" y="20144151"/>
          <a:ext cx="358961" cy="266229"/>
        </a:xfrm>
        <a:prstGeom prst="rect">
          <a:avLst/>
        </a:prstGeom>
      </xdr:spPr>
    </xdr:pic>
    <xdr:clientData fPrintsWithSheet="0"/>
  </xdr:twoCellAnchor>
  <xdr:twoCellAnchor editAs="oneCell">
    <xdr:from>
      <xdr:col>0</xdr:col>
      <xdr:colOff>42864</xdr:colOff>
      <xdr:row>196</xdr:row>
      <xdr:rowOff>14289</xdr:rowOff>
    </xdr:from>
    <xdr:to>
      <xdr:col>0</xdr:col>
      <xdr:colOff>401825</xdr:colOff>
      <xdr:row>197</xdr:row>
      <xdr:rowOff>116862</xdr:rowOff>
    </xdr:to>
    <xdr:pic macro="[0]!GoHome">
      <xdr:nvPicPr>
        <xdr:cNvPr id="132" name="HomeBtn16" descr="homebtn37b.bmp">
          <a:extLst>
            <a:ext uri="{FF2B5EF4-FFF2-40B4-BE49-F238E27FC236}">
              <a16:creationId xmlns:a16="http://schemas.microsoft.com/office/drawing/2014/main" id="{00000000-0008-0000-0400-000084000000}"/>
            </a:ext>
          </a:extLst>
        </xdr:cNvPr>
        <xdr:cNvPicPr>
          <a:picLocks noChangeAspect="1"/>
        </xdr:cNvPicPr>
      </xdr:nvPicPr>
      <xdr:blipFill>
        <a:blip xmlns:r="http://schemas.openxmlformats.org/officeDocument/2006/relationships" r:embed="rId16" cstate="print"/>
        <a:stretch>
          <a:fillRect/>
        </a:stretch>
      </xdr:blipFill>
      <xdr:spPr>
        <a:xfrm>
          <a:off x="42864" y="20464175"/>
          <a:ext cx="358961" cy="261323"/>
        </a:xfrm>
        <a:prstGeom prst="rect">
          <a:avLst/>
        </a:prstGeom>
      </xdr:spPr>
    </xdr:pic>
    <xdr:clientData fPrintsWithSheet="0"/>
  </xdr:twoCellAnchor>
  <xdr:twoCellAnchor editAs="oneCell">
    <xdr:from>
      <xdr:col>0</xdr:col>
      <xdr:colOff>42864</xdr:colOff>
      <xdr:row>198</xdr:row>
      <xdr:rowOff>11906</xdr:rowOff>
    </xdr:from>
    <xdr:to>
      <xdr:col>0</xdr:col>
      <xdr:colOff>401825</xdr:colOff>
      <xdr:row>199</xdr:row>
      <xdr:rowOff>114479</xdr:rowOff>
    </xdr:to>
    <xdr:pic macro="[0]!ShowGuide">
      <xdr:nvPicPr>
        <xdr:cNvPr id="133" name="HelpBtn16" descr="helpbtn37c.bmp">
          <a:extLst>
            <a:ext uri="{FF2B5EF4-FFF2-40B4-BE49-F238E27FC236}">
              <a16:creationId xmlns:a16="http://schemas.microsoft.com/office/drawing/2014/main" id="{00000000-0008-0000-0400-000085000000}"/>
            </a:ext>
          </a:extLst>
        </xdr:cNvPr>
        <xdr:cNvPicPr>
          <a:picLocks noChangeAspect="1"/>
        </xdr:cNvPicPr>
      </xdr:nvPicPr>
      <xdr:blipFill>
        <a:blip xmlns:r="http://schemas.openxmlformats.org/officeDocument/2006/relationships" r:embed="rId17" cstate="print"/>
        <a:stretch>
          <a:fillRect/>
        </a:stretch>
      </xdr:blipFill>
      <xdr:spPr>
        <a:xfrm>
          <a:off x="42864" y="20779292"/>
          <a:ext cx="358961" cy="261323"/>
        </a:xfrm>
        <a:prstGeom prst="rect">
          <a:avLst/>
        </a:prstGeom>
      </xdr:spPr>
    </xdr:pic>
    <xdr:clientData fPrintsWithSheet="0"/>
  </xdr:twoCellAnchor>
  <xdr:twoCellAnchor editAs="oneCell">
    <xdr:from>
      <xdr:col>4</xdr:col>
      <xdr:colOff>247650</xdr:colOff>
      <xdr:row>178</xdr:row>
      <xdr:rowOff>11908</xdr:rowOff>
    </xdr:from>
    <xdr:to>
      <xdr:col>4</xdr:col>
      <xdr:colOff>428625</xdr:colOff>
      <xdr:row>178</xdr:row>
      <xdr:rowOff>183358</xdr:rowOff>
    </xdr:to>
    <xdr:pic macro="[0]!AnalysisRefresh">
      <xdr:nvPicPr>
        <xdr:cNvPr id="134" name="FixedCostAnalysisBtn" descr="analysisrefresh37.bmp">
          <a:extLst>
            <a:ext uri="{FF2B5EF4-FFF2-40B4-BE49-F238E27FC236}">
              <a16:creationId xmlns:a16="http://schemas.microsoft.com/office/drawing/2014/main" id="{00000000-0008-0000-0400-000086000000}"/>
            </a:ext>
          </a:extLst>
        </xdr:cNvPr>
        <xdr:cNvPicPr>
          <a:picLocks noChangeAspect="1"/>
        </xdr:cNvPicPr>
      </xdr:nvPicPr>
      <xdr:blipFill>
        <a:blip xmlns:r="http://schemas.openxmlformats.org/officeDocument/2006/relationships" r:embed="rId18" cstate="print"/>
        <a:stretch>
          <a:fillRect/>
        </a:stretch>
      </xdr:blipFill>
      <xdr:spPr>
        <a:xfrm>
          <a:off x="2978150" y="19931858"/>
          <a:ext cx="180975" cy="171450"/>
        </a:xfrm>
        <a:prstGeom prst="rect">
          <a:avLst/>
        </a:prstGeom>
      </xdr:spPr>
    </xdr:pic>
    <xdr:clientData fPrintsWithSheet="0"/>
  </xdr:twoCellAnchor>
  <xdr:twoCellAnchor editAs="oneCell">
    <xdr:from>
      <xdr:col>0</xdr:col>
      <xdr:colOff>42864</xdr:colOff>
      <xdr:row>220</xdr:row>
      <xdr:rowOff>23815</xdr:rowOff>
    </xdr:from>
    <xdr:to>
      <xdr:col>0</xdr:col>
      <xdr:colOff>401825</xdr:colOff>
      <xdr:row>222</xdr:row>
      <xdr:rowOff>40663</xdr:rowOff>
    </xdr:to>
    <xdr:pic macro="[0]!AutoVBA.PrintCurrent">
      <xdr:nvPicPr>
        <xdr:cNvPr id="135" name="PrintBtn17" descr="printbtn37.bmp">
          <a:extLst>
            <a:ext uri="{FF2B5EF4-FFF2-40B4-BE49-F238E27FC236}">
              <a16:creationId xmlns:a16="http://schemas.microsoft.com/office/drawing/2014/main" id="{00000000-0008-0000-0400-000087000000}"/>
            </a:ext>
          </a:extLst>
        </xdr:cNvPr>
        <xdr:cNvPicPr>
          <a:picLocks noChangeAspect="1"/>
        </xdr:cNvPicPr>
      </xdr:nvPicPr>
      <xdr:blipFill>
        <a:blip xmlns:r="http://schemas.openxmlformats.org/officeDocument/2006/relationships" r:embed="rId13" cstate="print"/>
        <a:stretch>
          <a:fillRect/>
        </a:stretch>
      </xdr:blipFill>
      <xdr:spPr>
        <a:xfrm>
          <a:off x="42864" y="24283701"/>
          <a:ext cx="358961" cy="262189"/>
        </a:xfrm>
        <a:prstGeom prst="rect">
          <a:avLst/>
        </a:prstGeom>
      </xdr:spPr>
    </xdr:pic>
    <xdr:clientData fPrintsWithSheet="0"/>
  </xdr:twoCellAnchor>
  <xdr:twoCellAnchor editAs="oneCell">
    <xdr:from>
      <xdr:col>0</xdr:col>
      <xdr:colOff>42864</xdr:colOff>
      <xdr:row>222</xdr:row>
      <xdr:rowOff>95252</xdr:rowOff>
    </xdr:from>
    <xdr:to>
      <xdr:col>0</xdr:col>
      <xdr:colOff>401825</xdr:colOff>
      <xdr:row>223</xdr:row>
      <xdr:rowOff>159725</xdr:rowOff>
    </xdr:to>
    <xdr:pic macro="[0]!GotoPreviousAnalysis">
      <xdr:nvPicPr>
        <xdr:cNvPr id="136" name="PrevBtn28" descr="prevbtn37c.bmp">
          <a:extLst>
            <a:ext uri="{FF2B5EF4-FFF2-40B4-BE49-F238E27FC236}">
              <a16:creationId xmlns:a16="http://schemas.microsoft.com/office/drawing/2014/main" id="{00000000-0008-0000-0400-000088000000}"/>
            </a:ext>
          </a:extLst>
        </xdr:cNvPr>
        <xdr:cNvPicPr>
          <a:picLocks noChangeAspect="1"/>
        </xdr:cNvPicPr>
      </xdr:nvPicPr>
      <xdr:blipFill>
        <a:blip xmlns:r="http://schemas.openxmlformats.org/officeDocument/2006/relationships" r:embed="rId14" cstate="print"/>
        <a:stretch>
          <a:fillRect/>
        </a:stretch>
      </xdr:blipFill>
      <xdr:spPr>
        <a:xfrm>
          <a:off x="42864" y="24600479"/>
          <a:ext cx="358961" cy="266519"/>
        </a:xfrm>
        <a:prstGeom prst="rect">
          <a:avLst/>
        </a:prstGeom>
      </xdr:spPr>
    </xdr:pic>
    <xdr:clientData fPrintsWithSheet="0"/>
  </xdr:twoCellAnchor>
  <xdr:twoCellAnchor editAs="oneCell">
    <xdr:from>
      <xdr:col>0</xdr:col>
      <xdr:colOff>42864</xdr:colOff>
      <xdr:row>224</xdr:row>
      <xdr:rowOff>28577</xdr:rowOff>
    </xdr:from>
    <xdr:to>
      <xdr:col>0</xdr:col>
      <xdr:colOff>401825</xdr:colOff>
      <xdr:row>225</xdr:row>
      <xdr:rowOff>93050</xdr:rowOff>
    </xdr:to>
    <xdr:pic macro="[0]!GotoNextAnalysis">
      <xdr:nvPicPr>
        <xdr:cNvPr id="137" name="NextBtn28" descr="nextbtn37c.bmp">
          <a:extLst>
            <a:ext uri="{FF2B5EF4-FFF2-40B4-BE49-F238E27FC236}">
              <a16:creationId xmlns:a16="http://schemas.microsoft.com/office/drawing/2014/main" id="{00000000-0008-0000-0400-000089000000}"/>
            </a:ext>
          </a:extLst>
        </xdr:cNvPr>
        <xdr:cNvPicPr>
          <a:picLocks noChangeAspect="1"/>
        </xdr:cNvPicPr>
      </xdr:nvPicPr>
      <xdr:blipFill>
        <a:blip xmlns:r="http://schemas.openxmlformats.org/officeDocument/2006/relationships" r:embed="rId15" cstate="print"/>
        <a:stretch>
          <a:fillRect/>
        </a:stretch>
      </xdr:blipFill>
      <xdr:spPr>
        <a:xfrm>
          <a:off x="42864" y="24923463"/>
          <a:ext cx="358961" cy="266519"/>
        </a:xfrm>
        <a:prstGeom prst="rect">
          <a:avLst/>
        </a:prstGeom>
      </xdr:spPr>
    </xdr:pic>
    <xdr:clientData fPrintsWithSheet="0"/>
  </xdr:twoCellAnchor>
  <xdr:twoCellAnchor editAs="oneCell">
    <xdr:from>
      <xdr:col>0</xdr:col>
      <xdr:colOff>42864</xdr:colOff>
      <xdr:row>225</xdr:row>
      <xdr:rowOff>147640</xdr:rowOff>
    </xdr:from>
    <xdr:to>
      <xdr:col>0</xdr:col>
      <xdr:colOff>401825</xdr:colOff>
      <xdr:row>241</xdr:row>
      <xdr:rowOff>40663</xdr:rowOff>
    </xdr:to>
    <xdr:pic macro="[0]!GoHome">
      <xdr:nvPicPr>
        <xdr:cNvPr id="138" name="HomeBtn28" descr="homebtn37b.bmp">
          <a:extLst>
            <a:ext uri="{FF2B5EF4-FFF2-40B4-BE49-F238E27FC236}">
              <a16:creationId xmlns:a16="http://schemas.microsoft.com/office/drawing/2014/main" id="{00000000-0008-0000-0400-00008A000000}"/>
            </a:ext>
          </a:extLst>
        </xdr:cNvPr>
        <xdr:cNvPicPr>
          <a:picLocks noChangeAspect="1"/>
        </xdr:cNvPicPr>
      </xdr:nvPicPr>
      <xdr:blipFill>
        <a:blip xmlns:r="http://schemas.openxmlformats.org/officeDocument/2006/relationships" r:embed="rId16" cstate="print"/>
        <a:stretch>
          <a:fillRect/>
        </a:stretch>
      </xdr:blipFill>
      <xdr:spPr>
        <a:xfrm>
          <a:off x="42864" y="25244572"/>
          <a:ext cx="358961" cy="268250"/>
        </a:xfrm>
        <a:prstGeom prst="rect">
          <a:avLst/>
        </a:prstGeom>
      </xdr:spPr>
    </xdr:pic>
    <xdr:clientData fPrintsWithSheet="0"/>
  </xdr:twoCellAnchor>
  <xdr:twoCellAnchor editAs="oneCell">
    <xdr:from>
      <xdr:col>0</xdr:col>
      <xdr:colOff>42864</xdr:colOff>
      <xdr:row>241</xdr:row>
      <xdr:rowOff>95252</xdr:rowOff>
    </xdr:from>
    <xdr:to>
      <xdr:col>0</xdr:col>
      <xdr:colOff>401825</xdr:colOff>
      <xdr:row>243</xdr:row>
      <xdr:rowOff>35900</xdr:rowOff>
    </xdr:to>
    <xdr:pic macro="[0]!ShowGuide">
      <xdr:nvPicPr>
        <xdr:cNvPr id="139" name="HelpBtn28" descr="helpbtn37c.bmp">
          <a:extLst>
            <a:ext uri="{FF2B5EF4-FFF2-40B4-BE49-F238E27FC236}">
              <a16:creationId xmlns:a16="http://schemas.microsoft.com/office/drawing/2014/main" id="{00000000-0008-0000-0400-00008B000000}"/>
            </a:ext>
          </a:extLst>
        </xdr:cNvPr>
        <xdr:cNvPicPr>
          <a:picLocks noChangeAspect="1"/>
        </xdr:cNvPicPr>
      </xdr:nvPicPr>
      <xdr:blipFill>
        <a:blip xmlns:r="http://schemas.openxmlformats.org/officeDocument/2006/relationships" r:embed="rId17" cstate="print"/>
        <a:stretch>
          <a:fillRect/>
        </a:stretch>
      </xdr:blipFill>
      <xdr:spPr>
        <a:xfrm>
          <a:off x="42864" y="25567411"/>
          <a:ext cx="358961" cy="258148"/>
        </a:xfrm>
        <a:prstGeom prst="rect">
          <a:avLst/>
        </a:prstGeom>
      </xdr:spPr>
    </xdr:pic>
    <xdr:clientData fPrintsWithSheet="0"/>
  </xdr:twoCellAnchor>
  <xdr:twoCellAnchor editAs="oneCell">
    <xdr:from>
      <xdr:col>4</xdr:col>
      <xdr:colOff>247650</xdr:colOff>
      <xdr:row>223</xdr:row>
      <xdr:rowOff>11906</xdr:rowOff>
    </xdr:from>
    <xdr:to>
      <xdr:col>4</xdr:col>
      <xdr:colOff>428625</xdr:colOff>
      <xdr:row>223</xdr:row>
      <xdr:rowOff>183356</xdr:rowOff>
    </xdr:to>
    <xdr:pic macro="[0]!AnalysisRefresh">
      <xdr:nvPicPr>
        <xdr:cNvPr id="140" name="IncVarAnalysis1Btn" descr="analysisrefresh37.bmp">
          <a:extLst>
            <a:ext uri="{FF2B5EF4-FFF2-40B4-BE49-F238E27FC236}">
              <a16:creationId xmlns:a16="http://schemas.microsoft.com/office/drawing/2014/main" id="{00000000-0008-0000-0400-00008C000000}"/>
            </a:ext>
          </a:extLst>
        </xdr:cNvPr>
        <xdr:cNvPicPr>
          <a:picLocks noChangeAspect="1"/>
        </xdr:cNvPicPr>
      </xdr:nvPicPr>
      <xdr:blipFill>
        <a:blip xmlns:r="http://schemas.openxmlformats.org/officeDocument/2006/relationships" r:embed="rId18" cstate="print"/>
        <a:stretch>
          <a:fillRect/>
        </a:stretch>
      </xdr:blipFill>
      <xdr:spPr>
        <a:xfrm>
          <a:off x="2978150" y="24954706"/>
          <a:ext cx="180975" cy="171450"/>
        </a:xfrm>
        <a:prstGeom prst="rect">
          <a:avLst/>
        </a:prstGeom>
      </xdr:spPr>
    </xdr:pic>
    <xdr:clientData fPrintsWithSheet="0"/>
  </xdr:twoCellAnchor>
  <xdr:twoCellAnchor editAs="oneCell">
    <xdr:from>
      <xdr:col>0</xdr:col>
      <xdr:colOff>42864</xdr:colOff>
      <xdr:row>266</xdr:row>
      <xdr:rowOff>21432</xdr:rowOff>
    </xdr:from>
    <xdr:to>
      <xdr:col>0</xdr:col>
      <xdr:colOff>401825</xdr:colOff>
      <xdr:row>268</xdr:row>
      <xdr:rowOff>38280</xdr:rowOff>
    </xdr:to>
    <xdr:pic macro="[0]!AutoVBA.PrintCurrent">
      <xdr:nvPicPr>
        <xdr:cNvPr id="141" name="PrintBtn18" descr="printbtn37.bmp">
          <a:extLst>
            <a:ext uri="{FF2B5EF4-FFF2-40B4-BE49-F238E27FC236}">
              <a16:creationId xmlns:a16="http://schemas.microsoft.com/office/drawing/2014/main" id="{00000000-0008-0000-0400-00008D000000}"/>
            </a:ext>
          </a:extLst>
        </xdr:cNvPr>
        <xdr:cNvPicPr>
          <a:picLocks noChangeAspect="1"/>
        </xdr:cNvPicPr>
      </xdr:nvPicPr>
      <xdr:blipFill>
        <a:blip xmlns:r="http://schemas.openxmlformats.org/officeDocument/2006/relationships" r:embed="rId13" cstate="print"/>
        <a:stretch>
          <a:fillRect/>
        </a:stretch>
      </xdr:blipFill>
      <xdr:spPr>
        <a:xfrm>
          <a:off x="42864" y="29491205"/>
          <a:ext cx="358961" cy="262189"/>
        </a:xfrm>
        <a:prstGeom prst="rect">
          <a:avLst/>
        </a:prstGeom>
      </xdr:spPr>
    </xdr:pic>
    <xdr:clientData fPrintsWithSheet="0"/>
  </xdr:twoCellAnchor>
  <xdr:twoCellAnchor editAs="oneCell">
    <xdr:from>
      <xdr:col>0</xdr:col>
      <xdr:colOff>42864</xdr:colOff>
      <xdr:row>268</xdr:row>
      <xdr:rowOff>92871</xdr:rowOff>
    </xdr:from>
    <xdr:to>
      <xdr:col>0</xdr:col>
      <xdr:colOff>401825</xdr:colOff>
      <xdr:row>269</xdr:row>
      <xdr:rowOff>157344</xdr:rowOff>
    </xdr:to>
    <xdr:pic macro="[0]!GotoPreviousAnalysis">
      <xdr:nvPicPr>
        <xdr:cNvPr id="142" name="PrevBtn29" descr="prevbtn37c.bmp">
          <a:extLst>
            <a:ext uri="{FF2B5EF4-FFF2-40B4-BE49-F238E27FC236}">
              <a16:creationId xmlns:a16="http://schemas.microsoft.com/office/drawing/2014/main" id="{00000000-0008-0000-0400-00008E000000}"/>
            </a:ext>
          </a:extLst>
        </xdr:cNvPr>
        <xdr:cNvPicPr>
          <a:picLocks noChangeAspect="1"/>
        </xdr:cNvPicPr>
      </xdr:nvPicPr>
      <xdr:blipFill>
        <a:blip xmlns:r="http://schemas.openxmlformats.org/officeDocument/2006/relationships" r:embed="rId14" cstate="print"/>
        <a:stretch>
          <a:fillRect/>
        </a:stretch>
      </xdr:blipFill>
      <xdr:spPr>
        <a:xfrm>
          <a:off x="42864" y="29807985"/>
          <a:ext cx="358961" cy="266518"/>
        </a:xfrm>
        <a:prstGeom prst="rect">
          <a:avLst/>
        </a:prstGeom>
      </xdr:spPr>
    </xdr:pic>
    <xdr:clientData fPrintsWithSheet="0"/>
  </xdr:twoCellAnchor>
  <xdr:twoCellAnchor editAs="oneCell">
    <xdr:from>
      <xdr:col>0</xdr:col>
      <xdr:colOff>42864</xdr:colOff>
      <xdr:row>270</xdr:row>
      <xdr:rowOff>26196</xdr:rowOff>
    </xdr:from>
    <xdr:to>
      <xdr:col>0</xdr:col>
      <xdr:colOff>401825</xdr:colOff>
      <xdr:row>271</xdr:row>
      <xdr:rowOff>90669</xdr:rowOff>
    </xdr:to>
    <xdr:pic macro="[0]!GotoNextAnalysis">
      <xdr:nvPicPr>
        <xdr:cNvPr id="143" name="NextBtn29" descr="nextbtn37c.bmp">
          <a:extLst>
            <a:ext uri="{FF2B5EF4-FFF2-40B4-BE49-F238E27FC236}">
              <a16:creationId xmlns:a16="http://schemas.microsoft.com/office/drawing/2014/main" id="{00000000-0008-0000-0400-00008F000000}"/>
            </a:ext>
          </a:extLst>
        </xdr:cNvPr>
        <xdr:cNvPicPr>
          <a:picLocks noChangeAspect="1"/>
        </xdr:cNvPicPr>
      </xdr:nvPicPr>
      <xdr:blipFill>
        <a:blip xmlns:r="http://schemas.openxmlformats.org/officeDocument/2006/relationships" r:embed="rId15" cstate="print"/>
        <a:stretch>
          <a:fillRect/>
        </a:stretch>
      </xdr:blipFill>
      <xdr:spPr>
        <a:xfrm>
          <a:off x="42864" y="30130969"/>
          <a:ext cx="358961" cy="266518"/>
        </a:xfrm>
        <a:prstGeom prst="rect">
          <a:avLst/>
        </a:prstGeom>
      </xdr:spPr>
    </xdr:pic>
    <xdr:clientData fPrintsWithSheet="0"/>
  </xdr:twoCellAnchor>
  <xdr:twoCellAnchor editAs="oneCell">
    <xdr:from>
      <xdr:col>0</xdr:col>
      <xdr:colOff>42864</xdr:colOff>
      <xdr:row>271</xdr:row>
      <xdr:rowOff>145257</xdr:rowOff>
    </xdr:from>
    <xdr:to>
      <xdr:col>0</xdr:col>
      <xdr:colOff>401825</xdr:colOff>
      <xdr:row>287</xdr:row>
      <xdr:rowOff>38280</xdr:rowOff>
    </xdr:to>
    <xdr:pic macro="[0]!GoHome">
      <xdr:nvPicPr>
        <xdr:cNvPr id="144" name="HomeBtn29" descr="homebtn37b.bmp">
          <a:extLst>
            <a:ext uri="{FF2B5EF4-FFF2-40B4-BE49-F238E27FC236}">
              <a16:creationId xmlns:a16="http://schemas.microsoft.com/office/drawing/2014/main" id="{00000000-0008-0000-0400-000090000000}"/>
            </a:ext>
          </a:extLst>
        </xdr:cNvPr>
        <xdr:cNvPicPr>
          <a:picLocks noChangeAspect="1"/>
        </xdr:cNvPicPr>
      </xdr:nvPicPr>
      <xdr:blipFill>
        <a:blip xmlns:r="http://schemas.openxmlformats.org/officeDocument/2006/relationships" r:embed="rId16" cstate="print"/>
        <a:stretch>
          <a:fillRect/>
        </a:stretch>
      </xdr:blipFill>
      <xdr:spPr>
        <a:xfrm>
          <a:off x="42864" y="30452075"/>
          <a:ext cx="358961" cy="268250"/>
        </a:xfrm>
        <a:prstGeom prst="rect">
          <a:avLst/>
        </a:prstGeom>
      </xdr:spPr>
    </xdr:pic>
    <xdr:clientData fPrintsWithSheet="0"/>
  </xdr:twoCellAnchor>
  <xdr:twoCellAnchor editAs="oneCell">
    <xdr:from>
      <xdr:col>0</xdr:col>
      <xdr:colOff>42864</xdr:colOff>
      <xdr:row>287</xdr:row>
      <xdr:rowOff>90490</xdr:rowOff>
    </xdr:from>
    <xdr:to>
      <xdr:col>0</xdr:col>
      <xdr:colOff>401825</xdr:colOff>
      <xdr:row>289</xdr:row>
      <xdr:rowOff>31138</xdr:rowOff>
    </xdr:to>
    <xdr:pic macro="[0]!ShowGuide">
      <xdr:nvPicPr>
        <xdr:cNvPr id="145" name="HelpBtn29" descr="helpbtn37c.bmp">
          <a:extLst>
            <a:ext uri="{FF2B5EF4-FFF2-40B4-BE49-F238E27FC236}">
              <a16:creationId xmlns:a16="http://schemas.microsoft.com/office/drawing/2014/main" id="{00000000-0008-0000-0400-000091000000}"/>
            </a:ext>
          </a:extLst>
        </xdr:cNvPr>
        <xdr:cNvPicPr>
          <a:picLocks noChangeAspect="1"/>
        </xdr:cNvPicPr>
      </xdr:nvPicPr>
      <xdr:blipFill>
        <a:blip xmlns:r="http://schemas.openxmlformats.org/officeDocument/2006/relationships" r:embed="rId17" cstate="print"/>
        <a:stretch>
          <a:fillRect/>
        </a:stretch>
      </xdr:blipFill>
      <xdr:spPr>
        <a:xfrm>
          <a:off x="42864" y="30772535"/>
          <a:ext cx="358961" cy="258148"/>
        </a:xfrm>
        <a:prstGeom prst="rect">
          <a:avLst/>
        </a:prstGeom>
      </xdr:spPr>
    </xdr:pic>
    <xdr:clientData fPrintsWithSheet="0"/>
  </xdr:twoCellAnchor>
  <xdr:twoCellAnchor editAs="oneCell">
    <xdr:from>
      <xdr:col>4</xdr:col>
      <xdr:colOff>247650</xdr:colOff>
      <xdr:row>269</xdr:row>
      <xdr:rowOff>9526</xdr:rowOff>
    </xdr:from>
    <xdr:to>
      <xdr:col>4</xdr:col>
      <xdr:colOff>428625</xdr:colOff>
      <xdr:row>269</xdr:row>
      <xdr:rowOff>180976</xdr:rowOff>
    </xdr:to>
    <xdr:pic macro="[0]!AnalysisRefresh">
      <xdr:nvPicPr>
        <xdr:cNvPr id="146" name="IncVarAnalysis2Btn" descr="analysisrefresh37.bmp">
          <a:extLst>
            <a:ext uri="{FF2B5EF4-FFF2-40B4-BE49-F238E27FC236}">
              <a16:creationId xmlns:a16="http://schemas.microsoft.com/office/drawing/2014/main" id="{00000000-0008-0000-0400-000092000000}"/>
            </a:ext>
          </a:extLst>
        </xdr:cNvPr>
        <xdr:cNvPicPr>
          <a:picLocks noChangeAspect="1"/>
        </xdr:cNvPicPr>
      </xdr:nvPicPr>
      <xdr:blipFill>
        <a:blip xmlns:r="http://schemas.openxmlformats.org/officeDocument/2006/relationships" r:embed="rId18" cstate="print"/>
        <a:stretch>
          <a:fillRect/>
        </a:stretch>
      </xdr:blipFill>
      <xdr:spPr>
        <a:xfrm>
          <a:off x="2978150" y="30216476"/>
          <a:ext cx="180975" cy="171450"/>
        </a:xfrm>
        <a:prstGeom prst="rect">
          <a:avLst/>
        </a:prstGeom>
      </xdr:spPr>
    </xdr:pic>
    <xdr:clientData fPrintsWithSheet="0"/>
  </xdr:twoCellAnchor>
  <xdr:twoCellAnchor editAs="oneCell">
    <xdr:from>
      <xdr:col>0</xdr:col>
      <xdr:colOff>42864</xdr:colOff>
      <xdr:row>312</xdr:row>
      <xdr:rowOff>21434</xdr:rowOff>
    </xdr:from>
    <xdr:to>
      <xdr:col>0</xdr:col>
      <xdr:colOff>401825</xdr:colOff>
      <xdr:row>314</xdr:row>
      <xdr:rowOff>38282</xdr:rowOff>
    </xdr:to>
    <xdr:pic macro="[0]!AutoVBA.PrintCurrent">
      <xdr:nvPicPr>
        <xdr:cNvPr id="147" name="PrintBtn19" descr="printbtn37.bmp">
          <a:extLst>
            <a:ext uri="{FF2B5EF4-FFF2-40B4-BE49-F238E27FC236}">
              <a16:creationId xmlns:a16="http://schemas.microsoft.com/office/drawing/2014/main" id="{00000000-0008-0000-0400-000093000000}"/>
            </a:ext>
          </a:extLst>
        </xdr:cNvPr>
        <xdr:cNvPicPr>
          <a:picLocks noChangeAspect="1"/>
        </xdr:cNvPicPr>
      </xdr:nvPicPr>
      <xdr:blipFill>
        <a:blip xmlns:r="http://schemas.openxmlformats.org/officeDocument/2006/relationships" r:embed="rId13" cstate="print"/>
        <a:stretch>
          <a:fillRect/>
        </a:stretch>
      </xdr:blipFill>
      <xdr:spPr>
        <a:xfrm>
          <a:off x="42864" y="34701093"/>
          <a:ext cx="358961" cy="262189"/>
        </a:xfrm>
        <a:prstGeom prst="rect">
          <a:avLst/>
        </a:prstGeom>
      </xdr:spPr>
    </xdr:pic>
    <xdr:clientData fPrintsWithSheet="0"/>
  </xdr:twoCellAnchor>
  <xdr:twoCellAnchor editAs="oneCell">
    <xdr:from>
      <xdr:col>0</xdr:col>
      <xdr:colOff>42864</xdr:colOff>
      <xdr:row>314</xdr:row>
      <xdr:rowOff>95252</xdr:rowOff>
    </xdr:from>
    <xdr:to>
      <xdr:col>0</xdr:col>
      <xdr:colOff>401825</xdr:colOff>
      <xdr:row>315</xdr:row>
      <xdr:rowOff>159725</xdr:rowOff>
    </xdr:to>
    <xdr:pic macro="[0]!GotoPreviousAnalysis">
      <xdr:nvPicPr>
        <xdr:cNvPr id="148" name="PrevBtn30" descr="prevbtn37c.bmp">
          <a:extLst>
            <a:ext uri="{FF2B5EF4-FFF2-40B4-BE49-F238E27FC236}">
              <a16:creationId xmlns:a16="http://schemas.microsoft.com/office/drawing/2014/main" id="{00000000-0008-0000-0400-000094000000}"/>
            </a:ext>
          </a:extLst>
        </xdr:cNvPr>
        <xdr:cNvPicPr>
          <a:picLocks noChangeAspect="1"/>
        </xdr:cNvPicPr>
      </xdr:nvPicPr>
      <xdr:blipFill>
        <a:blip xmlns:r="http://schemas.openxmlformats.org/officeDocument/2006/relationships" r:embed="rId14" cstate="print"/>
        <a:stretch>
          <a:fillRect/>
        </a:stretch>
      </xdr:blipFill>
      <xdr:spPr>
        <a:xfrm>
          <a:off x="42864" y="35020252"/>
          <a:ext cx="358961" cy="266518"/>
        </a:xfrm>
        <a:prstGeom prst="rect">
          <a:avLst/>
        </a:prstGeom>
      </xdr:spPr>
    </xdr:pic>
    <xdr:clientData fPrintsWithSheet="0"/>
  </xdr:twoCellAnchor>
  <xdr:twoCellAnchor editAs="oneCell">
    <xdr:from>
      <xdr:col>0</xdr:col>
      <xdr:colOff>42864</xdr:colOff>
      <xdr:row>316</xdr:row>
      <xdr:rowOff>28579</xdr:rowOff>
    </xdr:from>
    <xdr:to>
      <xdr:col>0</xdr:col>
      <xdr:colOff>401825</xdr:colOff>
      <xdr:row>317</xdr:row>
      <xdr:rowOff>93052</xdr:rowOff>
    </xdr:to>
    <xdr:pic macro="[0]!GotoNextAnalysis">
      <xdr:nvPicPr>
        <xdr:cNvPr id="149" name="NextBtn30" descr="nextbtn37c.bmp">
          <a:extLst>
            <a:ext uri="{FF2B5EF4-FFF2-40B4-BE49-F238E27FC236}">
              <a16:creationId xmlns:a16="http://schemas.microsoft.com/office/drawing/2014/main" id="{00000000-0008-0000-0400-000095000000}"/>
            </a:ext>
          </a:extLst>
        </xdr:cNvPr>
        <xdr:cNvPicPr>
          <a:picLocks noChangeAspect="1"/>
        </xdr:cNvPicPr>
      </xdr:nvPicPr>
      <xdr:blipFill>
        <a:blip xmlns:r="http://schemas.openxmlformats.org/officeDocument/2006/relationships" r:embed="rId15" cstate="print"/>
        <a:stretch>
          <a:fillRect/>
        </a:stretch>
      </xdr:blipFill>
      <xdr:spPr>
        <a:xfrm>
          <a:off x="42864" y="35343238"/>
          <a:ext cx="358961" cy="266519"/>
        </a:xfrm>
        <a:prstGeom prst="rect">
          <a:avLst/>
        </a:prstGeom>
      </xdr:spPr>
    </xdr:pic>
    <xdr:clientData fPrintsWithSheet="0"/>
  </xdr:twoCellAnchor>
  <xdr:twoCellAnchor editAs="oneCell">
    <xdr:from>
      <xdr:col>0</xdr:col>
      <xdr:colOff>42864</xdr:colOff>
      <xdr:row>317</xdr:row>
      <xdr:rowOff>152402</xdr:rowOff>
    </xdr:from>
    <xdr:to>
      <xdr:col>0</xdr:col>
      <xdr:colOff>401825</xdr:colOff>
      <xdr:row>333</xdr:row>
      <xdr:rowOff>45425</xdr:rowOff>
    </xdr:to>
    <xdr:pic macro="[0]!GoHome">
      <xdr:nvPicPr>
        <xdr:cNvPr id="150" name="HomeBtn30" descr="homebtn37b.bmp">
          <a:extLst>
            <a:ext uri="{FF2B5EF4-FFF2-40B4-BE49-F238E27FC236}">
              <a16:creationId xmlns:a16="http://schemas.microsoft.com/office/drawing/2014/main" id="{00000000-0008-0000-0400-000096000000}"/>
            </a:ext>
          </a:extLst>
        </xdr:cNvPr>
        <xdr:cNvPicPr>
          <a:picLocks noChangeAspect="1"/>
        </xdr:cNvPicPr>
      </xdr:nvPicPr>
      <xdr:blipFill>
        <a:blip xmlns:r="http://schemas.openxmlformats.org/officeDocument/2006/relationships" r:embed="rId16" cstate="print"/>
        <a:stretch>
          <a:fillRect/>
        </a:stretch>
      </xdr:blipFill>
      <xdr:spPr>
        <a:xfrm>
          <a:off x="42864" y="35669107"/>
          <a:ext cx="358961" cy="268250"/>
        </a:xfrm>
        <a:prstGeom prst="rect">
          <a:avLst/>
        </a:prstGeom>
      </xdr:spPr>
    </xdr:pic>
    <xdr:clientData fPrintsWithSheet="0"/>
  </xdr:twoCellAnchor>
  <xdr:twoCellAnchor editAs="oneCell">
    <xdr:from>
      <xdr:col>0</xdr:col>
      <xdr:colOff>42864</xdr:colOff>
      <xdr:row>333</xdr:row>
      <xdr:rowOff>102395</xdr:rowOff>
    </xdr:from>
    <xdr:to>
      <xdr:col>0</xdr:col>
      <xdr:colOff>401825</xdr:colOff>
      <xdr:row>335</xdr:row>
      <xdr:rowOff>43043</xdr:rowOff>
    </xdr:to>
    <xdr:pic macro="[0]!ShowGuide">
      <xdr:nvPicPr>
        <xdr:cNvPr id="151" name="HelpBtn30" descr="helpbtn37c.bmp">
          <a:extLst>
            <a:ext uri="{FF2B5EF4-FFF2-40B4-BE49-F238E27FC236}">
              <a16:creationId xmlns:a16="http://schemas.microsoft.com/office/drawing/2014/main" id="{00000000-0008-0000-0400-000097000000}"/>
            </a:ext>
          </a:extLst>
        </xdr:cNvPr>
        <xdr:cNvPicPr>
          <a:picLocks noChangeAspect="1"/>
        </xdr:cNvPicPr>
      </xdr:nvPicPr>
      <xdr:blipFill>
        <a:blip xmlns:r="http://schemas.openxmlformats.org/officeDocument/2006/relationships" r:embed="rId17" cstate="print"/>
        <a:stretch>
          <a:fillRect/>
        </a:stretch>
      </xdr:blipFill>
      <xdr:spPr>
        <a:xfrm>
          <a:off x="42864" y="35994327"/>
          <a:ext cx="358961" cy="258148"/>
        </a:xfrm>
        <a:prstGeom prst="rect">
          <a:avLst/>
        </a:prstGeom>
      </xdr:spPr>
    </xdr:pic>
    <xdr:clientData fPrintsWithSheet="0"/>
  </xdr:twoCellAnchor>
  <xdr:twoCellAnchor editAs="oneCell">
    <xdr:from>
      <xdr:col>4</xdr:col>
      <xdr:colOff>247650</xdr:colOff>
      <xdr:row>315</xdr:row>
      <xdr:rowOff>11905</xdr:rowOff>
    </xdr:from>
    <xdr:to>
      <xdr:col>4</xdr:col>
      <xdr:colOff>428625</xdr:colOff>
      <xdr:row>315</xdr:row>
      <xdr:rowOff>183355</xdr:rowOff>
    </xdr:to>
    <xdr:pic macro="[0]!AnalysisRefresh">
      <xdr:nvPicPr>
        <xdr:cNvPr id="152" name="IncVarAnalysis3Btn" descr="analysisrefresh37.bmp">
          <a:extLst>
            <a:ext uri="{FF2B5EF4-FFF2-40B4-BE49-F238E27FC236}">
              <a16:creationId xmlns:a16="http://schemas.microsoft.com/office/drawing/2014/main" id="{00000000-0008-0000-0400-000098000000}"/>
            </a:ext>
          </a:extLst>
        </xdr:cNvPr>
        <xdr:cNvPicPr>
          <a:picLocks noChangeAspect="1"/>
        </xdr:cNvPicPr>
      </xdr:nvPicPr>
      <xdr:blipFill>
        <a:blip xmlns:r="http://schemas.openxmlformats.org/officeDocument/2006/relationships" r:embed="rId18" cstate="print"/>
        <a:stretch>
          <a:fillRect/>
        </a:stretch>
      </xdr:blipFill>
      <xdr:spPr>
        <a:xfrm>
          <a:off x="2978150" y="35571905"/>
          <a:ext cx="180975" cy="171450"/>
        </a:xfrm>
        <a:prstGeom prst="rect">
          <a:avLst/>
        </a:prstGeom>
      </xdr:spPr>
    </xdr:pic>
    <xdr:clientData fPrintsWithSheet="0"/>
  </xdr:twoCellAnchor>
  <xdr:twoCellAnchor editAs="oneCell">
    <xdr:from>
      <xdr:col>0</xdr:col>
      <xdr:colOff>42864</xdr:colOff>
      <xdr:row>358</xdr:row>
      <xdr:rowOff>21433</xdr:rowOff>
    </xdr:from>
    <xdr:to>
      <xdr:col>0</xdr:col>
      <xdr:colOff>401825</xdr:colOff>
      <xdr:row>360</xdr:row>
      <xdr:rowOff>38281</xdr:rowOff>
    </xdr:to>
    <xdr:pic macro="[0]!AutoVBA.PrintCurrent">
      <xdr:nvPicPr>
        <xdr:cNvPr id="153" name="PrintBtn20" descr="printbtn37.bmp">
          <a:extLst>
            <a:ext uri="{FF2B5EF4-FFF2-40B4-BE49-F238E27FC236}">
              <a16:creationId xmlns:a16="http://schemas.microsoft.com/office/drawing/2014/main" id="{00000000-0008-0000-0400-000099000000}"/>
            </a:ext>
          </a:extLst>
        </xdr:cNvPr>
        <xdr:cNvPicPr>
          <a:picLocks noChangeAspect="1"/>
        </xdr:cNvPicPr>
      </xdr:nvPicPr>
      <xdr:blipFill>
        <a:blip xmlns:r="http://schemas.openxmlformats.org/officeDocument/2006/relationships" r:embed="rId13" cstate="print"/>
        <a:stretch>
          <a:fillRect/>
        </a:stretch>
      </xdr:blipFill>
      <xdr:spPr>
        <a:xfrm>
          <a:off x="42864" y="39910978"/>
          <a:ext cx="358961" cy="262189"/>
        </a:xfrm>
        <a:prstGeom prst="rect">
          <a:avLst/>
        </a:prstGeom>
      </xdr:spPr>
    </xdr:pic>
    <xdr:clientData fPrintsWithSheet="0"/>
  </xdr:twoCellAnchor>
  <xdr:twoCellAnchor editAs="oneCell">
    <xdr:from>
      <xdr:col>0</xdr:col>
      <xdr:colOff>42864</xdr:colOff>
      <xdr:row>360</xdr:row>
      <xdr:rowOff>95251</xdr:rowOff>
    </xdr:from>
    <xdr:to>
      <xdr:col>0</xdr:col>
      <xdr:colOff>401825</xdr:colOff>
      <xdr:row>361</xdr:row>
      <xdr:rowOff>159724</xdr:rowOff>
    </xdr:to>
    <xdr:pic macro="[0]!GotoPreviousAnalysis">
      <xdr:nvPicPr>
        <xdr:cNvPr id="154" name="PrevBtn31" descr="prevbtn37c.bmp">
          <a:extLst>
            <a:ext uri="{FF2B5EF4-FFF2-40B4-BE49-F238E27FC236}">
              <a16:creationId xmlns:a16="http://schemas.microsoft.com/office/drawing/2014/main" id="{00000000-0008-0000-0400-00009A000000}"/>
            </a:ext>
          </a:extLst>
        </xdr:cNvPr>
        <xdr:cNvPicPr>
          <a:picLocks noChangeAspect="1"/>
        </xdr:cNvPicPr>
      </xdr:nvPicPr>
      <xdr:blipFill>
        <a:blip xmlns:r="http://schemas.openxmlformats.org/officeDocument/2006/relationships" r:embed="rId14" cstate="print"/>
        <a:stretch>
          <a:fillRect/>
        </a:stretch>
      </xdr:blipFill>
      <xdr:spPr>
        <a:xfrm>
          <a:off x="42864" y="40230137"/>
          <a:ext cx="358961" cy="266519"/>
        </a:xfrm>
        <a:prstGeom prst="rect">
          <a:avLst/>
        </a:prstGeom>
      </xdr:spPr>
    </xdr:pic>
    <xdr:clientData fPrintsWithSheet="0"/>
  </xdr:twoCellAnchor>
  <xdr:twoCellAnchor editAs="oneCell">
    <xdr:from>
      <xdr:col>0</xdr:col>
      <xdr:colOff>42864</xdr:colOff>
      <xdr:row>362</xdr:row>
      <xdr:rowOff>28577</xdr:rowOff>
    </xdr:from>
    <xdr:to>
      <xdr:col>0</xdr:col>
      <xdr:colOff>401825</xdr:colOff>
      <xdr:row>363</xdr:row>
      <xdr:rowOff>93050</xdr:rowOff>
    </xdr:to>
    <xdr:pic macro="[0]!GotoNextAnalysis">
      <xdr:nvPicPr>
        <xdr:cNvPr id="155" name="NextBtn31" descr="nextbtn37c.bmp">
          <a:extLst>
            <a:ext uri="{FF2B5EF4-FFF2-40B4-BE49-F238E27FC236}">
              <a16:creationId xmlns:a16="http://schemas.microsoft.com/office/drawing/2014/main" id="{00000000-0008-0000-0400-00009B000000}"/>
            </a:ext>
          </a:extLst>
        </xdr:cNvPr>
        <xdr:cNvPicPr>
          <a:picLocks noChangeAspect="1"/>
        </xdr:cNvPicPr>
      </xdr:nvPicPr>
      <xdr:blipFill>
        <a:blip xmlns:r="http://schemas.openxmlformats.org/officeDocument/2006/relationships" r:embed="rId15" cstate="print"/>
        <a:stretch>
          <a:fillRect/>
        </a:stretch>
      </xdr:blipFill>
      <xdr:spPr>
        <a:xfrm>
          <a:off x="42864" y="40553122"/>
          <a:ext cx="358961" cy="266519"/>
        </a:xfrm>
        <a:prstGeom prst="rect">
          <a:avLst/>
        </a:prstGeom>
      </xdr:spPr>
    </xdr:pic>
    <xdr:clientData fPrintsWithSheet="0"/>
  </xdr:twoCellAnchor>
  <xdr:twoCellAnchor editAs="oneCell">
    <xdr:from>
      <xdr:col>0</xdr:col>
      <xdr:colOff>42864</xdr:colOff>
      <xdr:row>363</xdr:row>
      <xdr:rowOff>145259</xdr:rowOff>
    </xdr:from>
    <xdr:to>
      <xdr:col>0</xdr:col>
      <xdr:colOff>401825</xdr:colOff>
      <xdr:row>379</xdr:row>
      <xdr:rowOff>38282</xdr:rowOff>
    </xdr:to>
    <xdr:pic macro="[0]!GoHome">
      <xdr:nvPicPr>
        <xdr:cNvPr id="156" name="HomeBtn31" descr="homebtn37b.bmp">
          <a:extLst>
            <a:ext uri="{FF2B5EF4-FFF2-40B4-BE49-F238E27FC236}">
              <a16:creationId xmlns:a16="http://schemas.microsoft.com/office/drawing/2014/main" id="{00000000-0008-0000-0400-00009C000000}"/>
            </a:ext>
          </a:extLst>
        </xdr:cNvPr>
        <xdr:cNvPicPr>
          <a:picLocks noChangeAspect="1"/>
        </xdr:cNvPicPr>
      </xdr:nvPicPr>
      <xdr:blipFill>
        <a:blip xmlns:r="http://schemas.openxmlformats.org/officeDocument/2006/relationships" r:embed="rId16" cstate="print"/>
        <a:stretch>
          <a:fillRect/>
        </a:stretch>
      </xdr:blipFill>
      <xdr:spPr>
        <a:xfrm>
          <a:off x="42864" y="40871850"/>
          <a:ext cx="358961" cy="268250"/>
        </a:xfrm>
        <a:prstGeom prst="rect">
          <a:avLst/>
        </a:prstGeom>
      </xdr:spPr>
    </xdr:pic>
    <xdr:clientData fPrintsWithSheet="0"/>
  </xdr:twoCellAnchor>
  <xdr:twoCellAnchor editAs="oneCell">
    <xdr:from>
      <xdr:col>0</xdr:col>
      <xdr:colOff>42864</xdr:colOff>
      <xdr:row>379</xdr:row>
      <xdr:rowOff>90490</xdr:rowOff>
    </xdr:from>
    <xdr:to>
      <xdr:col>0</xdr:col>
      <xdr:colOff>401825</xdr:colOff>
      <xdr:row>381</xdr:row>
      <xdr:rowOff>31138</xdr:rowOff>
    </xdr:to>
    <xdr:pic macro="[0]!ShowGuide">
      <xdr:nvPicPr>
        <xdr:cNvPr id="157" name="HelpBtn31" descr="helpbtn37c.bmp">
          <a:extLst>
            <a:ext uri="{FF2B5EF4-FFF2-40B4-BE49-F238E27FC236}">
              <a16:creationId xmlns:a16="http://schemas.microsoft.com/office/drawing/2014/main" id="{00000000-0008-0000-0400-00009D000000}"/>
            </a:ext>
          </a:extLst>
        </xdr:cNvPr>
        <xdr:cNvPicPr>
          <a:picLocks noChangeAspect="1"/>
        </xdr:cNvPicPr>
      </xdr:nvPicPr>
      <xdr:blipFill>
        <a:blip xmlns:r="http://schemas.openxmlformats.org/officeDocument/2006/relationships" r:embed="rId17" cstate="print"/>
        <a:stretch>
          <a:fillRect/>
        </a:stretch>
      </xdr:blipFill>
      <xdr:spPr>
        <a:xfrm>
          <a:off x="42864" y="41192308"/>
          <a:ext cx="358961" cy="258148"/>
        </a:xfrm>
        <a:prstGeom prst="rect">
          <a:avLst/>
        </a:prstGeom>
      </xdr:spPr>
    </xdr:pic>
    <xdr:clientData fPrintsWithSheet="0"/>
  </xdr:twoCellAnchor>
  <xdr:twoCellAnchor editAs="oneCell">
    <xdr:from>
      <xdr:col>4</xdr:col>
      <xdr:colOff>247650</xdr:colOff>
      <xdr:row>361</xdr:row>
      <xdr:rowOff>9525</xdr:rowOff>
    </xdr:from>
    <xdr:to>
      <xdr:col>4</xdr:col>
      <xdr:colOff>428625</xdr:colOff>
      <xdr:row>361</xdr:row>
      <xdr:rowOff>180975</xdr:rowOff>
    </xdr:to>
    <xdr:pic macro="[0]!AnalysisRefresh">
      <xdr:nvPicPr>
        <xdr:cNvPr id="158" name="IncVarAnalysis4Btn" descr="analysisrefresh37.bmp">
          <a:extLst>
            <a:ext uri="{FF2B5EF4-FFF2-40B4-BE49-F238E27FC236}">
              <a16:creationId xmlns:a16="http://schemas.microsoft.com/office/drawing/2014/main" id="{00000000-0008-0000-0400-00009E000000}"/>
            </a:ext>
          </a:extLst>
        </xdr:cNvPr>
        <xdr:cNvPicPr>
          <a:picLocks noChangeAspect="1"/>
        </xdr:cNvPicPr>
      </xdr:nvPicPr>
      <xdr:blipFill>
        <a:blip xmlns:r="http://schemas.openxmlformats.org/officeDocument/2006/relationships" r:embed="rId18" cstate="print"/>
        <a:stretch>
          <a:fillRect/>
        </a:stretch>
      </xdr:blipFill>
      <xdr:spPr>
        <a:xfrm>
          <a:off x="2978150" y="40922575"/>
          <a:ext cx="180975" cy="171450"/>
        </a:xfrm>
        <a:prstGeom prst="rect">
          <a:avLst/>
        </a:prstGeom>
      </xdr:spPr>
    </xdr:pic>
    <xdr:clientData fPrintsWithSheet="0"/>
  </xdr:twoCellAnchor>
  <xdr:twoCellAnchor editAs="oneCell">
    <xdr:from>
      <xdr:col>0</xdr:col>
      <xdr:colOff>42864</xdr:colOff>
      <xdr:row>404</xdr:row>
      <xdr:rowOff>26196</xdr:rowOff>
    </xdr:from>
    <xdr:to>
      <xdr:col>0</xdr:col>
      <xdr:colOff>401825</xdr:colOff>
      <xdr:row>406</xdr:row>
      <xdr:rowOff>43044</xdr:rowOff>
    </xdr:to>
    <xdr:pic macro="[0]!AutoVBA.PrintCurrent">
      <xdr:nvPicPr>
        <xdr:cNvPr id="159" name="PrintBtn21" descr="printbtn37.bmp">
          <a:extLst>
            <a:ext uri="{FF2B5EF4-FFF2-40B4-BE49-F238E27FC236}">
              <a16:creationId xmlns:a16="http://schemas.microsoft.com/office/drawing/2014/main" id="{00000000-0008-0000-0400-00009F000000}"/>
            </a:ext>
          </a:extLst>
        </xdr:cNvPr>
        <xdr:cNvPicPr>
          <a:picLocks noChangeAspect="1"/>
        </xdr:cNvPicPr>
      </xdr:nvPicPr>
      <xdr:blipFill>
        <a:blip xmlns:r="http://schemas.openxmlformats.org/officeDocument/2006/relationships" r:embed="rId13" cstate="print"/>
        <a:stretch>
          <a:fillRect/>
        </a:stretch>
      </xdr:blipFill>
      <xdr:spPr>
        <a:xfrm>
          <a:off x="42864" y="45125628"/>
          <a:ext cx="358961" cy="262189"/>
        </a:xfrm>
        <a:prstGeom prst="rect">
          <a:avLst/>
        </a:prstGeom>
      </xdr:spPr>
    </xdr:pic>
    <xdr:clientData fPrintsWithSheet="0"/>
  </xdr:twoCellAnchor>
  <xdr:twoCellAnchor editAs="oneCell">
    <xdr:from>
      <xdr:col>0</xdr:col>
      <xdr:colOff>42864</xdr:colOff>
      <xdr:row>406</xdr:row>
      <xdr:rowOff>100014</xdr:rowOff>
    </xdr:from>
    <xdr:to>
      <xdr:col>0</xdr:col>
      <xdr:colOff>401825</xdr:colOff>
      <xdr:row>407</xdr:row>
      <xdr:rowOff>164487</xdr:rowOff>
    </xdr:to>
    <xdr:pic macro="[0]!GotoPreviousAnalysis">
      <xdr:nvPicPr>
        <xdr:cNvPr id="160" name="PrevBtn32" descr="prevbtn37c.bmp">
          <a:extLst>
            <a:ext uri="{FF2B5EF4-FFF2-40B4-BE49-F238E27FC236}">
              <a16:creationId xmlns:a16="http://schemas.microsoft.com/office/drawing/2014/main" id="{00000000-0008-0000-0400-0000A0000000}"/>
            </a:ext>
          </a:extLst>
        </xdr:cNvPr>
        <xdr:cNvPicPr>
          <a:picLocks noChangeAspect="1"/>
        </xdr:cNvPicPr>
      </xdr:nvPicPr>
      <xdr:blipFill>
        <a:blip xmlns:r="http://schemas.openxmlformats.org/officeDocument/2006/relationships" r:embed="rId14" cstate="print"/>
        <a:stretch>
          <a:fillRect/>
        </a:stretch>
      </xdr:blipFill>
      <xdr:spPr>
        <a:xfrm>
          <a:off x="42864" y="45444787"/>
          <a:ext cx="358961" cy="266518"/>
        </a:xfrm>
        <a:prstGeom prst="rect">
          <a:avLst/>
        </a:prstGeom>
      </xdr:spPr>
    </xdr:pic>
    <xdr:clientData fPrintsWithSheet="0"/>
  </xdr:twoCellAnchor>
  <xdr:twoCellAnchor editAs="oneCell">
    <xdr:from>
      <xdr:col>0</xdr:col>
      <xdr:colOff>42864</xdr:colOff>
      <xdr:row>408</xdr:row>
      <xdr:rowOff>28575</xdr:rowOff>
    </xdr:from>
    <xdr:to>
      <xdr:col>0</xdr:col>
      <xdr:colOff>401825</xdr:colOff>
      <xdr:row>409</xdr:row>
      <xdr:rowOff>93048</xdr:rowOff>
    </xdr:to>
    <xdr:pic macro="[0]!GotoNextAnalysis">
      <xdr:nvPicPr>
        <xdr:cNvPr id="161" name="NextBtn32" descr="nextbtn37c.bmp">
          <a:extLst>
            <a:ext uri="{FF2B5EF4-FFF2-40B4-BE49-F238E27FC236}">
              <a16:creationId xmlns:a16="http://schemas.microsoft.com/office/drawing/2014/main" id="{00000000-0008-0000-0400-0000A1000000}"/>
            </a:ext>
          </a:extLst>
        </xdr:cNvPr>
        <xdr:cNvPicPr>
          <a:picLocks noChangeAspect="1"/>
        </xdr:cNvPicPr>
      </xdr:nvPicPr>
      <xdr:blipFill>
        <a:blip xmlns:r="http://schemas.openxmlformats.org/officeDocument/2006/relationships" r:embed="rId15" cstate="print"/>
        <a:stretch>
          <a:fillRect/>
        </a:stretch>
      </xdr:blipFill>
      <xdr:spPr>
        <a:xfrm>
          <a:off x="42864" y="45763007"/>
          <a:ext cx="358961" cy="266518"/>
        </a:xfrm>
        <a:prstGeom prst="rect">
          <a:avLst/>
        </a:prstGeom>
      </xdr:spPr>
    </xdr:pic>
    <xdr:clientData fPrintsWithSheet="0"/>
  </xdr:twoCellAnchor>
  <xdr:twoCellAnchor editAs="oneCell">
    <xdr:from>
      <xdr:col>0</xdr:col>
      <xdr:colOff>42864</xdr:colOff>
      <xdr:row>409</xdr:row>
      <xdr:rowOff>145257</xdr:rowOff>
    </xdr:from>
    <xdr:to>
      <xdr:col>0</xdr:col>
      <xdr:colOff>401825</xdr:colOff>
      <xdr:row>425</xdr:row>
      <xdr:rowOff>38280</xdr:rowOff>
    </xdr:to>
    <xdr:pic macro="[0]!GoHome">
      <xdr:nvPicPr>
        <xdr:cNvPr id="162" name="HomeBtn32" descr="homebtn37b.bmp">
          <a:extLst>
            <a:ext uri="{FF2B5EF4-FFF2-40B4-BE49-F238E27FC236}">
              <a16:creationId xmlns:a16="http://schemas.microsoft.com/office/drawing/2014/main" id="{00000000-0008-0000-0400-0000A2000000}"/>
            </a:ext>
          </a:extLst>
        </xdr:cNvPr>
        <xdr:cNvPicPr>
          <a:picLocks noChangeAspect="1"/>
        </xdr:cNvPicPr>
      </xdr:nvPicPr>
      <xdr:blipFill>
        <a:blip xmlns:r="http://schemas.openxmlformats.org/officeDocument/2006/relationships" r:embed="rId16" cstate="print"/>
        <a:stretch>
          <a:fillRect/>
        </a:stretch>
      </xdr:blipFill>
      <xdr:spPr>
        <a:xfrm>
          <a:off x="42864" y="46081734"/>
          <a:ext cx="358961" cy="268251"/>
        </a:xfrm>
        <a:prstGeom prst="rect">
          <a:avLst/>
        </a:prstGeom>
      </xdr:spPr>
    </xdr:pic>
    <xdr:clientData fPrintsWithSheet="0"/>
  </xdr:twoCellAnchor>
  <xdr:twoCellAnchor editAs="oneCell">
    <xdr:from>
      <xdr:col>0</xdr:col>
      <xdr:colOff>42864</xdr:colOff>
      <xdr:row>425</xdr:row>
      <xdr:rowOff>90491</xdr:rowOff>
    </xdr:from>
    <xdr:to>
      <xdr:col>0</xdr:col>
      <xdr:colOff>401825</xdr:colOff>
      <xdr:row>427</xdr:row>
      <xdr:rowOff>31139</xdr:rowOff>
    </xdr:to>
    <xdr:pic macro="[0]!ShowGuide">
      <xdr:nvPicPr>
        <xdr:cNvPr id="163" name="HelpBtn32" descr="helpbtn37c.bmp">
          <a:extLst>
            <a:ext uri="{FF2B5EF4-FFF2-40B4-BE49-F238E27FC236}">
              <a16:creationId xmlns:a16="http://schemas.microsoft.com/office/drawing/2014/main" id="{00000000-0008-0000-0400-0000A3000000}"/>
            </a:ext>
          </a:extLst>
        </xdr:cNvPr>
        <xdr:cNvPicPr>
          <a:picLocks noChangeAspect="1"/>
        </xdr:cNvPicPr>
      </xdr:nvPicPr>
      <xdr:blipFill>
        <a:blip xmlns:r="http://schemas.openxmlformats.org/officeDocument/2006/relationships" r:embed="rId17" cstate="print"/>
        <a:stretch>
          <a:fillRect/>
        </a:stretch>
      </xdr:blipFill>
      <xdr:spPr>
        <a:xfrm>
          <a:off x="42864" y="46402196"/>
          <a:ext cx="358961" cy="258148"/>
        </a:xfrm>
        <a:prstGeom prst="rect">
          <a:avLst/>
        </a:prstGeom>
      </xdr:spPr>
    </xdr:pic>
    <xdr:clientData fPrintsWithSheet="0"/>
  </xdr:twoCellAnchor>
  <xdr:twoCellAnchor editAs="oneCell">
    <xdr:from>
      <xdr:col>4</xdr:col>
      <xdr:colOff>247650</xdr:colOff>
      <xdr:row>407</xdr:row>
      <xdr:rowOff>11908</xdr:rowOff>
    </xdr:from>
    <xdr:to>
      <xdr:col>4</xdr:col>
      <xdr:colOff>428625</xdr:colOff>
      <xdr:row>407</xdr:row>
      <xdr:rowOff>183358</xdr:rowOff>
    </xdr:to>
    <xdr:pic macro="[0]!AnalysisRefresh">
      <xdr:nvPicPr>
        <xdr:cNvPr id="164" name="IncVarAnalysis5Btn" descr="analysisrefresh37.bmp">
          <a:extLst>
            <a:ext uri="{FF2B5EF4-FFF2-40B4-BE49-F238E27FC236}">
              <a16:creationId xmlns:a16="http://schemas.microsoft.com/office/drawing/2014/main" id="{00000000-0008-0000-0400-0000A4000000}"/>
            </a:ext>
          </a:extLst>
        </xdr:cNvPr>
        <xdr:cNvPicPr>
          <a:picLocks noChangeAspect="1"/>
        </xdr:cNvPicPr>
      </xdr:nvPicPr>
      <xdr:blipFill>
        <a:blip xmlns:r="http://schemas.openxmlformats.org/officeDocument/2006/relationships" r:embed="rId18" cstate="print"/>
        <a:stretch>
          <a:fillRect/>
        </a:stretch>
      </xdr:blipFill>
      <xdr:spPr>
        <a:xfrm>
          <a:off x="2978150" y="46278008"/>
          <a:ext cx="180975" cy="171450"/>
        </a:xfrm>
        <a:prstGeom prst="rect">
          <a:avLst/>
        </a:prstGeom>
      </xdr:spPr>
    </xdr:pic>
    <xdr:clientData fPrintsWithSheet="0"/>
  </xdr:twoCellAnchor>
  <xdr:twoCellAnchor editAs="oneCell">
    <xdr:from>
      <xdr:col>0</xdr:col>
      <xdr:colOff>42864</xdr:colOff>
      <xdr:row>450</xdr:row>
      <xdr:rowOff>30958</xdr:rowOff>
    </xdr:from>
    <xdr:to>
      <xdr:col>0</xdr:col>
      <xdr:colOff>401825</xdr:colOff>
      <xdr:row>452</xdr:row>
      <xdr:rowOff>47806</xdr:rowOff>
    </xdr:to>
    <xdr:pic macro="[0]!AutoVBA.PrintCurrent">
      <xdr:nvPicPr>
        <xdr:cNvPr id="165" name="PrintBtn22" descr="printbtn37.bmp">
          <a:extLst>
            <a:ext uri="{FF2B5EF4-FFF2-40B4-BE49-F238E27FC236}">
              <a16:creationId xmlns:a16="http://schemas.microsoft.com/office/drawing/2014/main" id="{00000000-0008-0000-0400-0000A5000000}"/>
            </a:ext>
          </a:extLst>
        </xdr:cNvPr>
        <xdr:cNvPicPr>
          <a:picLocks noChangeAspect="1"/>
        </xdr:cNvPicPr>
      </xdr:nvPicPr>
      <xdr:blipFill>
        <a:blip xmlns:r="http://schemas.openxmlformats.org/officeDocument/2006/relationships" r:embed="rId13" cstate="print"/>
        <a:stretch>
          <a:fillRect/>
        </a:stretch>
      </xdr:blipFill>
      <xdr:spPr>
        <a:xfrm>
          <a:off x="42864" y="50340276"/>
          <a:ext cx="358961" cy="262189"/>
        </a:xfrm>
        <a:prstGeom prst="rect">
          <a:avLst/>
        </a:prstGeom>
      </xdr:spPr>
    </xdr:pic>
    <xdr:clientData fPrintsWithSheet="0"/>
  </xdr:twoCellAnchor>
  <xdr:twoCellAnchor editAs="oneCell">
    <xdr:from>
      <xdr:col>0</xdr:col>
      <xdr:colOff>42864</xdr:colOff>
      <xdr:row>452</xdr:row>
      <xdr:rowOff>102393</xdr:rowOff>
    </xdr:from>
    <xdr:to>
      <xdr:col>0</xdr:col>
      <xdr:colOff>401825</xdr:colOff>
      <xdr:row>453</xdr:row>
      <xdr:rowOff>166866</xdr:rowOff>
    </xdr:to>
    <xdr:pic macro="[0]!GotoPreviousAnalysis">
      <xdr:nvPicPr>
        <xdr:cNvPr id="166" name="PrevBtn33" descr="prevbtn37c.bmp">
          <a:extLst>
            <a:ext uri="{FF2B5EF4-FFF2-40B4-BE49-F238E27FC236}">
              <a16:creationId xmlns:a16="http://schemas.microsoft.com/office/drawing/2014/main" id="{00000000-0008-0000-0400-0000A6000000}"/>
            </a:ext>
          </a:extLst>
        </xdr:cNvPr>
        <xdr:cNvPicPr>
          <a:picLocks noChangeAspect="1"/>
        </xdr:cNvPicPr>
      </xdr:nvPicPr>
      <xdr:blipFill>
        <a:blip xmlns:r="http://schemas.openxmlformats.org/officeDocument/2006/relationships" r:embed="rId14" cstate="print"/>
        <a:stretch>
          <a:fillRect/>
        </a:stretch>
      </xdr:blipFill>
      <xdr:spPr>
        <a:xfrm>
          <a:off x="42864" y="50657052"/>
          <a:ext cx="358961" cy="266519"/>
        </a:xfrm>
        <a:prstGeom prst="rect">
          <a:avLst/>
        </a:prstGeom>
      </xdr:spPr>
    </xdr:pic>
    <xdr:clientData fPrintsWithSheet="0"/>
  </xdr:twoCellAnchor>
  <xdr:twoCellAnchor editAs="oneCell">
    <xdr:from>
      <xdr:col>0</xdr:col>
      <xdr:colOff>42864</xdr:colOff>
      <xdr:row>454</xdr:row>
      <xdr:rowOff>30959</xdr:rowOff>
    </xdr:from>
    <xdr:to>
      <xdr:col>0</xdr:col>
      <xdr:colOff>401825</xdr:colOff>
      <xdr:row>455</xdr:row>
      <xdr:rowOff>95432</xdr:rowOff>
    </xdr:to>
    <xdr:pic macro="[0]!GotoNextAnalysis">
      <xdr:nvPicPr>
        <xdr:cNvPr id="167" name="NextBtn33" descr="nextbtn37c.bmp">
          <a:extLst>
            <a:ext uri="{FF2B5EF4-FFF2-40B4-BE49-F238E27FC236}">
              <a16:creationId xmlns:a16="http://schemas.microsoft.com/office/drawing/2014/main" id="{00000000-0008-0000-0400-0000A7000000}"/>
            </a:ext>
          </a:extLst>
        </xdr:cNvPr>
        <xdr:cNvPicPr>
          <a:picLocks noChangeAspect="1"/>
        </xdr:cNvPicPr>
      </xdr:nvPicPr>
      <xdr:blipFill>
        <a:blip xmlns:r="http://schemas.openxmlformats.org/officeDocument/2006/relationships" r:embed="rId15" cstate="print"/>
        <a:stretch>
          <a:fillRect/>
        </a:stretch>
      </xdr:blipFill>
      <xdr:spPr>
        <a:xfrm>
          <a:off x="42864" y="50975277"/>
          <a:ext cx="358961" cy="266519"/>
        </a:xfrm>
        <a:prstGeom prst="rect">
          <a:avLst/>
        </a:prstGeom>
      </xdr:spPr>
    </xdr:pic>
    <xdr:clientData fPrintsWithSheet="0"/>
  </xdr:twoCellAnchor>
  <xdr:twoCellAnchor editAs="oneCell">
    <xdr:from>
      <xdr:col>0</xdr:col>
      <xdr:colOff>42864</xdr:colOff>
      <xdr:row>455</xdr:row>
      <xdr:rowOff>145258</xdr:rowOff>
    </xdr:from>
    <xdr:to>
      <xdr:col>0</xdr:col>
      <xdr:colOff>401825</xdr:colOff>
      <xdr:row>471</xdr:row>
      <xdr:rowOff>38281</xdr:rowOff>
    </xdr:to>
    <xdr:pic macro="[0]!GoHome">
      <xdr:nvPicPr>
        <xdr:cNvPr id="168" name="HomeBtn33" descr="homebtn37b.bmp">
          <a:extLst>
            <a:ext uri="{FF2B5EF4-FFF2-40B4-BE49-F238E27FC236}">
              <a16:creationId xmlns:a16="http://schemas.microsoft.com/office/drawing/2014/main" id="{00000000-0008-0000-0400-0000A8000000}"/>
            </a:ext>
          </a:extLst>
        </xdr:cNvPr>
        <xdr:cNvPicPr>
          <a:picLocks noChangeAspect="1"/>
        </xdr:cNvPicPr>
      </xdr:nvPicPr>
      <xdr:blipFill>
        <a:blip xmlns:r="http://schemas.openxmlformats.org/officeDocument/2006/relationships" r:embed="rId16" cstate="print"/>
        <a:stretch>
          <a:fillRect/>
        </a:stretch>
      </xdr:blipFill>
      <xdr:spPr>
        <a:xfrm>
          <a:off x="42864" y="51291622"/>
          <a:ext cx="358961" cy="268250"/>
        </a:xfrm>
        <a:prstGeom prst="rect">
          <a:avLst/>
        </a:prstGeom>
      </xdr:spPr>
    </xdr:pic>
    <xdr:clientData fPrintsWithSheet="0"/>
  </xdr:twoCellAnchor>
  <xdr:twoCellAnchor editAs="oneCell">
    <xdr:from>
      <xdr:col>0</xdr:col>
      <xdr:colOff>42864</xdr:colOff>
      <xdr:row>471</xdr:row>
      <xdr:rowOff>90489</xdr:rowOff>
    </xdr:from>
    <xdr:to>
      <xdr:col>0</xdr:col>
      <xdr:colOff>401825</xdr:colOff>
      <xdr:row>473</xdr:row>
      <xdr:rowOff>31137</xdr:rowOff>
    </xdr:to>
    <xdr:pic macro="[0]!ShowGuide">
      <xdr:nvPicPr>
        <xdr:cNvPr id="169" name="HelpBtn33" descr="helpbtn37c.bmp">
          <a:extLst>
            <a:ext uri="{FF2B5EF4-FFF2-40B4-BE49-F238E27FC236}">
              <a16:creationId xmlns:a16="http://schemas.microsoft.com/office/drawing/2014/main" id="{00000000-0008-0000-0400-0000A9000000}"/>
            </a:ext>
          </a:extLst>
        </xdr:cNvPr>
        <xdr:cNvPicPr>
          <a:picLocks noChangeAspect="1"/>
        </xdr:cNvPicPr>
      </xdr:nvPicPr>
      <xdr:blipFill>
        <a:blip xmlns:r="http://schemas.openxmlformats.org/officeDocument/2006/relationships" r:embed="rId17" cstate="print"/>
        <a:stretch>
          <a:fillRect/>
        </a:stretch>
      </xdr:blipFill>
      <xdr:spPr>
        <a:xfrm>
          <a:off x="42864" y="51612080"/>
          <a:ext cx="358961" cy="258148"/>
        </a:xfrm>
        <a:prstGeom prst="rect">
          <a:avLst/>
        </a:prstGeom>
      </xdr:spPr>
    </xdr:pic>
    <xdr:clientData fPrintsWithSheet="0"/>
  </xdr:twoCellAnchor>
  <xdr:twoCellAnchor editAs="oneCell">
    <xdr:from>
      <xdr:col>4</xdr:col>
      <xdr:colOff>247650</xdr:colOff>
      <xdr:row>453</xdr:row>
      <xdr:rowOff>11906</xdr:rowOff>
    </xdr:from>
    <xdr:to>
      <xdr:col>4</xdr:col>
      <xdr:colOff>428625</xdr:colOff>
      <xdr:row>453</xdr:row>
      <xdr:rowOff>183356</xdr:rowOff>
    </xdr:to>
    <xdr:pic macro="[0]!AnalysisRefresh">
      <xdr:nvPicPr>
        <xdr:cNvPr id="170" name="IncVarAnalysis6Btn" descr="analysisrefresh37.bmp">
          <a:extLst>
            <a:ext uri="{FF2B5EF4-FFF2-40B4-BE49-F238E27FC236}">
              <a16:creationId xmlns:a16="http://schemas.microsoft.com/office/drawing/2014/main" id="{00000000-0008-0000-0400-0000AA000000}"/>
            </a:ext>
          </a:extLst>
        </xdr:cNvPr>
        <xdr:cNvPicPr>
          <a:picLocks noChangeAspect="1"/>
        </xdr:cNvPicPr>
      </xdr:nvPicPr>
      <xdr:blipFill>
        <a:blip xmlns:r="http://schemas.openxmlformats.org/officeDocument/2006/relationships" r:embed="rId18" cstate="print"/>
        <a:stretch>
          <a:fillRect/>
        </a:stretch>
      </xdr:blipFill>
      <xdr:spPr>
        <a:xfrm>
          <a:off x="2978150" y="51631056"/>
          <a:ext cx="180975" cy="171450"/>
        </a:xfrm>
        <a:prstGeom prst="rect">
          <a:avLst/>
        </a:prstGeom>
      </xdr:spPr>
    </xdr:pic>
    <xdr:clientData fPrintsWithSheet="0"/>
  </xdr:twoCellAnchor>
  <mc:AlternateContent xmlns:mc="http://schemas.openxmlformats.org/markup-compatibility/2006">
    <mc:Choice xmlns:a14="http://schemas.microsoft.com/office/drawing/2010/main" Requires="a14">
      <xdr:twoCellAnchor editAs="oneCell">
        <xdr:from>
          <xdr:col>5</xdr:col>
          <xdr:colOff>0</xdr:colOff>
          <xdr:row>222</xdr:row>
          <xdr:rowOff>0</xdr:rowOff>
        </xdr:from>
        <xdr:to>
          <xdr:col>10</xdr:col>
          <xdr:colOff>0</xdr:colOff>
          <xdr:row>223</xdr:row>
          <xdr:rowOff>0</xdr:rowOff>
        </xdr:to>
        <xdr:sp macro="" textlink="">
          <xdr:nvSpPr>
            <xdr:cNvPr id="4097" name="VariableDD1" hidden="1">
              <a:extLst>
                <a:ext uri="{63B3BB69-23CF-44E3-9099-C40C66FF867C}">
                  <a14:compatExt spid="_x0000_s4097"/>
                </a:ext>
                <a:ext uri="{FF2B5EF4-FFF2-40B4-BE49-F238E27FC236}">
                  <a16:creationId xmlns:a16="http://schemas.microsoft.com/office/drawing/2014/main" id="{00000000-0008-0000-0400-000001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1073150</xdr:colOff>
          <xdr:row>224</xdr:row>
          <xdr:rowOff>0</xdr:rowOff>
        </xdr:from>
        <xdr:to>
          <xdr:col>5</xdr:col>
          <xdr:colOff>0</xdr:colOff>
          <xdr:row>225</xdr:row>
          <xdr:rowOff>0</xdr:rowOff>
        </xdr:to>
        <xdr:sp macro="" textlink="">
          <xdr:nvSpPr>
            <xdr:cNvPr id="4098" name="ValuePeriodDD1" hidden="1">
              <a:extLst>
                <a:ext uri="{63B3BB69-23CF-44E3-9099-C40C66FF867C}">
                  <a14:compatExt spid="_x0000_s4098"/>
                </a:ext>
                <a:ext uri="{FF2B5EF4-FFF2-40B4-BE49-F238E27FC236}">
                  <a16:creationId xmlns:a16="http://schemas.microsoft.com/office/drawing/2014/main" id="{00000000-0008-0000-0400-000002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1085850</xdr:colOff>
          <xdr:row>77</xdr:row>
          <xdr:rowOff>0</xdr:rowOff>
        </xdr:from>
        <xdr:to>
          <xdr:col>5</xdr:col>
          <xdr:colOff>0</xdr:colOff>
          <xdr:row>78</xdr:row>
          <xdr:rowOff>0</xdr:rowOff>
        </xdr:to>
        <xdr:sp macro="" textlink="">
          <xdr:nvSpPr>
            <xdr:cNvPr id="4099" name="AFinYearDD01" hidden="1">
              <a:extLst>
                <a:ext uri="{63B3BB69-23CF-44E3-9099-C40C66FF867C}">
                  <a14:compatExt spid="_x0000_s4099"/>
                </a:ext>
                <a:ext uri="{FF2B5EF4-FFF2-40B4-BE49-F238E27FC236}">
                  <a16:creationId xmlns:a16="http://schemas.microsoft.com/office/drawing/2014/main" id="{00000000-0008-0000-0400-000003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1085850</xdr:colOff>
          <xdr:row>255</xdr:row>
          <xdr:rowOff>0</xdr:rowOff>
        </xdr:from>
        <xdr:to>
          <xdr:col>5</xdr:col>
          <xdr:colOff>0</xdr:colOff>
          <xdr:row>256</xdr:row>
          <xdr:rowOff>0</xdr:rowOff>
        </xdr:to>
        <xdr:sp macro="" textlink="">
          <xdr:nvSpPr>
            <xdr:cNvPr id="4100" name="AFinYearDD05" hidden="1">
              <a:extLst>
                <a:ext uri="{63B3BB69-23CF-44E3-9099-C40C66FF867C}">
                  <a14:compatExt spid="_x0000_s4100"/>
                </a:ext>
                <a:ext uri="{FF2B5EF4-FFF2-40B4-BE49-F238E27FC236}">
                  <a16:creationId xmlns:a16="http://schemas.microsoft.com/office/drawing/2014/main" id="{00000000-0008-0000-0400-000004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1085850</xdr:colOff>
          <xdr:row>121</xdr:row>
          <xdr:rowOff>0</xdr:rowOff>
        </xdr:from>
        <xdr:to>
          <xdr:col>5</xdr:col>
          <xdr:colOff>0</xdr:colOff>
          <xdr:row>122</xdr:row>
          <xdr:rowOff>0</xdr:rowOff>
        </xdr:to>
        <xdr:sp macro="" textlink="">
          <xdr:nvSpPr>
            <xdr:cNvPr id="4101" name="AFinYearDD02" hidden="1">
              <a:extLst>
                <a:ext uri="{63B3BB69-23CF-44E3-9099-C40C66FF867C}">
                  <a14:compatExt spid="_x0000_s4101"/>
                </a:ext>
                <a:ext uri="{FF2B5EF4-FFF2-40B4-BE49-F238E27FC236}">
                  <a16:creationId xmlns:a16="http://schemas.microsoft.com/office/drawing/2014/main" id="{00000000-0008-0000-0400-000005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1085850</xdr:colOff>
          <xdr:row>165</xdr:row>
          <xdr:rowOff>0</xdr:rowOff>
        </xdr:from>
        <xdr:to>
          <xdr:col>5</xdr:col>
          <xdr:colOff>0</xdr:colOff>
          <xdr:row>166</xdr:row>
          <xdr:rowOff>0</xdr:rowOff>
        </xdr:to>
        <xdr:sp macro="" textlink="">
          <xdr:nvSpPr>
            <xdr:cNvPr id="4102" name="AFinYearDD03" hidden="1">
              <a:extLst>
                <a:ext uri="{63B3BB69-23CF-44E3-9099-C40C66FF867C}">
                  <a14:compatExt spid="_x0000_s4102"/>
                </a:ext>
                <a:ext uri="{FF2B5EF4-FFF2-40B4-BE49-F238E27FC236}">
                  <a16:creationId xmlns:a16="http://schemas.microsoft.com/office/drawing/2014/main" id="{00000000-0008-0000-0400-000006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47</xdr:row>
          <xdr:rowOff>0</xdr:rowOff>
        </xdr:from>
        <xdr:to>
          <xdr:col>5</xdr:col>
          <xdr:colOff>0</xdr:colOff>
          <xdr:row>48</xdr:row>
          <xdr:rowOff>0</xdr:rowOff>
        </xdr:to>
        <xdr:sp macro="" textlink="">
          <xdr:nvSpPr>
            <xdr:cNvPr id="4103" name="AFactorDD1" hidden="1">
              <a:extLst>
                <a:ext uri="{63B3BB69-23CF-44E3-9099-C40C66FF867C}">
                  <a14:compatExt spid="_x0000_s4103"/>
                </a:ext>
                <a:ext uri="{FF2B5EF4-FFF2-40B4-BE49-F238E27FC236}">
                  <a16:creationId xmlns:a16="http://schemas.microsoft.com/office/drawing/2014/main" id="{00000000-0008-0000-0400-000007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91</xdr:row>
          <xdr:rowOff>0</xdr:rowOff>
        </xdr:from>
        <xdr:to>
          <xdr:col>5</xdr:col>
          <xdr:colOff>0</xdr:colOff>
          <xdr:row>92</xdr:row>
          <xdr:rowOff>0</xdr:rowOff>
        </xdr:to>
        <xdr:sp macro="" textlink="">
          <xdr:nvSpPr>
            <xdr:cNvPr id="4104" name="AFactorDD2" hidden="1">
              <a:extLst>
                <a:ext uri="{63B3BB69-23CF-44E3-9099-C40C66FF867C}">
                  <a14:compatExt spid="_x0000_s4104"/>
                </a:ext>
                <a:ext uri="{FF2B5EF4-FFF2-40B4-BE49-F238E27FC236}">
                  <a16:creationId xmlns:a16="http://schemas.microsoft.com/office/drawing/2014/main" id="{00000000-0008-0000-0400-000008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135</xdr:row>
          <xdr:rowOff>0</xdr:rowOff>
        </xdr:from>
        <xdr:to>
          <xdr:col>5</xdr:col>
          <xdr:colOff>0</xdr:colOff>
          <xdr:row>136</xdr:row>
          <xdr:rowOff>0</xdr:rowOff>
        </xdr:to>
        <xdr:sp macro="" textlink="">
          <xdr:nvSpPr>
            <xdr:cNvPr id="4105" name="AFactorDD3" hidden="1">
              <a:extLst>
                <a:ext uri="{63B3BB69-23CF-44E3-9099-C40C66FF867C}">
                  <a14:compatExt spid="_x0000_s4105"/>
                </a:ext>
                <a:ext uri="{FF2B5EF4-FFF2-40B4-BE49-F238E27FC236}">
                  <a16:creationId xmlns:a16="http://schemas.microsoft.com/office/drawing/2014/main" id="{00000000-0008-0000-0400-000009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1085850</xdr:colOff>
          <xdr:row>209</xdr:row>
          <xdr:rowOff>0</xdr:rowOff>
        </xdr:from>
        <xdr:to>
          <xdr:col>5</xdr:col>
          <xdr:colOff>0</xdr:colOff>
          <xdr:row>210</xdr:row>
          <xdr:rowOff>0</xdr:rowOff>
        </xdr:to>
        <xdr:sp macro="" textlink="">
          <xdr:nvSpPr>
            <xdr:cNvPr id="4106" name="AFinYearDD04" hidden="1">
              <a:extLst>
                <a:ext uri="{63B3BB69-23CF-44E3-9099-C40C66FF867C}">
                  <a14:compatExt spid="_x0000_s4106"/>
                </a:ext>
                <a:ext uri="{FF2B5EF4-FFF2-40B4-BE49-F238E27FC236}">
                  <a16:creationId xmlns:a16="http://schemas.microsoft.com/office/drawing/2014/main" id="{00000000-0008-0000-0400-00000A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179</xdr:row>
          <xdr:rowOff>0</xdr:rowOff>
        </xdr:from>
        <xdr:to>
          <xdr:col>5</xdr:col>
          <xdr:colOff>0</xdr:colOff>
          <xdr:row>180</xdr:row>
          <xdr:rowOff>0</xdr:rowOff>
        </xdr:to>
        <xdr:sp macro="" textlink="">
          <xdr:nvSpPr>
            <xdr:cNvPr id="4107" name="AFactorDD4" hidden="1">
              <a:extLst>
                <a:ext uri="{63B3BB69-23CF-44E3-9099-C40C66FF867C}">
                  <a14:compatExt spid="_x0000_s4107"/>
                </a:ext>
                <a:ext uri="{FF2B5EF4-FFF2-40B4-BE49-F238E27FC236}">
                  <a16:creationId xmlns:a16="http://schemas.microsoft.com/office/drawing/2014/main" id="{00000000-0008-0000-0400-00000B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225</xdr:row>
          <xdr:rowOff>0</xdr:rowOff>
        </xdr:from>
        <xdr:to>
          <xdr:col>5</xdr:col>
          <xdr:colOff>0</xdr:colOff>
          <xdr:row>226</xdr:row>
          <xdr:rowOff>0</xdr:rowOff>
        </xdr:to>
        <xdr:sp macro="" textlink="">
          <xdr:nvSpPr>
            <xdr:cNvPr id="4108" name="AFactorDD5" hidden="1">
              <a:extLst>
                <a:ext uri="{63B3BB69-23CF-44E3-9099-C40C66FF867C}">
                  <a14:compatExt spid="_x0000_s4108"/>
                </a:ext>
                <a:ext uri="{FF2B5EF4-FFF2-40B4-BE49-F238E27FC236}">
                  <a16:creationId xmlns:a16="http://schemas.microsoft.com/office/drawing/2014/main" id="{00000000-0008-0000-0400-00000C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xdr:row>
          <xdr:rowOff>0</xdr:rowOff>
        </xdr:from>
        <xdr:to>
          <xdr:col>5</xdr:col>
          <xdr:colOff>0</xdr:colOff>
          <xdr:row>9</xdr:row>
          <xdr:rowOff>0</xdr:rowOff>
        </xdr:to>
        <xdr:sp macro="" textlink="">
          <xdr:nvSpPr>
            <xdr:cNvPr id="4109" name="AFactorDD6" hidden="1">
              <a:extLst>
                <a:ext uri="{63B3BB69-23CF-44E3-9099-C40C66FF867C}">
                  <a14:compatExt spid="_x0000_s4109"/>
                </a:ext>
                <a:ext uri="{FF2B5EF4-FFF2-40B4-BE49-F238E27FC236}">
                  <a16:creationId xmlns:a16="http://schemas.microsoft.com/office/drawing/2014/main" id="{00000000-0008-0000-0400-00000D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78</xdr:row>
          <xdr:rowOff>0</xdr:rowOff>
        </xdr:from>
        <xdr:to>
          <xdr:col>5</xdr:col>
          <xdr:colOff>0</xdr:colOff>
          <xdr:row>79</xdr:row>
          <xdr:rowOff>0</xdr:rowOff>
        </xdr:to>
        <xdr:sp macro="" textlink="">
          <xdr:nvSpPr>
            <xdr:cNvPr id="4110" name="A01RatioDD01" hidden="1">
              <a:extLst>
                <a:ext uri="{63B3BB69-23CF-44E3-9099-C40C66FF867C}">
                  <a14:compatExt spid="_x0000_s4110"/>
                </a:ext>
                <a:ext uri="{FF2B5EF4-FFF2-40B4-BE49-F238E27FC236}">
                  <a16:creationId xmlns:a16="http://schemas.microsoft.com/office/drawing/2014/main" id="{00000000-0008-0000-0400-00000E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79</xdr:row>
          <xdr:rowOff>0</xdr:rowOff>
        </xdr:from>
        <xdr:to>
          <xdr:col>5</xdr:col>
          <xdr:colOff>0</xdr:colOff>
          <xdr:row>80</xdr:row>
          <xdr:rowOff>0</xdr:rowOff>
        </xdr:to>
        <xdr:sp macro="" textlink="">
          <xdr:nvSpPr>
            <xdr:cNvPr id="4111" name="A01RatioDD02" hidden="1">
              <a:extLst>
                <a:ext uri="{63B3BB69-23CF-44E3-9099-C40C66FF867C}">
                  <a14:compatExt spid="_x0000_s4111"/>
                </a:ext>
                <a:ext uri="{FF2B5EF4-FFF2-40B4-BE49-F238E27FC236}">
                  <a16:creationId xmlns:a16="http://schemas.microsoft.com/office/drawing/2014/main" id="{00000000-0008-0000-0400-00000F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80</xdr:row>
          <xdr:rowOff>0</xdr:rowOff>
        </xdr:from>
        <xdr:to>
          <xdr:col>5</xdr:col>
          <xdr:colOff>0</xdr:colOff>
          <xdr:row>81</xdr:row>
          <xdr:rowOff>0</xdr:rowOff>
        </xdr:to>
        <xdr:sp macro="" textlink="">
          <xdr:nvSpPr>
            <xdr:cNvPr id="4112" name="A01RatioDD03" hidden="1">
              <a:extLst>
                <a:ext uri="{63B3BB69-23CF-44E3-9099-C40C66FF867C}">
                  <a14:compatExt spid="_x0000_s4112"/>
                </a:ext>
                <a:ext uri="{FF2B5EF4-FFF2-40B4-BE49-F238E27FC236}">
                  <a16:creationId xmlns:a16="http://schemas.microsoft.com/office/drawing/2014/main" id="{00000000-0008-0000-0400-000010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81</xdr:row>
          <xdr:rowOff>0</xdr:rowOff>
        </xdr:from>
        <xdr:to>
          <xdr:col>5</xdr:col>
          <xdr:colOff>0</xdr:colOff>
          <xdr:row>82</xdr:row>
          <xdr:rowOff>0</xdr:rowOff>
        </xdr:to>
        <xdr:sp macro="" textlink="">
          <xdr:nvSpPr>
            <xdr:cNvPr id="4113" name="A01RatioDD04" hidden="1">
              <a:extLst>
                <a:ext uri="{63B3BB69-23CF-44E3-9099-C40C66FF867C}">
                  <a14:compatExt spid="_x0000_s4113"/>
                </a:ext>
                <a:ext uri="{FF2B5EF4-FFF2-40B4-BE49-F238E27FC236}">
                  <a16:creationId xmlns:a16="http://schemas.microsoft.com/office/drawing/2014/main" id="{00000000-0008-0000-0400-000011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82</xdr:row>
          <xdr:rowOff>0</xdr:rowOff>
        </xdr:from>
        <xdr:to>
          <xdr:col>5</xdr:col>
          <xdr:colOff>0</xdr:colOff>
          <xdr:row>83</xdr:row>
          <xdr:rowOff>0</xdr:rowOff>
        </xdr:to>
        <xdr:sp macro="" textlink="">
          <xdr:nvSpPr>
            <xdr:cNvPr id="4114" name="A01RatioDD05" hidden="1">
              <a:extLst>
                <a:ext uri="{63B3BB69-23CF-44E3-9099-C40C66FF867C}">
                  <a14:compatExt spid="_x0000_s4114"/>
                </a:ext>
                <a:ext uri="{FF2B5EF4-FFF2-40B4-BE49-F238E27FC236}">
                  <a16:creationId xmlns:a16="http://schemas.microsoft.com/office/drawing/2014/main" id="{00000000-0008-0000-0400-000012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83</xdr:row>
          <xdr:rowOff>0</xdr:rowOff>
        </xdr:from>
        <xdr:to>
          <xdr:col>5</xdr:col>
          <xdr:colOff>0</xdr:colOff>
          <xdr:row>84</xdr:row>
          <xdr:rowOff>0</xdr:rowOff>
        </xdr:to>
        <xdr:sp macro="" textlink="">
          <xdr:nvSpPr>
            <xdr:cNvPr id="4115" name="A01RatioDD06" hidden="1">
              <a:extLst>
                <a:ext uri="{63B3BB69-23CF-44E3-9099-C40C66FF867C}">
                  <a14:compatExt spid="_x0000_s4115"/>
                </a:ext>
                <a:ext uri="{FF2B5EF4-FFF2-40B4-BE49-F238E27FC236}">
                  <a16:creationId xmlns:a16="http://schemas.microsoft.com/office/drawing/2014/main" id="{00000000-0008-0000-0400-000013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122</xdr:row>
          <xdr:rowOff>0</xdr:rowOff>
        </xdr:from>
        <xdr:to>
          <xdr:col>5</xdr:col>
          <xdr:colOff>0</xdr:colOff>
          <xdr:row>123</xdr:row>
          <xdr:rowOff>0</xdr:rowOff>
        </xdr:to>
        <xdr:sp macro="" textlink="">
          <xdr:nvSpPr>
            <xdr:cNvPr id="4116" name="A02RatioDD01" hidden="1">
              <a:extLst>
                <a:ext uri="{63B3BB69-23CF-44E3-9099-C40C66FF867C}">
                  <a14:compatExt spid="_x0000_s4116"/>
                </a:ext>
                <a:ext uri="{FF2B5EF4-FFF2-40B4-BE49-F238E27FC236}">
                  <a16:creationId xmlns:a16="http://schemas.microsoft.com/office/drawing/2014/main" id="{00000000-0008-0000-0400-000014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123</xdr:row>
          <xdr:rowOff>0</xdr:rowOff>
        </xdr:from>
        <xdr:to>
          <xdr:col>5</xdr:col>
          <xdr:colOff>0</xdr:colOff>
          <xdr:row>124</xdr:row>
          <xdr:rowOff>0</xdr:rowOff>
        </xdr:to>
        <xdr:sp macro="" textlink="">
          <xdr:nvSpPr>
            <xdr:cNvPr id="4117" name="A02RatioDD02" hidden="1">
              <a:extLst>
                <a:ext uri="{63B3BB69-23CF-44E3-9099-C40C66FF867C}">
                  <a14:compatExt spid="_x0000_s4117"/>
                </a:ext>
                <a:ext uri="{FF2B5EF4-FFF2-40B4-BE49-F238E27FC236}">
                  <a16:creationId xmlns:a16="http://schemas.microsoft.com/office/drawing/2014/main" id="{00000000-0008-0000-0400-000015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124</xdr:row>
          <xdr:rowOff>0</xdr:rowOff>
        </xdr:from>
        <xdr:to>
          <xdr:col>5</xdr:col>
          <xdr:colOff>0</xdr:colOff>
          <xdr:row>125</xdr:row>
          <xdr:rowOff>0</xdr:rowOff>
        </xdr:to>
        <xdr:sp macro="" textlink="">
          <xdr:nvSpPr>
            <xdr:cNvPr id="4118" name="A02RatioDD03" hidden="1">
              <a:extLst>
                <a:ext uri="{63B3BB69-23CF-44E3-9099-C40C66FF867C}">
                  <a14:compatExt spid="_x0000_s4118"/>
                </a:ext>
                <a:ext uri="{FF2B5EF4-FFF2-40B4-BE49-F238E27FC236}">
                  <a16:creationId xmlns:a16="http://schemas.microsoft.com/office/drawing/2014/main" id="{00000000-0008-0000-0400-000016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125</xdr:row>
          <xdr:rowOff>0</xdr:rowOff>
        </xdr:from>
        <xdr:to>
          <xdr:col>5</xdr:col>
          <xdr:colOff>0</xdr:colOff>
          <xdr:row>126</xdr:row>
          <xdr:rowOff>0</xdr:rowOff>
        </xdr:to>
        <xdr:sp macro="" textlink="">
          <xdr:nvSpPr>
            <xdr:cNvPr id="4119" name="A02RatioDD04" hidden="1">
              <a:extLst>
                <a:ext uri="{63B3BB69-23CF-44E3-9099-C40C66FF867C}">
                  <a14:compatExt spid="_x0000_s4119"/>
                </a:ext>
                <a:ext uri="{FF2B5EF4-FFF2-40B4-BE49-F238E27FC236}">
                  <a16:creationId xmlns:a16="http://schemas.microsoft.com/office/drawing/2014/main" id="{00000000-0008-0000-0400-000017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126</xdr:row>
          <xdr:rowOff>0</xdr:rowOff>
        </xdr:from>
        <xdr:to>
          <xdr:col>5</xdr:col>
          <xdr:colOff>0</xdr:colOff>
          <xdr:row>127</xdr:row>
          <xdr:rowOff>0</xdr:rowOff>
        </xdr:to>
        <xdr:sp macro="" textlink="">
          <xdr:nvSpPr>
            <xdr:cNvPr id="4120" name="A02RatioDD05" hidden="1">
              <a:extLst>
                <a:ext uri="{63B3BB69-23CF-44E3-9099-C40C66FF867C}">
                  <a14:compatExt spid="_x0000_s4120"/>
                </a:ext>
                <a:ext uri="{FF2B5EF4-FFF2-40B4-BE49-F238E27FC236}">
                  <a16:creationId xmlns:a16="http://schemas.microsoft.com/office/drawing/2014/main" id="{00000000-0008-0000-0400-000018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127</xdr:row>
          <xdr:rowOff>0</xdr:rowOff>
        </xdr:from>
        <xdr:to>
          <xdr:col>5</xdr:col>
          <xdr:colOff>0</xdr:colOff>
          <xdr:row>128</xdr:row>
          <xdr:rowOff>0</xdr:rowOff>
        </xdr:to>
        <xdr:sp macro="" textlink="">
          <xdr:nvSpPr>
            <xdr:cNvPr id="4121" name="A02RatioDD06" hidden="1">
              <a:extLst>
                <a:ext uri="{63B3BB69-23CF-44E3-9099-C40C66FF867C}">
                  <a14:compatExt spid="_x0000_s4121"/>
                </a:ext>
                <a:ext uri="{FF2B5EF4-FFF2-40B4-BE49-F238E27FC236}">
                  <a16:creationId xmlns:a16="http://schemas.microsoft.com/office/drawing/2014/main" id="{00000000-0008-0000-0400-000019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166</xdr:row>
          <xdr:rowOff>0</xdr:rowOff>
        </xdr:from>
        <xdr:to>
          <xdr:col>5</xdr:col>
          <xdr:colOff>0</xdr:colOff>
          <xdr:row>167</xdr:row>
          <xdr:rowOff>0</xdr:rowOff>
        </xdr:to>
        <xdr:sp macro="" textlink="">
          <xdr:nvSpPr>
            <xdr:cNvPr id="4122" name="A03RatioDD01" hidden="1">
              <a:extLst>
                <a:ext uri="{63B3BB69-23CF-44E3-9099-C40C66FF867C}">
                  <a14:compatExt spid="_x0000_s4122"/>
                </a:ext>
                <a:ext uri="{FF2B5EF4-FFF2-40B4-BE49-F238E27FC236}">
                  <a16:creationId xmlns:a16="http://schemas.microsoft.com/office/drawing/2014/main" id="{00000000-0008-0000-0400-00001A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167</xdr:row>
          <xdr:rowOff>0</xdr:rowOff>
        </xdr:from>
        <xdr:to>
          <xdr:col>5</xdr:col>
          <xdr:colOff>0</xdr:colOff>
          <xdr:row>168</xdr:row>
          <xdr:rowOff>0</xdr:rowOff>
        </xdr:to>
        <xdr:sp macro="" textlink="">
          <xdr:nvSpPr>
            <xdr:cNvPr id="4123" name="A03RatioDD02" hidden="1">
              <a:extLst>
                <a:ext uri="{63B3BB69-23CF-44E3-9099-C40C66FF867C}">
                  <a14:compatExt spid="_x0000_s4123"/>
                </a:ext>
                <a:ext uri="{FF2B5EF4-FFF2-40B4-BE49-F238E27FC236}">
                  <a16:creationId xmlns:a16="http://schemas.microsoft.com/office/drawing/2014/main" id="{00000000-0008-0000-0400-00001B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168</xdr:row>
          <xdr:rowOff>0</xdr:rowOff>
        </xdr:from>
        <xdr:to>
          <xdr:col>5</xdr:col>
          <xdr:colOff>0</xdr:colOff>
          <xdr:row>169</xdr:row>
          <xdr:rowOff>0</xdr:rowOff>
        </xdr:to>
        <xdr:sp macro="" textlink="">
          <xdr:nvSpPr>
            <xdr:cNvPr id="4124" name="A03RatioDD03" hidden="1">
              <a:extLst>
                <a:ext uri="{63B3BB69-23CF-44E3-9099-C40C66FF867C}">
                  <a14:compatExt spid="_x0000_s4124"/>
                </a:ext>
                <a:ext uri="{FF2B5EF4-FFF2-40B4-BE49-F238E27FC236}">
                  <a16:creationId xmlns:a16="http://schemas.microsoft.com/office/drawing/2014/main" id="{00000000-0008-0000-0400-00001C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169</xdr:row>
          <xdr:rowOff>0</xdr:rowOff>
        </xdr:from>
        <xdr:to>
          <xdr:col>5</xdr:col>
          <xdr:colOff>0</xdr:colOff>
          <xdr:row>170</xdr:row>
          <xdr:rowOff>0</xdr:rowOff>
        </xdr:to>
        <xdr:sp macro="" textlink="">
          <xdr:nvSpPr>
            <xdr:cNvPr id="4125" name="A03RatioDD04" hidden="1">
              <a:extLst>
                <a:ext uri="{63B3BB69-23CF-44E3-9099-C40C66FF867C}">
                  <a14:compatExt spid="_x0000_s4125"/>
                </a:ext>
                <a:ext uri="{FF2B5EF4-FFF2-40B4-BE49-F238E27FC236}">
                  <a16:creationId xmlns:a16="http://schemas.microsoft.com/office/drawing/2014/main" id="{00000000-0008-0000-0400-00001D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170</xdr:row>
          <xdr:rowOff>0</xdr:rowOff>
        </xdr:from>
        <xdr:to>
          <xdr:col>5</xdr:col>
          <xdr:colOff>0</xdr:colOff>
          <xdr:row>171</xdr:row>
          <xdr:rowOff>0</xdr:rowOff>
        </xdr:to>
        <xdr:sp macro="" textlink="">
          <xdr:nvSpPr>
            <xdr:cNvPr id="4126" name="A03RatioDD05" hidden="1">
              <a:extLst>
                <a:ext uri="{63B3BB69-23CF-44E3-9099-C40C66FF867C}">
                  <a14:compatExt spid="_x0000_s4126"/>
                </a:ext>
                <a:ext uri="{FF2B5EF4-FFF2-40B4-BE49-F238E27FC236}">
                  <a16:creationId xmlns:a16="http://schemas.microsoft.com/office/drawing/2014/main" id="{00000000-0008-0000-0400-00001E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171</xdr:row>
          <xdr:rowOff>0</xdr:rowOff>
        </xdr:from>
        <xdr:to>
          <xdr:col>5</xdr:col>
          <xdr:colOff>0</xdr:colOff>
          <xdr:row>172</xdr:row>
          <xdr:rowOff>0</xdr:rowOff>
        </xdr:to>
        <xdr:sp macro="" textlink="">
          <xdr:nvSpPr>
            <xdr:cNvPr id="4127" name="A03RatioDD06" hidden="1">
              <a:extLst>
                <a:ext uri="{63B3BB69-23CF-44E3-9099-C40C66FF867C}">
                  <a14:compatExt spid="_x0000_s4127"/>
                </a:ext>
                <a:ext uri="{FF2B5EF4-FFF2-40B4-BE49-F238E27FC236}">
                  <a16:creationId xmlns:a16="http://schemas.microsoft.com/office/drawing/2014/main" id="{00000000-0008-0000-0400-00001F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210</xdr:row>
          <xdr:rowOff>0</xdr:rowOff>
        </xdr:from>
        <xdr:to>
          <xdr:col>5</xdr:col>
          <xdr:colOff>0</xdr:colOff>
          <xdr:row>211</xdr:row>
          <xdr:rowOff>0</xdr:rowOff>
        </xdr:to>
        <xdr:sp macro="" textlink="">
          <xdr:nvSpPr>
            <xdr:cNvPr id="4128" name="A04RatioDD01" hidden="1">
              <a:extLst>
                <a:ext uri="{63B3BB69-23CF-44E3-9099-C40C66FF867C}">
                  <a14:compatExt spid="_x0000_s4128"/>
                </a:ext>
                <a:ext uri="{FF2B5EF4-FFF2-40B4-BE49-F238E27FC236}">
                  <a16:creationId xmlns:a16="http://schemas.microsoft.com/office/drawing/2014/main" id="{00000000-0008-0000-0400-000020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211</xdr:row>
          <xdr:rowOff>0</xdr:rowOff>
        </xdr:from>
        <xdr:to>
          <xdr:col>5</xdr:col>
          <xdr:colOff>0</xdr:colOff>
          <xdr:row>212</xdr:row>
          <xdr:rowOff>0</xdr:rowOff>
        </xdr:to>
        <xdr:sp macro="" textlink="">
          <xdr:nvSpPr>
            <xdr:cNvPr id="4129" name="A04RatioDD02" hidden="1">
              <a:extLst>
                <a:ext uri="{63B3BB69-23CF-44E3-9099-C40C66FF867C}">
                  <a14:compatExt spid="_x0000_s4129"/>
                </a:ext>
                <a:ext uri="{FF2B5EF4-FFF2-40B4-BE49-F238E27FC236}">
                  <a16:creationId xmlns:a16="http://schemas.microsoft.com/office/drawing/2014/main" id="{00000000-0008-0000-0400-000021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212</xdr:row>
          <xdr:rowOff>0</xdr:rowOff>
        </xdr:from>
        <xdr:to>
          <xdr:col>5</xdr:col>
          <xdr:colOff>0</xdr:colOff>
          <xdr:row>213</xdr:row>
          <xdr:rowOff>0</xdr:rowOff>
        </xdr:to>
        <xdr:sp macro="" textlink="">
          <xdr:nvSpPr>
            <xdr:cNvPr id="4130" name="A04RatioDD03" hidden="1">
              <a:extLst>
                <a:ext uri="{63B3BB69-23CF-44E3-9099-C40C66FF867C}">
                  <a14:compatExt spid="_x0000_s4130"/>
                </a:ext>
                <a:ext uri="{FF2B5EF4-FFF2-40B4-BE49-F238E27FC236}">
                  <a16:creationId xmlns:a16="http://schemas.microsoft.com/office/drawing/2014/main" id="{00000000-0008-0000-0400-000022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213</xdr:row>
          <xdr:rowOff>0</xdr:rowOff>
        </xdr:from>
        <xdr:to>
          <xdr:col>5</xdr:col>
          <xdr:colOff>0</xdr:colOff>
          <xdr:row>214</xdr:row>
          <xdr:rowOff>0</xdr:rowOff>
        </xdr:to>
        <xdr:sp macro="" textlink="">
          <xdr:nvSpPr>
            <xdr:cNvPr id="4131" name="A04RatioDD04" hidden="1">
              <a:extLst>
                <a:ext uri="{63B3BB69-23CF-44E3-9099-C40C66FF867C}">
                  <a14:compatExt spid="_x0000_s4131"/>
                </a:ext>
                <a:ext uri="{FF2B5EF4-FFF2-40B4-BE49-F238E27FC236}">
                  <a16:creationId xmlns:a16="http://schemas.microsoft.com/office/drawing/2014/main" id="{00000000-0008-0000-0400-000023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214</xdr:row>
          <xdr:rowOff>0</xdr:rowOff>
        </xdr:from>
        <xdr:to>
          <xdr:col>5</xdr:col>
          <xdr:colOff>0</xdr:colOff>
          <xdr:row>215</xdr:row>
          <xdr:rowOff>0</xdr:rowOff>
        </xdr:to>
        <xdr:sp macro="" textlink="">
          <xdr:nvSpPr>
            <xdr:cNvPr id="4132" name="A04RatioDD05" hidden="1">
              <a:extLst>
                <a:ext uri="{63B3BB69-23CF-44E3-9099-C40C66FF867C}">
                  <a14:compatExt spid="_x0000_s4132"/>
                </a:ext>
                <a:ext uri="{FF2B5EF4-FFF2-40B4-BE49-F238E27FC236}">
                  <a16:creationId xmlns:a16="http://schemas.microsoft.com/office/drawing/2014/main" id="{00000000-0008-0000-0400-000024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215</xdr:row>
          <xdr:rowOff>0</xdr:rowOff>
        </xdr:from>
        <xdr:to>
          <xdr:col>5</xdr:col>
          <xdr:colOff>0</xdr:colOff>
          <xdr:row>216</xdr:row>
          <xdr:rowOff>0</xdr:rowOff>
        </xdr:to>
        <xdr:sp macro="" textlink="">
          <xdr:nvSpPr>
            <xdr:cNvPr id="4133" name="A04RatioDD06" hidden="1">
              <a:extLst>
                <a:ext uri="{63B3BB69-23CF-44E3-9099-C40C66FF867C}">
                  <a14:compatExt spid="_x0000_s4133"/>
                </a:ext>
                <a:ext uri="{FF2B5EF4-FFF2-40B4-BE49-F238E27FC236}">
                  <a16:creationId xmlns:a16="http://schemas.microsoft.com/office/drawing/2014/main" id="{00000000-0008-0000-0400-000025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256</xdr:row>
          <xdr:rowOff>0</xdr:rowOff>
        </xdr:from>
        <xdr:to>
          <xdr:col>5</xdr:col>
          <xdr:colOff>0</xdr:colOff>
          <xdr:row>257</xdr:row>
          <xdr:rowOff>0</xdr:rowOff>
        </xdr:to>
        <xdr:sp macro="" textlink="">
          <xdr:nvSpPr>
            <xdr:cNvPr id="4134" name="A05RatioDD01" hidden="1">
              <a:extLst>
                <a:ext uri="{63B3BB69-23CF-44E3-9099-C40C66FF867C}">
                  <a14:compatExt spid="_x0000_s4134"/>
                </a:ext>
                <a:ext uri="{FF2B5EF4-FFF2-40B4-BE49-F238E27FC236}">
                  <a16:creationId xmlns:a16="http://schemas.microsoft.com/office/drawing/2014/main" id="{00000000-0008-0000-0400-000026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257</xdr:row>
          <xdr:rowOff>0</xdr:rowOff>
        </xdr:from>
        <xdr:to>
          <xdr:col>5</xdr:col>
          <xdr:colOff>0</xdr:colOff>
          <xdr:row>258</xdr:row>
          <xdr:rowOff>0</xdr:rowOff>
        </xdr:to>
        <xdr:sp macro="" textlink="">
          <xdr:nvSpPr>
            <xdr:cNvPr id="4135" name="A05RatioDD02" hidden="1">
              <a:extLst>
                <a:ext uri="{63B3BB69-23CF-44E3-9099-C40C66FF867C}">
                  <a14:compatExt spid="_x0000_s4135"/>
                </a:ext>
                <a:ext uri="{FF2B5EF4-FFF2-40B4-BE49-F238E27FC236}">
                  <a16:creationId xmlns:a16="http://schemas.microsoft.com/office/drawing/2014/main" id="{00000000-0008-0000-0400-000027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258</xdr:row>
          <xdr:rowOff>0</xdr:rowOff>
        </xdr:from>
        <xdr:to>
          <xdr:col>5</xdr:col>
          <xdr:colOff>0</xdr:colOff>
          <xdr:row>259</xdr:row>
          <xdr:rowOff>0</xdr:rowOff>
        </xdr:to>
        <xdr:sp macro="" textlink="">
          <xdr:nvSpPr>
            <xdr:cNvPr id="4136" name="A05RatioDD03" hidden="1">
              <a:extLst>
                <a:ext uri="{63B3BB69-23CF-44E3-9099-C40C66FF867C}">
                  <a14:compatExt spid="_x0000_s4136"/>
                </a:ext>
                <a:ext uri="{FF2B5EF4-FFF2-40B4-BE49-F238E27FC236}">
                  <a16:creationId xmlns:a16="http://schemas.microsoft.com/office/drawing/2014/main" id="{00000000-0008-0000-0400-000028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259</xdr:row>
          <xdr:rowOff>0</xdr:rowOff>
        </xdr:from>
        <xdr:to>
          <xdr:col>5</xdr:col>
          <xdr:colOff>0</xdr:colOff>
          <xdr:row>260</xdr:row>
          <xdr:rowOff>0</xdr:rowOff>
        </xdr:to>
        <xdr:sp macro="" textlink="">
          <xdr:nvSpPr>
            <xdr:cNvPr id="4137" name="A05RatioDD04" hidden="1">
              <a:extLst>
                <a:ext uri="{63B3BB69-23CF-44E3-9099-C40C66FF867C}">
                  <a14:compatExt spid="_x0000_s4137"/>
                </a:ext>
                <a:ext uri="{FF2B5EF4-FFF2-40B4-BE49-F238E27FC236}">
                  <a16:creationId xmlns:a16="http://schemas.microsoft.com/office/drawing/2014/main" id="{00000000-0008-0000-0400-000029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260</xdr:row>
          <xdr:rowOff>0</xdr:rowOff>
        </xdr:from>
        <xdr:to>
          <xdr:col>5</xdr:col>
          <xdr:colOff>0</xdr:colOff>
          <xdr:row>261</xdr:row>
          <xdr:rowOff>0</xdr:rowOff>
        </xdr:to>
        <xdr:sp macro="" textlink="">
          <xdr:nvSpPr>
            <xdr:cNvPr id="4138" name="A05RatioDD05" hidden="1">
              <a:extLst>
                <a:ext uri="{63B3BB69-23CF-44E3-9099-C40C66FF867C}">
                  <a14:compatExt spid="_x0000_s4138"/>
                </a:ext>
                <a:ext uri="{FF2B5EF4-FFF2-40B4-BE49-F238E27FC236}">
                  <a16:creationId xmlns:a16="http://schemas.microsoft.com/office/drawing/2014/main" id="{00000000-0008-0000-0400-00002A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261</xdr:row>
          <xdr:rowOff>0</xdr:rowOff>
        </xdr:from>
        <xdr:to>
          <xdr:col>5</xdr:col>
          <xdr:colOff>0</xdr:colOff>
          <xdr:row>262</xdr:row>
          <xdr:rowOff>0</xdr:rowOff>
        </xdr:to>
        <xdr:sp macro="" textlink="">
          <xdr:nvSpPr>
            <xdr:cNvPr id="4139" name="A05RatioDD06" hidden="1">
              <a:extLst>
                <a:ext uri="{63B3BB69-23CF-44E3-9099-C40C66FF867C}">
                  <a14:compatExt spid="_x0000_s4139"/>
                </a:ext>
                <a:ext uri="{FF2B5EF4-FFF2-40B4-BE49-F238E27FC236}">
                  <a16:creationId xmlns:a16="http://schemas.microsoft.com/office/drawing/2014/main" id="{00000000-0008-0000-0400-00002B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1085850</xdr:colOff>
          <xdr:row>32</xdr:row>
          <xdr:rowOff>0</xdr:rowOff>
        </xdr:from>
        <xdr:to>
          <xdr:col>5</xdr:col>
          <xdr:colOff>0</xdr:colOff>
          <xdr:row>33</xdr:row>
          <xdr:rowOff>0</xdr:rowOff>
        </xdr:to>
        <xdr:sp macro="" textlink="">
          <xdr:nvSpPr>
            <xdr:cNvPr id="4140" name="AFinYearDD06" hidden="1">
              <a:extLst>
                <a:ext uri="{63B3BB69-23CF-44E3-9099-C40C66FF867C}">
                  <a14:compatExt spid="_x0000_s4140"/>
                </a:ext>
                <a:ext uri="{FF2B5EF4-FFF2-40B4-BE49-F238E27FC236}">
                  <a16:creationId xmlns:a16="http://schemas.microsoft.com/office/drawing/2014/main" id="{00000000-0008-0000-0400-00002C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33</xdr:row>
          <xdr:rowOff>0</xdr:rowOff>
        </xdr:from>
        <xdr:to>
          <xdr:col>5</xdr:col>
          <xdr:colOff>0</xdr:colOff>
          <xdr:row>34</xdr:row>
          <xdr:rowOff>0</xdr:rowOff>
        </xdr:to>
        <xdr:sp macro="" textlink="">
          <xdr:nvSpPr>
            <xdr:cNvPr id="4141" name="A06RatioDD01" hidden="1">
              <a:extLst>
                <a:ext uri="{63B3BB69-23CF-44E3-9099-C40C66FF867C}">
                  <a14:compatExt spid="_x0000_s4141"/>
                </a:ext>
                <a:ext uri="{FF2B5EF4-FFF2-40B4-BE49-F238E27FC236}">
                  <a16:creationId xmlns:a16="http://schemas.microsoft.com/office/drawing/2014/main" id="{00000000-0008-0000-0400-00002D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34</xdr:row>
          <xdr:rowOff>0</xdr:rowOff>
        </xdr:from>
        <xdr:to>
          <xdr:col>5</xdr:col>
          <xdr:colOff>0</xdr:colOff>
          <xdr:row>35</xdr:row>
          <xdr:rowOff>0</xdr:rowOff>
        </xdr:to>
        <xdr:sp macro="" textlink="">
          <xdr:nvSpPr>
            <xdr:cNvPr id="4142" name="A06RatioDD02" hidden="1">
              <a:extLst>
                <a:ext uri="{63B3BB69-23CF-44E3-9099-C40C66FF867C}">
                  <a14:compatExt spid="_x0000_s4142"/>
                </a:ext>
                <a:ext uri="{FF2B5EF4-FFF2-40B4-BE49-F238E27FC236}">
                  <a16:creationId xmlns:a16="http://schemas.microsoft.com/office/drawing/2014/main" id="{00000000-0008-0000-0400-00002E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35</xdr:row>
          <xdr:rowOff>0</xdr:rowOff>
        </xdr:from>
        <xdr:to>
          <xdr:col>5</xdr:col>
          <xdr:colOff>0</xdr:colOff>
          <xdr:row>36</xdr:row>
          <xdr:rowOff>0</xdr:rowOff>
        </xdr:to>
        <xdr:sp macro="" textlink="">
          <xdr:nvSpPr>
            <xdr:cNvPr id="4143" name="A06RatioDD03" hidden="1">
              <a:extLst>
                <a:ext uri="{63B3BB69-23CF-44E3-9099-C40C66FF867C}">
                  <a14:compatExt spid="_x0000_s4143"/>
                </a:ext>
                <a:ext uri="{FF2B5EF4-FFF2-40B4-BE49-F238E27FC236}">
                  <a16:creationId xmlns:a16="http://schemas.microsoft.com/office/drawing/2014/main" id="{00000000-0008-0000-0400-00002F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36</xdr:row>
          <xdr:rowOff>0</xdr:rowOff>
        </xdr:from>
        <xdr:to>
          <xdr:col>5</xdr:col>
          <xdr:colOff>0</xdr:colOff>
          <xdr:row>37</xdr:row>
          <xdr:rowOff>0</xdr:rowOff>
        </xdr:to>
        <xdr:sp macro="" textlink="">
          <xdr:nvSpPr>
            <xdr:cNvPr id="4144" name="A06RatioDD04" hidden="1">
              <a:extLst>
                <a:ext uri="{63B3BB69-23CF-44E3-9099-C40C66FF867C}">
                  <a14:compatExt spid="_x0000_s4144"/>
                </a:ext>
                <a:ext uri="{FF2B5EF4-FFF2-40B4-BE49-F238E27FC236}">
                  <a16:creationId xmlns:a16="http://schemas.microsoft.com/office/drawing/2014/main" id="{00000000-0008-0000-0400-000030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37</xdr:row>
          <xdr:rowOff>0</xdr:rowOff>
        </xdr:from>
        <xdr:to>
          <xdr:col>5</xdr:col>
          <xdr:colOff>0</xdr:colOff>
          <xdr:row>38</xdr:row>
          <xdr:rowOff>0</xdr:rowOff>
        </xdr:to>
        <xdr:sp macro="" textlink="">
          <xdr:nvSpPr>
            <xdr:cNvPr id="4145" name="A06RatioDD05" hidden="1">
              <a:extLst>
                <a:ext uri="{63B3BB69-23CF-44E3-9099-C40C66FF867C}">
                  <a14:compatExt spid="_x0000_s4145"/>
                </a:ext>
                <a:ext uri="{FF2B5EF4-FFF2-40B4-BE49-F238E27FC236}">
                  <a16:creationId xmlns:a16="http://schemas.microsoft.com/office/drawing/2014/main" id="{00000000-0008-0000-0400-000031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38</xdr:row>
          <xdr:rowOff>0</xdr:rowOff>
        </xdr:from>
        <xdr:to>
          <xdr:col>5</xdr:col>
          <xdr:colOff>0</xdr:colOff>
          <xdr:row>39</xdr:row>
          <xdr:rowOff>0</xdr:rowOff>
        </xdr:to>
        <xdr:sp macro="" textlink="">
          <xdr:nvSpPr>
            <xdr:cNvPr id="4146" name="A06RatioDD06" hidden="1">
              <a:extLst>
                <a:ext uri="{63B3BB69-23CF-44E3-9099-C40C66FF867C}">
                  <a14:compatExt spid="_x0000_s4146"/>
                </a:ext>
                <a:ext uri="{FF2B5EF4-FFF2-40B4-BE49-F238E27FC236}">
                  <a16:creationId xmlns:a16="http://schemas.microsoft.com/office/drawing/2014/main" id="{00000000-0008-0000-0400-000032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268</xdr:row>
          <xdr:rowOff>0</xdr:rowOff>
        </xdr:from>
        <xdr:to>
          <xdr:col>10</xdr:col>
          <xdr:colOff>0</xdr:colOff>
          <xdr:row>269</xdr:row>
          <xdr:rowOff>0</xdr:rowOff>
        </xdr:to>
        <xdr:sp macro="" textlink="">
          <xdr:nvSpPr>
            <xdr:cNvPr id="4157" name="VariableDD2" hidden="1">
              <a:extLst>
                <a:ext uri="{63B3BB69-23CF-44E3-9099-C40C66FF867C}">
                  <a14:compatExt spid="_x0000_s4157"/>
                </a:ext>
                <a:ext uri="{FF2B5EF4-FFF2-40B4-BE49-F238E27FC236}">
                  <a16:creationId xmlns:a16="http://schemas.microsoft.com/office/drawing/2014/main" id="{00000000-0008-0000-0400-00003D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1073150</xdr:colOff>
          <xdr:row>270</xdr:row>
          <xdr:rowOff>0</xdr:rowOff>
        </xdr:from>
        <xdr:to>
          <xdr:col>5</xdr:col>
          <xdr:colOff>0</xdr:colOff>
          <xdr:row>271</xdr:row>
          <xdr:rowOff>0</xdr:rowOff>
        </xdr:to>
        <xdr:sp macro="" textlink="">
          <xdr:nvSpPr>
            <xdr:cNvPr id="4158" name="ValuePeriodDD2" hidden="1">
              <a:extLst>
                <a:ext uri="{63B3BB69-23CF-44E3-9099-C40C66FF867C}">
                  <a14:compatExt spid="_x0000_s4158"/>
                </a:ext>
                <a:ext uri="{FF2B5EF4-FFF2-40B4-BE49-F238E27FC236}">
                  <a16:creationId xmlns:a16="http://schemas.microsoft.com/office/drawing/2014/main" id="{00000000-0008-0000-0400-00003E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1085850</xdr:colOff>
          <xdr:row>301</xdr:row>
          <xdr:rowOff>0</xdr:rowOff>
        </xdr:from>
        <xdr:to>
          <xdr:col>5</xdr:col>
          <xdr:colOff>0</xdr:colOff>
          <xdr:row>302</xdr:row>
          <xdr:rowOff>0</xdr:rowOff>
        </xdr:to>
        <xdr:sp macro="" textlink="">
          <xdr:nvSpPr>
            <xdr:cNvPr id="4159" name="AFinYearDD07" hidden="1">
              <a:extLst>
                <a:ext uri="{63B3BB69-23CF-44E3-9099-C40C66FF867C}">
                  <a14:compatExt spid="_x0000_s4159"/>
                </a:ext>
                <a:ext uri="{FF2B5EF4-FFF2-40B4-BE49-F238E27FC236}">
                  <a16:creationId xmlns:a16="http://schemas.microsoft.com/office/drawing/2014/main" id="{00000000-0008-0000-0400-00003F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271</xdr:row>
          <xdr:rowOff>0</xdr:rowOff>
        </xdr:from>
        <xdr:to>
          <xdr:col>5</xdr:col>
          <xdr:colOff>0</xdr:colOff>
          <xdr:row>272</xdr:row>
          <xdr:rowOff>0</xdr:rowOff>
        </xdr:to>
        <xdr:sp macro="" textlink="">
          <xdr:nvSpPr>
            <xdr:cNvPr id="4160" name="AFactorDD7" hidden="1">
              <a:extLst>
                <a:ext uri="{63B3BB69-23CF-44E3-9099-C40C66FF867C}">
                  <a14:compatExt spid="_x0000_s4160"/>
                </a:ext>
                <a:ext uri="{FF2B5EF4-FFF2-40B4-BE49-F238E27FC236}">
                  <a16:creationId xmlns:a16="http://schemas.microsoft.com/office/drawing/2014/main" id="{00000000-0008-0000-0400-000040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302</xdr:row>
          <xdr:rowOff>0</xdr:rowOff>
        </xdr:from>
        <xdr:to>
          <xdr:col>5</xdr:col>
          <xdr:colOff>0</xdr:colOff>
          <xdr:row>303</xdr:row>
          <xdr:rowOff>0</xdr:rowOff>
        </xdr:to>
        <xdr:sp macro="" textlink="">
          <xdr:nvSpPr>
            <xdr:cNvPr id="4161" name="A07RatioDD01" hidden="1">
              <a:extLst>
                <a:ext uri="{63B3BB69-23CF-44E3-9099-C40C66FF867C}">
                  <a14:compatExt spid="_x0000_s4161"/>
                </a:ext>
                <a:ext uri="{FF2B5EF4-FFF2-40B4-BE49-F238E27FC236}">
                  <a16:creationId xmlns:a16="http://schemas.microsoft.com/office/drawing/2014/main" id="{00000000-0008-0000-0400-000041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303</xdr:row>
          <xdr:rowOff>0</xdr:rowOff>
        </xdr:from>
        <xdr:to>
          <xdr:col>5</xdr:col>
          <xdr:colOff>0</xdr:colOff>
          <xdr:row>304</xdr:row>
          <xdr:rowOff>0</xdr:rowOff>
        </xdr:to>
        <xdr:sp macro="" textlink="">
          <xdr:nvSpPr>
            <xdr:cNvPr id="4162" name="A07RatioDD02" hidden="1">
              <a:extLst>
                <a:ext uri="{63B3BB69-23CF-44E3-9099-C40C66FF867C}">
                  <a14:compatExt spid="_x0000_s4162"/>
                </a:ext>
                <a:ext uri="{FF2B5EF4-FFF2-40B4-BE49-F238E27FC236}">
                  <a16:creationId xmlns:a16="http://schemas.microsoft.com/office/drawing/2014/main" id="{00000000-0008-0000-0400-000042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304</xdr:row>
          <xdr:rowOff>0</xdr:rowOff>
        </xdr:from>
        <xdr:to>
          <xdr:col>5</xdr:col>
          <xdr:colOff>0</xdr:colOff>
          <xdr:row>305</xdr:row>
          <xdr:rowOff>0</xdr:rowOff>
        </xdr:to>
        <xdr:sp macro="" textlink="">
          <xdr:nvSpPr>
            <xdr:cNvPr id="4163" name="A07RatioDD03" hidden="1">
              <a:extLst>
                <a:ext uri="{63B3BB69-23CF-44E3-9099-C40C66FF867C}">
                  <a14:compatExt spid="_x0000_s4163"/>
                </a:ext>
                <a:ext uri="{FF2B5EF4-FFF2-40B4-BE49-F238E27FC236}">
                  <a16:creationId xmlns:a16="http://schemas.microsoft.com/office/drawing/2014/main" id="{00000000-0008-0000-0400-000043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305</xdr:row>
          <xdr:rowOff>0</xdr:rowOff>
        </xdr:from>
        <xdr:to>
          <xdr:col>5</xdr:col>
          <xdr:colOff>0</xdr:colOff>
          <xdr:row>306</xdr:row>
          <xdr:rowOff>0</xdr:rowOff>
        </xdr:to>
        <xdr:sp macro="" textlink="">
          <xdr:nvSpPr>
            <xdr:cNvPr id="4164" name="A07RatioDD04" hidden="1">
              <a:extLst>
                <a:ext uri="{63B3BB69-23CF-44E3-9099-C40C66FF867C}">
                  <a14:compatExt spid="_x0000_s4164"/>
                </a:ext>
                <a:ext uri="{FF2B5EF4-FFF2-40B4-BE49-F238E27FC236}">
                  <a16:creationId xmlns:a16="http://schemas.microsoft.com/office/drawing/2014/main" id="{00000000-0008-0000-0400-000044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306</xdr:row>
          <xdr:rowOff>0</xdr:rowOff>
        </xdr:from>
        <xdr:to>
          <xdr:col>5</xdr:col>
          <xdr:colOff>0</xdr:colOff>
          <xdr:row>307</xdr:row>
          <xdr:rowOff>0</xdr:rowOff>
        </xdr:to>
        <xdr:sp macro="" textlink="">
          <xdr:nvSpPr>
            <xdr:cNvPr id="4165" name="A07RatioDD05" hidden="1">
              <a:extLst>
                <a:ext uri="{63B3BB69-23CF-44E3-9099-C40C66FF867C}">
                  <a14:compatExt spid="_x0000_s4165"/>
                </a:ext>
                <a:ext uri="{FF2B5EF4-FFF2-40B4-BE49-F238E27FC236}">
                  <a16:creationId xmlns:a16="http://schemas.microsoft.com/office/drawing/2014/main" id="{00000000-0008-0000-0400-000045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307</xdr:row>
          <xdr:rowOff>0</xdr:rowOff>
        </xdr:from>
        <xdr:to>
          <xdr:col>5</xdr:col>
          <xdr:colOff>0</xdr:colOff>
          <xdr:row>308</xdr:row>
          <xdr:rowOff>0</xdr:rowOff>
        </xdr:to>
        <xdr:sp macro="" textlink="">
          <xdr:nvSpPr>
            <xdr:cNvPr id="4166" name="A07RatioDD06" hidden="1">
              <a:extLst>
                <a:ext uri="{63B3BB69-23CF-44E3-9099-C40C66FF867C}">
                  <a14:compatExt spid="_x0000_s4166"/>
                </a:ext>
                <a:ext uri="{FF2B5EF4-FFF2-40B4-BE49-F238E27FC236}">
                  <a16:creationId xmlns:a16="http://schemas.microsoft.com/office/drawing/2014/main" id="{00000000-0008-0000-0400-000046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314</xdr:row>
          <xdr:rowOff>0</xdr:rowOff>
        </xdr:from>
        <xdr:to>
          <xdr:col>10</xdr:col>
          <xdr:colOff>0</xdr:colOff>
          <xdr:row>315</xdr:row>
          <xdr:rowOff>0</xdr:rowOff>
        </xdr:to>
        <xdr:sp macro="" textlink="">
          <xdr:nvSpPr>
            <xdr:cNvPr id="4167" name="VariableDD3" hidden="1">
              <a:extLst>
                <a:ext uri="{63B3BB69-23CF-44E3-9099-C40C66FF867C}">
                  <a14:compatExt spid="_x0000_s4167"/>
                </a:ext>
                <a:ext uri="{FF2B5EF4-FFF2-40B4-BE49-F238E27FC236}">
                  <a16:creationId xmlns:a16="http://schemas.microsoft.com/office/drawing/2014/main" id="{00000000-0008-0000-0400-000047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1073150</xdr:colOff>
          <xdr:row>316</xdr:row>
          <xdr:rowOff>0</xdr:rowOff>
        </xdr:from>
        <xdr:to>
          <xdr:col>5</xdr:col>
          <xdr:colOff>0</xdr:colOff>
          <xdr:row>317</xdr:row>
          <xdr:rowOff>0</xdr:rowOff>
        </xdr:to>
        <xdr:sp macro="" textlink="">
          <xdr:nvSpPr>
            <xdr:cNvPr id="4168" name="ValuePeriodDD3" hidden="1">
              <a:extLst>
                <a:ext uri="{63B3BB69-23CF-44E3-9099-C40C66FF867C}">
                  <a14:compatExt spid="_x0000_s4168"/>
                </a:ext>
                <a:ext uri="{FF2B5EF4-FFF2-40B4-BE49-F238E27FC236}">
                  <a16:creationId xmlns:a16="http://schemas.microsoft.com/office/drawing/2014/main" id="{00000000-0008-0000-0400-000048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1085850</xdr:colOff>
          <xdr:row>347</xdr:row>
          <xdr:rowOff>0</xdr:rowOff>
        </xdr:from>
        <xdr:to>
          <xdr:col>5</xdr:col>
          <xdr:colOff>0</xdr:colOff>
          <xdr:row>348</xdr:row>
          <xdr:rowOff>0</xdr:rowOff>
        </xdr:to>
        <xdr:sp macro="" textlink="">
          <xdr:nvSpPr>
            <xdr:cNvPr id="4169" name="AFinYearDD08" hidden="1">
              <a:extLst>
                <a:ext uri="{63B3BB69-23CF-44E3-9099-C40C66FF867C}">
                  <a14:compatExt spid="_x0000_s4169"/>
                </a:ext>
                <a:ext uri="{FF2B5EF4-FFF2-40B4-BE49-F238E27FC236}">
                  <a16:creationId xmlns:a16="http://schemas.microsoft.com/office/drawing/2014/main" id="{00000000-0008-0000-0400-000049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317</xdr:row>
          <xdr:rowOff>0</xdr:rowOff>
        </xdr:from>
        <xdr:to>
          <xdr:col>5</xdr:col>
          <xdr:colOff>0</xdr:colOff>
          <xdr:row>318</xdr:row>
          <xdr:rowOff>0</xdr:rowOff>
        </xdr:to>
        <xdr:sp macro="" textlink="">
          <xdr:nvSpPr>
            <xdr:cNvPr id="4170" name="AFactorDD8" hidden="1">
              <a:extLst>
                <a:ext uri="{63B3BB69-23CF-44E3-9099-C40C66FF867C}">
                  <a14:compatExt spid="_x0000_s4170"/>
                </a:ext>
                <a:ext uri="{FF2B5EF4-FFF2-40B4-BE49-F238E27FC236}">
                  <a16:creationId xmlns:a16="http://schemas.microsoft.com/office/drawing/2014/main" id="{00000000-0008-0000-0400-00004A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348</xdr:row>
          <xdr:rowOff>0</xdr:rowOff>
        </xdr:from>
        <xdr:to>
          <xdr:col>5</xdr:col>
          <xdr:colOff>0</xdr:colOff>
          <xdr:row>349</xdr:row>
          <xdr:rowOff>0</xdr:rowOff>
        </xdr:to>
        <xdr:sp macro="" textlink="">
          <xdr:nvSpPr>
            <xdr:cNvPr id="4171" name="A08RatioDD01" hidden="1">
              <a:extLst>
                <a:ext uri="{63B3BB69-23CF-44E3-9099-C40C66FF867C}">
                  <a14:compatExt spid="_x0000_s4171"/>
                </a:ext>
                <a:ext uri="{FF2B5EF4-FFF2-40B4-BE49-F238E27FC236}">
                  <a16:creationId xmlns:a16="http://schemas.microsoft.com/office/drawing/2014/main" id="{00000000-0008-0000-0400-00004B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349</xdr:row>
          <xdr:rowOff>0</xdr:rowOff>
        </xdr:from>
        <xdr:to>
          <xdr:col>5</xdr:col>
          <xdr:colOff>0</xdr:colOff>
          <xdr:row>350</xdr:row>
          <xdr:rowOff>0</xdr:rowOff>
        </xdr:to>
        <xdr:sp macro="" textlink="">
          <xdr:nvSpPr>
            <xdr:cNvPr id="4172" name="A08RatioDD02" hidden="1">
              <a:extLst>
                <a:ext uri="{63B3BB69-23CF-44E3-9099-C40C66FF867C}">
                  <a14:compatExt spid="_x0000_s4172"/>
                </a:ext>
                <a:ext uri="{FF2B5EF4-FFF2-40B4-BE49-F238E27FC236}">
                  <a16:creationId xmlns:a16="http://schemas.microsoft.com/office/drawing/2014/main" id="{00000000-0008-0000-0400-00004C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350</xdr:row>
          <xdr:rowOff>0</xdr:rowOff>
        </xdr:from>
        <xdr:to>
          <xdr:col>5</xdr:col>
          <xdr:colOff>0</xdr:colOff>
          <xdr:row>351</xdr:row>
          <xdr:rowOff>0</xdr:rowOff>
        </xdr:to>
        <xdr:sp macro="" textlink="">
          <xdr:nvSpPr>
            <xdr:cNvPr id="4173" name="A08RatioDD03" hidden="1">
              <a:extLst>
                <a:ext uri="{63B3BB69-23CF-44E3-9099-C40C66FF867C}">
                  <a14:compatExt spid="_x0000_s4173"/>
                </a:ext>
                <a:ext uri="{FF2B5EF4-FFF2-40B4-BE49-F238E27FC236}">
                  <a16:creationId xmlns:a16="http://schemas.microsoft.com/office/drawing/2014/main" id="{00000000-0008-0000-0400-00004D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351</xdr:row>
          <xdr:rowOff>0</xdr:rowOff>
        </xdr:from>
        <xdr:to>
          <xdr:col>5</xdr:col>
          <xdr:colOff>0</xdr:colOff>
          <xdr:row>352</xdr:row>
          <xdr:rowOff>0</xdr:rowOff>
        </xdr:to>
        <xdr:sp macro="" textlink="">
          <xdr:nvSpPr>
            <xdr:cNvPr id="4174" name="A08RatioDD04" hidden="1">
              <a:extLst>
                <a:ext uri="{63B3BB69-23CF-44E3-9099-C40C66FF867C}">
                  <a14:compatExt spid="_x0000_s4174"/>
                </a:ext>
                <a:ext uri="{FF2B5EF4-FFF2-40B4-BE49-F238E27FC236}">
                  <a16:creationId xmlns:a16="http://schemas.microsoft.com/office/drawing/2014/main" id="{00000000-0008-0000-0400-00004E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352</xdr:row>
          <xdr:rowOff>0</xdr:rowOff>
        </xdr:from>
        <xdr:to>
          <xdr:col>5</xdr:col>
          <xdr:colOff>0</xdr:colOff>
          <xdr:row>353</xdr:row>
          <xdr:rowOff>0</xdr:rowOff>
        </xdr:to>
        <xdr:sp macro="" textlink="">
          <xdr:nvSpPr>
            <xdr:cNvPr id="4175" name="A08RatioDD05" hidden="1">
              <a:extLst>
                <a:ext uri="{63B3BB69-23CF-44E3-9099-C40C66FF867C}">
                  <a14:compatExt spid="_x0000_s4175"/>
                </a:ext>
                <a:ext uri="{FF2B5EF4-FFF2-40B4-BE49-F238E27FC236}">
                  <a16:creationId xmlns:a16="http://schemas.microsoft.com/office/drawing/2014/main" id="{00000000-0008-0000-0400-00004F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353</xdr:row>
          <xdr:rowOff>0</xdr:rowOff>
        </xdr:from>
        <xdr:to>
          <xdr:col>5</xdr:col>
          <xdr:colOff>0</xdr:colOff>
          <xdr:row>354</xdr:row>
          <xdr:rowOff>0</xdr:rowOff>
        </xdr:to>
        <xdr:sp macro="" textlink="">
          <xdr:nvSpPr>
            <xdr:cNvPr id="4176" name="A08RatioDD06" hidden="1">
              <a:extLst>
                <a:ext uri="{63B3BB69-23CF-44E3-9099-C40C66FF867C}">
                  <a14:compatExt spid="_x0000_s4176"/>
                </a:ext>
                <a:ext uri="{FF2B5EF4-FFF2-40B4-BE49-F238E27FC236}">
                  <a16:creationId xmlns:a16="http://schemas.microsoft.com/office/drawing/2014/main" id="{00000000-0008-0000-0400-000050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360</xdr:row>
          <xdr:rowOff>0</xdr:rowOff>
        </xdr:from>
        <xdr:to>
          <xdr:col>10</xdr:col>
          <xdr:colOff>0</xdr:colOff>
          <xdr:row>361</xdr:row>
          <xdr:rowOff>0</xdr:rowOff>
        </xdr:to>
        <xdr:sp macro="" textlink="">
          <xdr:nvSpPr>
            <xdr:cNvPr id="4177" name="VariableDD4" hidden="1">
              <a:extLst>
                <a:ext uri="{63B3BB69-23CF-44E3-9099-C40C66FF867C}">
                  <a14:compatExt spid="_x0000_s4177"/>
                </a:ext>
                <a:ext uri="{FF2B5EF4-FFF2-40B4-BE49-F238E27FC236}">
                  <a16:creationId xmlns:a16="http://schemas.microsoft.com/office/drawing/2014/main" id="{00000000-0008-0000-0400-000051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1073150</xdr:colOff>
          <xdr:row>362</xdr:row>
          <xdr:rowOff>0</xdr:rowOff>
        </xdr:from>
        <xdr:to>
          <xdr:col>5</xdr:col>
          <xdr:colOff>0</xdr:colOff>
          <xdr:row>363</xdr:row>
          <xdr:rowOff>0</xdr:rowOff>
        </xdr:to>
        <xdr:sp macro="" textlink="">
          <xdr:nvSpPr>
            <xdr:cNvPr id="4178" name="ValuePeriodDD4" hidden="1">
              <a:extLst>
                <a:ext uri="{63B3BB69-23CF-44E3-9099-C40C66FF867C}">
                  <a14:compatExt spid="_x0000_s4178"/>
                </a:ext>
                <a:ext uri="{FF2B5EF4-FFF2-40B4-BE49-F238E27FC236}">
                  <a16:creationId xmlns:a16="http://schemas.microsoft.com/office/drawing/2014/main" id="{00000000-0008-0000-0400-000052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1085850</xdr:colOff>
          <xdr:row>393</xdr:row>
          <xdr:rowOff>0</xdr:rowOff>
        </xdr:from>
        <xdr:to>
          <xdr:col>5</xdr:col>
          <xdr:colOff>0</xdr:colOff>
          <xdr:row>394</xdr:row>
          <xdr:rowOff>0</xdr:rowOff>
        </xdr:to>
        <xdr:sp macro="" textlink="">
          <xdr:nvSpPr>
            <xdr:cNvPr id="4179" name="AFinYearDD09" hidden="1">
              <a:extLst>
                <a:ext uri="{63B3BB69-23CF-44E3-9099-C40C66FF867C}">
                  <a14:compatExt spid="_x0000_s4179"/>
                </a:ext>
                <a:ext uri="{FF2B5EF4-FFF2-40B4-BE49-F238E27FC236}">
                  <a16:creationId xmlns:a16="http://schemas.microsoft.com/office/drawing/2014/main" id="{00000000-0008-0000-0400-000053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363</xdr:row>
          <xdr:rowOff>0</xdr:rowOff>
        </xdr:from>
        <xdr:to>
          <xdr:col>5</xdr:col>
          <xdr:colOff>0</xdr:colOff>
          <xdr:row>364</xdr:row>
          <xdr:rowOff>0</xdr:rowOff>
        </xdr:to>
        <xdr:sp macro="" textlink="">
          <xdr:nvSpPr>
            <xdr:cNvPr id="4180" name="AFactorDD9" hidden="1">
              <a:extLst>
                <a:ext uri="{63B3BB69-23CF-44E3-9099-C40C66FF867C}">
                  <a14:compatExt spid="_x0000_s4180"/>
                </a:ext>
                <a:ext uri="{FF2B5EF4-FFF2-40B4-BE49-F238E27FC236}">
                  <a16:creationId xmlns:a16="http://schemas.microsoft.com/office/drawing/2014/main" id="{00000000-0008-0000-0400-000054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394</xdr:row>
          <xdr:rowOff>0</xdr:rowOff>
        </xdr:from>
        <xdr:to>
          <xdr:col>5</xdr:col>
          <xdr:colOff>0</xdr:colOff>
          <xdr:row>395</xdr:row>
          <xdr:rowOff>0</xdr:rowOff>
        </xdr:to>
        <xdr:sp macro="" textlink="">
          <xdr:nvSpPr>
            <xdr:cNvPr id="4181" name="A09RatioDD01" hidden="1">
              <a:extLst>
                <a:ext uri="{63B3BB69-23CF-44E3-9099-C40C66FF867C}">
                  <a14:compatExt spid="_x0000_s4181"/>
                </a:ext>
                <a:ext uri="{FF2B5EF4-FFF2-40B4-BE49-F238E27FC236}">
                  <a16:creationId xmlns:a16="http://schemas.microsoft.com/office/drawing/2014/main" id="{00000000-0008-0000-0400-000055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395</xdr:row>
          <xdr:rowOff>0</xdr:rowOff>
        </xdr:from>
        <xdr:to>
          <xdr:col>5</xdr:col>
          <xdr:colOff>0</xdr:colOff>
          <xdr:row>396</xdr:row>
          <xdr:rowOff>0</xdr:rowOff>
        </xdr:to>
        <xdr:sp macro="" textlink="">
          <xdr:nvSpPr>
            <xdr:cNvPr id="4182" name="A09RatioDD02" hidden="1">
              <a:extLst>
                <a:ext uri="{63B3BB69-23CF-44E3-9099-C40C66FF867C}">
                  <a14:compatExt spid="_x0000_s4182"/>
                </a:ext>
                <a:ext uri="{FF2B5EF4-FFF2-40B4-BE49-F238E27FC236}">
                  <a16:creationId xmlns:a16="http://schemas.microsoft.com/office/drawing/2014/main" id="{00000000-0008-0000-0400-000056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396</xdr:row>
          <xdr:rowOff>0</xdr:rowOff>
        </xdr:from>
        <xdr:to>
          <xdr:col>5</xdr:col>
          <xdr:colOff>0</xdr:colOff>
          <xdr:row>397</xdr:row>
          <xdr:rowOff>0</xdr:rowOff>
        </xdr:to>
        <xdr:sp macro="" textlink="">
          <xdr:nvSpPr>
            <xdr:cNvPr id="4183" name="A09RatioDD03" hidden="1">
              <a:extLst>
                <a:ext uri="{63B3BB69-23CF-44E3-9099-C40C66FF867C}">
                  <a14:compatExt spid="_x0000_s4183"/>
                </a:ext>
                <a:ext uri="{FF2B5EF4-FFF2-40B4-BE49-F238E27FC236}">
                  <a16:creationId xmlns:a16="http://schemas.microsoft.com/office/drawing/2014/main" id="{00000000-0008-0000-0400-000057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397</xdr:row>
          <xdr:rowOff>0</xdr:rowOff>
        </xdr:from>
        <xdr:to>
          <xdr:col>5</xdr:col>
          <xdr:colOff>0</xdr:colOff>
          <xdr:row>398</xdr:row>
          <xdr:rowOff>0</xdr:rowOff>
        </xdr:to>
        <xdr:sp macro="" textlink="">
          <xdr:nvSpPr>
            <xdr:cNvPr id="4184" name="A09RatioDD04" hidden="1">
              <a:extLst>
                <a:ext uri="{63B3BB69-23CF-44E3-9099-C40C66FF867C}">
                  <a14:compatExt spid="_x0000_s4184"/>
                </a:ext>
                <a:ext uri="{FF2B5EF4-FFF2-40B4-BE49-F238E27FC236}">
                  <a16:creationId xmlns:a16="http://schemas.microsoft.com/office/drawing/2014/main" id="{00000000-0008-0000-0400-000058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398</xdr:row>
          <xdr:rowOff>0</xdr:rowOff>
        </xdr:from>
        <xdr:to>
          <xdr:col>5</xdr:col>
          <xdr:colOff>0</xdr:colOff>
          <xdr:row>399</xdr:row>
          <xdr:rowOff>0</xdr:rowOff>
        </xdr:to>
        <xdr:sp macro="" textlink="">
          <xdr:nvSpPr>
            <xdr:cNvPr id="4185" name="A09RatioDD05" hidden="1">
              <a:extLst>
                <a:ext uri="{63B3BB69-23CF-44E3-9099-C40C66FF867C}">
                  <a14:compatExt spid="_x0000_s4185"/>
                </a:ext>
                <a:ext uri="{FF2B5EF4-FFF2-40B4-BE49-F238E27FC236}">
                  <a16:creationId xmlns:a16="http://schemas.microsoft.com/office/drawing/2014/main" id="{00000000-0008-0000-0400-000059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399</xdr:row>
          <xdr:rowOff>0</xdr:rowOff>
        </xdr:from>
        <xdr:to>
          <xdr:col>5</xdr:col>
          <xdr:colOff>0</xdr:colOff>
          <xdr:row>400</xdr:row>
          <xdr:rowOff>0</xdr:rowOff>
        </xdr:to>
        <xdr:sp macro="" textlink="">
          <xdr:nvSpPr>
            <xdr:cNvPr id="4186" name="A09RatioDD06" hidden="1">
              <a:extLst>
                <a:ext uri="{63B3BB69-23CF-44E3-9099-C40C66FF867C}">
                  <a14:compatExt spid="_x0000_s4186"/>
                </a:ext>
                <a:ext uri="{FF2B5EF4-FFF2-40B4-BE49-F238E27FC236}">
                  <a16:creationId xmlns:a16="http://schemas.microsoft.com/office/drawing/2014/main" id="{00000000-0008-0000-0400-00005A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406</xdr:row>
          <xdr:rowOff>0</xdr:rowOff>
        </xdr:from>
        <xdr:to>
          <xdr:col>10</xdr:col>
          <xdr:colOff>0</xdr:colOff>
          <xdr:row>407</xdr:row>
          <xdr:rowOff>0</xdr:rowOff>
        </xdr:to>
        <xdr:sp macro="" textlink="">
          <xdr:nvSpPr>
            <xdr:cNvPr id="4187" name="VariableDD5" hidden="1">
              <a:extLst>
                <a:ext uri="{63B3BB69-23CF-44E3-9099-C40C66FF867C}">
                  <a14:compatExt spid="_x0000_s4187"/>
                </a:ext>
                <a:ext uri="{FF2B5EF4-FFF2-40B4-BE49-F238E27FC236}">
                  <a16:creationId xmlns:a16="http://schemas.microsoft.com/office/drawing/2014/main" id="{00000000-0008-0000-0400-00005B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1073150</xdr:colOff>
          <xdr:row>408</xdr:row>
          <xdr:rowOff>0</xdr:rowOff>
        </xdr:from>
        <xdr:to>
          <xdr:col>5</xdr:col>
          <xdr:colOff>0</xdr:colOff>
          <xdr:row>409</xdr:row>
          <xdr:rowOff>0</xdr:rowOff>
        </xdr:to>
        <xdr:sp macro="" textlink="">
          <xdr:nvSpPr>
            <xdr:cNvPr id="4188" name="ValuePeriodDD5" hidden="1">
              <a:extLst>
                <a:ext uri="{63B3BB69-23CF-44E3-9099-C40C66FF867C}">
                  <a14:compatExt spid="_x0000_s4188"/>
                </a:ext>
                <a:ext uri="{FF2B5EF4-FFF2-40B4-BE49-F238E27FC236}">
                  <a16:creationId xmlns:a16="http://schemas.microsoft.com/office/drawing/2014/main" id="{00000000-0008-0000-0400-00005C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1085850</xdr:colOff>
          <xdr:row>439</xdr:row>
          <xdr:rowOff>0</xdr:rowOff>
        </xdr:from>
        <xdr:to>
          <xdr:col>5</xdr:col>
          <xdr:colOff>0</xdr:colOff>
          <xdr:row>440</xdr:row>
          <xdr:rowOff>0</xdr:rowOff>
        </xdr:to>
        <xdr:sp macro="" textlink="">
          <xdr:nvSpPr>
            <xdr:cNvPr id="4189" name="AFinYearDD10" hidden="1">
              <a:extLst>
                <a:ext uri="{63B3BB69-23CF-44E3-9099-C40C66FF867C}">
                  <a14:compatExt spid="_x0000_s4189"/>
                </a:ext>
                <a:ext uri="{FF2B5EF4-FFF2-40B4-BE49-F238E27FC236}">
                  <a16:creationId xmlns:a16="http://schemas.microsoft.com/office/drawing/2014/main" id="{00000000-0008-0000-0400-00005D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409</xdr:row>
          <xdr:rowOff>0</xdr:rowOff>
        </xdr:from>
        <xdr:to>
          <xdr:col>5</xdr:col>
          <xdr:colOff>0</xdr:colOff>
          <xdr:row>410</xdr:row>
          <xdr:rowOff>0</xdr:rowOff>
        </xdr:to>
        <xdr:sp macro="" textlink="">
          <xdr:nvSpPr>
            <xdr:cNvPr id="4190" name="AFactorDD10" hidden="1">
              <a:extLst>
                <a:ext uri="{63B3BB69-23CF-44E3-9099-C40C66FF867C}">
                  <a14:compatExt spid="_x0000_s4190"/>
                </a:ext>
                <a:ext uri="{FF2B5EF4-FFF2-40B4-BE49-F238E27FC236}">
                  <a16:creationId xmlns:a16="http://schemas.microsoft.com/office/drawing/2014/main" id="{00000000-0008-0000-0400-00005E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440</xdr:row>
          <xdr:rowOff>0</xdr:rowOff>
        </xdr:from>
        <xdr:to>
          <xdr:col>5</xdr:col>
          <xdr:colOff>0</xdr:colOff>
          <xdr:row>441</xdr:row>
          <xdr:rowOff>0</xdr:rowOff>
        </xdr:to>
        <xdr:sp macro="" textlink="">
          <xdr:nvSpPr>
            <xdr:cNvPr id="4191" name="A10RatioDD01" hidden="1">
              <a:extLst>
                <a:ext uri="{63B3BB69-23CF-44E3-9099-C40C66FF867C}">
                  <a14:compatExt spid="_x0000_s4191"/>
                </a:ext>
                <a:ext uri="{FF2B5EF4-FFF2-40B4-BE49-F238E27FC236}">
                  <a16:creationId xmlns:a16="http://schemas.microsoft.com/office/drawing/2014/main" id="{00000000-0008-0000-0400-00005F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441</xdr:row>
          <xdr:rowOff>0</xdr:rowOff>
        </xdr:from>
        <xdr:to>
          <xdr:col>5</xdr:col>
          <xdr:colOff>0</xdr:colOff>
          <xdr:row>442</xdr:row>
          <xdr:rowOff>0</xdr:rowOff>
        </xdr:to>
        <xdr:sp macro="" textlink="">
          <xdr:nvSpPr>
            <xdr:cNvPr id="4192" name="A10RatioDD02" hidden="1">
              <a:extLst>
                <a:ext uri="{63B3BB69-23CF-44E3-9099-C40C66FF867C}">
                  <a14:compatExt spid="_x0000_s4192"/>
                </a:ext>
                <a:ext uri="{FF2B5EF4-FFF2-40B4-BE49-F238E27FC236}">
                  <a16:creationId xmlns:a16="http://schemas.microsoft.com/office/drawing/2014/main" id="{00000000-0008-0000-0400-000060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442</xdr:row>
          <xdr:rowOff>0</xdr:rowOff>
        </xdr:from>
        <xdr:to>
          <xdr:col>5</xdr:col>
          <xdr:colOff>0</xdr:colOff>
          <xdr:row>443</xdr:row>
          <xdr:rowOff>0</xdr:rowOff>
        </xdr:to>
        <xdr:sp macro="" textlink="">
          <xdr:nvSpPr>
            <xdr:cNvPr id="4193" name="A10RatioDD03" hidden="1">
              <a:extLst>
                <a:ext uri="{63B3BB69-23CF-44E3-9099-C40C66FF867C}">
                  <a14:compatExt spid="_x0000_s4193"/>
                </a:ext>
                <a:ext uri="{FF2B5EF4-FFF2-40B4-BE49-F238E27FC236}">
                  <a16:creationId xmlns:a16="http://schemas.microsoft.com/office/drawing/2014/main" id="{00000000-0008-0000-0400-000061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443</xdr:row>
          <xdr:rowOff>0</xdr:rowOff>
        </xdr:from>
        <xdr:to>
          <xdr:col>5</xdr:col>
          <xdr:colOff>0</xdr:colOff>
          <xdr:row>444</xdr:row>
          <xdr:rowOff>0</xdr:rowOff>
        </xdr:to>
        <xdr:sp macro="" textlink="">
          <xdr:nvSpPr>
            <xdr:cNvPr id="4194" name="A10RatioDD04" hidden="1">
              <a:extLst>
                <a:ext uri="{63B3BB69-23CF-44E3-9099-C40C66FF867C}">
                  <a14:compatExt spid="_x0000_s4194"/>
                </a:ext>
                <a:ext uri="{FF2B5EF4-FFF2-40B4-BE49-F238E27FC236}">
                  <a16:creationId xmlns:a16="http://schemas.microsoft.com/office/drawing/2014/main" id="{00000000-0008-0000-0400-000062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444</xdr:row>
          <xdr:rowOff>0</xdr:rowOff>
        </xdr:from>
        <xdr:to>
          <xdr:col>5</xdr:col>
          <xdr:colOff>0</xdr:colOff>
          <xdr:row>445</xdr:row>
          <xdr:rowOff>0</xdr:rowOff>
        </xdr:to>
        <xdr:sp macro="" textlink="">
          <xdr:nvSpPr>
            <xdr:cNvPr id="4195" name="A10RatioDD05" hidden="1">
              <a:extLst>
                <a:ext uri="{63B3BB69-23CF-44E3-9099-C40C66FF867C}">
                  <a14:compatExt spid="_x0000_s4195"/>
                </a:ext>
                <a:ext uri="{FF2B5EF4-FFF2-40B4-BE49-F238E27FC236}">
                  <a16:creationId xmlns:a16="http://schemas.microsoft.com/office/drawing/2014/main" id="{00000000-0008-0000-0400-000063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445</xdr:row>
          <xdr:rowOff>0</xdr:rowOff>
        </xdr:from>
        <xdr:to>
          <xdr:col>5</xdr:col>
          <xdr:colOff>0</xdr:colOff>
          <xdr:row>446</xdr:row>
          <xdr:rowOff>0</xdr:rowOff>
        </xdr:to>
        <xdr:sp macro="" textlink="">
          <xdr:nvSpPr>
            <xdr:cNvPr id="4196" name="A10RatioDD06" hidden="1">
              <a:extLst>
                <a:ext uri="{63B3BB69-23CF-44E3-9099-C40C66FF867C}">
                  <a14:compatExt spid="_x0000_s4196"/>
                </a:ext>
                <a:ext uri="{FF2B5EF4-FFF2-40B4-BE49-F238E27FC236}">
                  <a16:creationId xmlns:a16="http://schemas.microsoft.com/office/drawing/2014/main" id="{00000000-0008-0000-0400-000064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452</xdr:row>
          <xdr:rowOff>0</xdr:rowOff>
        </xdr:from>
        <xdr:to>
          <xdr:col>10</xdr:col>
          <xdr:colOff>0</xdr:colOff>
          <xdr:row>453</xdr:row>
          <xdr:rowOff>0</xdr:rowOff>
        </xdr:to>
        <xdr:sp macro="" textlink="">
          <xdr:nvSpPr>
            <xdr:cNvPr id="4197" name="VariableDD6" hidden="1">
              <a:extLst>
                <a:ext uri="{63B3BB69-23CF-44E3-9099-C40C66FF867C}">
                  <a14:compatExt spid="_x0000_s4197"/>
                </a:ext>
                <a:ext uri="{FF2B5EF4-FFF2-40B4-BE49-F238E27FC236}">
                  <a16:creationId xmlns:a16="http://schemas.microsoft.com/office/drawing/2014/main" id="{00000000-0008-0000-0400-000065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1073150</xdr:colOff>
          <xdr:row>454</xdr:row>
          <xdr:rowOff>0</xdr:rowOff>
        </xdr:from>
        <xdr:to>
          <xdr:col>5</xdr:col>
          <xdr:colOff>0</xdr:colOff>
          <xdr:row>455</xdr:row>
          <xdr:rowOff>0</xdr:rowOff>
        </xdr:to>
        <xdr:sp macro="" textlink="">
          <xdr:nvSpPr>
            <xdr:cNvPr id="4198" name="ValuePeriodDD6" hidden="1">
              <a:extLst>
                <a:ext uri="{63B3BB69-23CF-44E3-9099-C40C66FF867C}">
                  <a14:compatExt spid="_x0000_s4198"/>
                </a:ext>
                <a:ext uri="{FF2B5EF4-FFF2-40B4-BE49-F238E27FC236}">
                  <a16:creationId xmlns:a16="http://schemas.microsoft.com/office/drawing/2014/main" id="{00000000-0008-0000-0400-000066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1085850</xdr:colOff>
          <xdr:row>485</xdr:row>
          <xdr:rowOff>0</xdr:rowOff>
        </xdr:from>
        <xdr:to>
          <xdr:col>5</xdr:col>
          <xdr:colOff>0</xdr:colOff>
          <xdr:row>486</xdr:row>
          <xdr:rowOff>0</xdr:rowOff>
        </xdr:to>
        <xdr:sp macro="" textlink="">
          <xdr:nvSpPr>
            <xdr:cNvPr id="4199" name="AFinYearDD11" hidden="1">
              <a:extLst>
                <a:ext uri="{63B3BB69-23CF-44E3-9099-C40C66FF867C}">
                  <a14:compatExt spid="_x0000_s4199"/>
                </a:ext>
                <a:ext uri="{FF2B5EF4-FFF2-40B4-BE49-F238E27FC236}">
                  <a16:creationId xmlns:a16="http://schemas.microsoft.com/office/drawing/2014/main" id="{00000000-0008-0000-0400-000067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455</xdr:row>
          <xdr:rowOff>0</xdr:rowOff>
        </xdr:from>
        <xdr:to>
          <xdr:col>5</xdr:col>
          <xdr:colOff>0</xdr:colOff>
          <xdr:row>456</xdr:row>
          <xdr:rowOff>0</xdr:rowOff>
        </xdr:to>
        <xdr:sp macro="" textlink="">
          <xdr:nvSpPr>
            <xdr:cNvPr id="4200" name="AFactorDD11" hidden="1">
              <a:extLst>
                <a:ext uri="{63B3BB69-23CF-44E3-9099-C40C66FF867C}">
                  <a14:compatExt spid="_x0000_s4200"/>
                </a:ext>
                <a:ext uri="{FF2B5EF4-FFF2-40B4-BE49-F238E27FC236}">
                  <a16:creationId xmlns:a16="http://schemas.microsoft.com/office/drawing/2014/main" id="{00000000-0008-0000-0400-000068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486</xdr:row>
          <xdr:rowOff>0</xdr:rowOff>
        </xdr:from>
        <xdr:to>
          <xdr:col>5</xdr:col>
          <xdr:colOff>0</xdr:colOff>
          <xdr:row>487</xdr:row>
          <xdr:rowOff>0</xdr:rowOff>
        </xdr:to>
        <xdr:sp macro="" textlink="">
          <xdr:nvSpPr>
            <xdr:cNvPr id="4201" name="A11RatioDD01" hidden="1">
              <a:extLst>
                <a:ext uri="{63B3BB69-23CF-44E3-9099-C40C66FF867C}">
                  <a14:compatExt spid="_x0000_s4201"/>
                </a:ext>
                <a:ext uri="{FF2B5EF4-FFF2-40B4-BE49-F238E27FC236}">
                  <a16:creationId xmlns:a16="http://schemas.microsoft.com/office/drawing/2014/main" id="{00000000-0008-0000-0400-000069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487</xdr:row>
          <xdr:rowOff>0</xdr:rowOff>
        </xdr:from>
        <xdr:to>
          <xdr:col>5</xdr:col>
          <xdr:colOff>0</xdr:colOff>
          <xdr:row>488</xdr:row>
          <xdr:rowOff>0</xdr:rowOff>
        </xdr:to>
        <xdr:sp macro="" textlink="">
          <xdr:nvSpPr>
            <xdr:cNvPr id="4202" name="A11RatioDD02" hidden="1">
              <a:extLst>
                <a:ext uri="{63B3BB69-23CF-44E3-9099-C40C66FF867C}">
                  <a14:compatExt spid="_x0000_s4202"/>
                </a:ext>
                <a:ext uri="{FF2B5EF4-FFF2-40B4-BE49-F238E27FC236}">
                  <a16:creationId xmlns:a16="http://schemas.microsoft.com/office/drawing/2014/main" id="{00000000-0008-0000-0400-00006A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488</xdr:row>
          <xdr:rowOff>0</xdr:rowOff>
        </xdr:from>
        <xdr:to>
          <xdr:col>5</xdr:col>
          <xdr:colOff>0</xdr:colOff>
          <xdr:row>489</xdr:row>
          <xdr:rowOff>0</xdr:rowOff>
        </xdr:to>
        <xdr:sp macro="" textlink="">
          <xdr:nvSpPr>
            <xdr:cNvPr id="4203" name="A11RatioDD03" hidden="1">
              <a:extLst>
                <a:ext uri="{63B3BB69-23CF-44E3-9099-C40C66FF867C}">
                  <a14:compatExt spid="_x0000_s4203"/>
                </a:ext>
                <a:ext uri="{FF2B5EF4-FFF2-40B4-BE49-F238E27FC236}">
                  <a16:creationId xmlns:a16="http://schemas.microsoft.com/office/drawing/2014/main" id="{00000000-0008-0000-0400-00006B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489</xdr:row>
          <xdr:rowOff>0</xdr:rowOff>
        </xdr:from>
        <xdr:to>
          <xdr:col>5</xdr:col>
          <xdr:colOff>0</xdr:colOff>
          <xdr:row>490</xdr:row>
          <xdr:rowOff>0</xdr:rowOff>
        </xdr:to>
        <xdr:sp macro="" textlink="">
          <xdr:nvSpPr>
            <xdr:cNvPr id="4204" name="A11RatioDD04" hidden="1">
              <a:extLst>
                <a:ext uri="{63B3BB69-23CF-44E3-9099-C40C66FF867C}">
                  <a14:compatExt spid="_x0000_s4204"/>
                </a:ext>
                <a:ext uri="{FF2B5EF4-FFF2-40B4-BE49-F238E27FC236}">
                  <a16:creationId xmlns:a16="http://schemas.microsoft.com/office/drawing/2014/main" id="{00000000-0008-0000-0400-00006C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490</xdr:row>
          <xdr:rowOff>0</xdr:rowOff>
        </xdr:from>
        <xdr:to>
          <xdr:col>5</xdr:col>
          <xdr:colOff>0</xdr:colOff>
          <xdr:row>491</xdr:row>
          <xdr:rowOff>0</xdr:rowOff>
        </xdr:to>
        <xdr:sp macro="" textlink="">
          <xdr:nvSpPr>
            <xdr:cNvPr id="4205" name="A11RatioDD05" hidden="1">
              <a:extLst>
                <a:ext uri="{63B3BB69-23CF-44E3-9099-C40C66FF867C}">
                  <a14:compatExt spid="_x0000_s4205"/>
                </a:ext>
                <a:ext uri="{FF2B5EF4-FFF2-40B4-BE49-F238E27FC236}">
                  <a16:creationId xmlns:a16="http://schemas.microsoft.com/office/drawing/2014/main" id="{00000000-0008-0000-0400-00006D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491</xdr:row>
          <xdr:rowOff>0</xdr:rowOff>
        </xdr:from>
        <xdr:to>
          <xdr:col>5</xdr:col>
          <xdr:colOff>0</xdr:colOff>
          <xdr:row>492</xdr:row>
          <xdr:rowOff>0</xdr:rowOff>
        </xdr:to>
        <xdr:sp macro="" textlink="">
          <xdr:nvSpPr>
            <xdr:cNvPr id="4206" name="A11RatioDD06" hidden="1">
              <a:extLst>
                <a:ext uri="{63B3BB69-23CF-44E3-9099-C40C66FF867C}">
                  <a14:compatExt spid="_x0000_s4206"/>
                </a:ext>
                <a:ext uri="{FF2B5EF4-FFF2-40B4-BE49-F238E27FC236}">
                  <a16:creationId xmlns:a16="http://schemas.microsoft.com/office/drawing/2014/main" id="{00000000-0008-0000-0400-00006E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222</xdr:row>
          <xdr:rowOff>0</xdr:rowOff>
        </xdr:from>
        <xdr:to>
          <xdr:col>12</xdr:col>
          <xdr:colOff>381000</xdr:colOff>
          <xdr:row>223</xdr:row>
          <xdr:rowOff>12700</xdr:rowOff>
        </xdr:to>
        <xdr:sp macro="" textlink="">
          <xdr:nvSpPr>
            <xdr:cNvPr id="4207" name="chkVarRows01" hidden="1">
              <a:extLst>
                <a:ext uri="{63B3BB69-23CF-44E3-9099-C40C66FF867C}">
                  <a14:compatExt spid="_x0000_s4207"/>
                </a:ext>
                <a:ext uri="{FF2B5EF4-FFF2-40B4-BE49-F238E27FC236}">
                  <a16:creationId xmlns:a16="http://schemas.microsoft.com/office/drawing/2014/main" id="{00000000-0008-0000-0400-00006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268</xdr:row>
          <xdr:rowOff>0</xdr:rowOff>
        </xdr:from>
        <xdr:to>
          <xdr:col>12</xdr:col>
          <xdr:colOff>381000</xdr:colOff>
          <xdr:row>269</xdr:row>
          <xdr:rowOff>12700</xdr:rowOff>
        </xdr:to>
        <xdr:sp macro="" textlink="">
          <xdr:nvSpPr>
            <xdr:cNvPr id="4218" name="Check Box 122" hidden="1">
              <a:extLst>
                <a:ext uri="{63B3BB69-23CF-44E3-9099-C40C66FF867C}">
                  <a14:compatExt spid="_x0000_s4218"/>
                </a:ext>
                <a:ext uri="{FF2B5EF4-FFF2-40B4-BE49-F238E27FC236}">
                  <a16:creationId xmlns:a16="http://schemas.microsoft.com/office/drawing/2014/main" id="{00000000-0008-0000-0400-00007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314</xdr:row>
          <xdr:rowOff>0</xdr:rowOff>
        </xdr:from>
        <xdr:to>
          <xdr:col>12</xdr:col>
          <xdr:colOff>381000</xdr:colOff>
          <xdr:row>315</xdr:row>
          <xdr:rowOff>12700</xdr:rowOff>
        </xdr:to>
        <xdr:sp macro="" textlink="">
          <xdr:nvSpPr>
            <xdr:cNvPr id="4219" name="Check Box 123" hidden="1">
              <a:extLst>
                <a:ext uri="{63B3BB69-23CF-44E3-9099-C40C66FF867C}">
                  <a14:compatExt spid="_x0000_s4219"/>
                </a:ext>
                <a:ext uri="{FF2B5EF4-FFF2-40B4-BE49-F238E27FC236}">
                  <a16:creationId xmlns:a16="http://schemas.microsoft.com/office/drawing/2014/main" id="{00000000-0008-0000-0400-00007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360</xdr:row>
          <xdr:rowOff>0</xdr:rowOff>
        </xdr:from>
        <xdr:to>
          <xdr:col>12</xdr:col>
          <xdr:colOff>381000</xdr:colOff>
          <xdr:row>361</xdr:row>
          <xdr:rowOff>12700</xdr:rowOff>
        </xdr:to>
        <xdr:sp macro="" textlink="">
          <xdr:nvSpPr>
            <xdr:cNvPr id="4220" name="Check Box 124" hidden="1">
              <a:extLst>
                <a:ext uri="{63B3BB69-23CF-44E3-9099-C40C66FF867C}">
                  <a14:compatExt spid="_x0000_s4220"/>
                </a:ext>
                <a:ext uri="{FF2B5EF4-FFF2-40B4-BE49-F238E27FC236}">
                  <a16:creationId xmlns:a16="http://schemas.microsoft.com/office/drawing/2014/main" id="{00000000-0008-0000-0400-00007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406</xdr:row>
          <xdr:rowOff>0</xdr:rowOff>
        </xdr:from>
        <xdr:to>
          <xdr:col>12</xdr:col>
          <xdr:colOff>381000</xdr:colOff>
          <xdr:row>407</xdr:row>
          <xdr:rowOff>12700</xdr:rowOff>
        </xdr:to>
        <xdr:sp macro="" textlink="">
          <xdr:nvSpPr>
            <xdr:cNvPr id="4221" name="Check Box 125" hidden="1">
              <a:extLst>
                <a:ext uri="{63B3BB69-23CF-44E3-9099-C40C66FF867C}">
                  <a14:compatExt spid="_x0000_s4221"/>
                </a:ext>
                <a:ext uri="{FF2B5EF4-FFF2-40B4-BE49-F238E27FC236}">
                  <a16:creationId xmlns:a16="http://schemas.microsoft.com/office/drawing/2014/main" id="{00000000-0008-0000-0400-00007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452</xdr:row>
          <xdr:rowOff>0</xdr:rowOff>
        </xdr:from>
        <xdr:to>
          <xdr:col>12</xdr:col>
          <xdr:colOff>381000</xdr:colOff>
          <xdr:row>453</xdr:row>
          <xdr:rowOff>12700</xdr:rowOff>
        </xdr:to>
        <xdr:sp macro="" textlink="">
          <xdr:nvSpPr>
            <xdr:cNvPr id="4222" name="Check Box 126" hidden="1">
              <a:extLst>
                <a:ext uri="{63B3BB69-23CF-44E3-9099-C40C66FF867C}">
                  <a14:compatExt spid="_x0000_s4222"/>
                </a:ext>
                <a:ext uri="{FF2B5EF4-FFF2-40B4-BE49-F238E27FC236}">
                  <a16:creationId xmlns:a16="http://schemas.microsoft.com/office/drawing/2014/main" id="{00000000-0008-0000-0400-00007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5</xdr:col>
      <xdr:colOff>3543300</xdr:colOff>
      <xdr:row>2</xdr:row>
      <xdr:rowOff>23813</xdr:rowOff>
    </xdr:from>
    <xdr:to>
      <xdr:col>5</xdr:col>
      <xdr:colOff>3812521</xdr:colOff>
      <xdr:row>3</xdr:row>
      <xdr:rowOff>145757</xdr:rowOff>
    </xdr:to>
    <xdr:pic macro="[0]!CameraButtonPressed">
      <xdr:nvPicPr>
        <xdr:cNvPr id="5" name="btnCamIFRSFull" descr="CameraBtnSmall.bmp">
          <a:extLst>
            <a:ext uri="{FF2B5EF4-FFF2-40B4-BE49-F238E27FC236}">
              <a16:creationId xmlns:a16="http://schemas.microsoft.com/office/drawing/2014/main" id="{00000000-0008-0000-0500-000005000000}"/>
            </a:ext>
          </a:extLst>
        </xdr:cNvPr>
        <xdr:cNvPicPr>
          <a:picLocks/>
        </xdr:cNvPicPr>
      </xdr:nvPicPr>
      <xdr:blipFill>
        <a:blip xmlns:r="http://schemas.openxmlformats.org/officeDocument/2006/relationships" r:embed="rId1" cstate="print"/>
        <a:stretch>
          <a:fillRect/>
        </a:stretch>
      </xdr:blipFill>
      <xdr:spPr>
        <a:xfrm>
          <a:off x="4114800" y="23813"/>
          <a:ext cx="269221" cy="198144"/>
        </a:xfrm>
        <a:prstGeom prst="rect">
          <a:avLst/>
        </a:prstGeom>
      </xdr:spPr>
    </xdr:pic>
    <xdr:clientData fPrintsWithSheet="0"/>
  </xdr:twoCellAnchor>
  <xdr:twoCellAnchor editAs="oneCell">
    <xdr:from>
      <xdr:col>5</xdr:col>
      <xdr:colOff>2650332</xdr:colOff>
      <xdr:row>2</xdr:row>
      <xdr:rowOff>23813</xdr:rowOff>
    </xdr:from>
    <xdr:to>
      <xdr:col>5</xdr:col>
      <xdr:colOff>2919553</xdr:colOff>
      <xdr:row>3</xdr:row>
      <xdr:rowOff>145987</xdr:rowOff>
    </xdr:to>
    <xdr:pic macro="[0]!GotoPrevSheet">
      <xdr:nvPicPr>
        <xdr:cNvPr id="6" name="Picture 5" descr="prevbtn37c.bmp">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2" cstate="print"/>
        <a:stretch>
          <a:fillRect/>
        </a:stretch>
      </xdr:blipFill>
      <xdr:spPr>
        <a:xfrm>
          <a:off x="3193257" y="23813"/>
          <a:ext cx="269221" cy="198374"/>
        </a:xfrm>
        <a:prstGeom prst="rect">
          <a:avLst/>
        </a:prstGeom>
      </xdr:spPr>
    </xdr:pic>
    <xdr:clientData/>
  </xdr:twoCellAnchor>
  <xdr:twoCellAnchor editAs="oneCell">
    <xdr:from>
      <xdr:col>5</xdr:col>
      <xdr:colOff>2950368</xdr:colOff>
      <xdr:row>2</xdr:row>
      <xdr:rowOff>23813</xdr:rowOff>
    </xdr:from>
    <xdr:to>
      <xdr:col>5</xdr:col>
      <xdr:colOff>3219589</xdr:colOff>
      <xdr:row>3</xdr:row>
      <xdr:rowOff>145987</xdr:rowOff>
    </xdr:to>
    <xdr:pic macro="[0]!GoHome">
      <xdr:nvPicPr>
        <xdr:cNvPr id="7" name="HomeBtn88" descr="homebtn37b.bmp">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3" cstate="print"/>
        <a:stretch>
          <a:fillRect/>
        </a:stretch>
      </xdr:blipFill>
      <xdr:spPr>
        <a:xfrm>
          <a:off x="3493293" y="23813"/>
          <a:ext cx="269221" cy="198374"/>
        </a:xfrm>
        <a:prstGeom prst="rect">
          <a:avLst/>
        </a:prstGeom>
      </xdr:spPr>
    </xdr:pic>
    <xdr:clientData/>
  </xdr:twoCellAnchor>
  <xdr:twoCellAnchor editAs="oneCell">
    <xdr:from>
      <xdr:col>5</xdr:col>
      <xdr:colOff>3250407</xdr:colOff>
      <xdr:row>2</xdr:row>
      <xdr:rowOff>23813</xdr:rowOff>
    </xdr:from>
    <xdr:to>
      <xdr:col>5</xdr:col>
      <xdr:colOff>3519628</xdr:colOff>
      <xdr:row>3</xdr:row>
      <xdr:rowOff>145987</xdr:rowOff>
    </xdr:to>
    <xdr:pic macro="[0]!PrintCurrent">
      <xdr:nvPicPr>
        <xdr:cNvPr id="9" name="PrintBtn88" descr="printbtn37.bmp">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4" cstate="print"/>
        <a:stretch>
          <a:fillRect/>
        </a:stretch>
      </xdr:blipFill>
      <xdr:spPr>
        <a:xfrm>
          <a:off x="3793332" y="23813"/>
          <a:ext cx="269221" cy="19837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49213</xdr:colOff>
          <xdr:row>2</xdr:row>
          <xdr:rowOff>38100</xdr:rowOff>
        </xdr:from>
        <xdr:to>
          <xdr:col>5</xdr:col>
          <xdr:colOff>1338263</xdr:colOff>
          <xdr:row>4</xdr:row>
          <xdr:rowOff>19050</xdr:rowOff>
        </xdr:to>
        <xdr:sp macro="" textlink="">
          <xdr:nvSpPr>
            <xdr:cNvPr id="5121" name="chkKeyFigures" hidden="1">
              <a:extLst>
                <a:ext uri="{63B3BB69-23CF-44E3-9099-C40C66FF867C}">
                  <a14:compatExt spid="_x0000_s5121"/>
                </a:ext>
                <a:ext uri="{FF2B5EF4-FFF2-40B4-BE49-F238E27FC236}">
                  <a16:creationId xmlns:a16="http://schemas.microsoft.com/office/drawing/2014/main" id="{00000000-0008-0000-0500-00000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14</xdr:col>
      <xdr:colOff>0</xdr:colOff>
      <xdr:row>27</xdr:row>
      <xdr:rowOff>104777</xdr:rowOff>
    </xdr:from>
    <xdr:to>
      <xdr:col>16</xdr:col>
      <xdr:colOff>171450</xdr:colOff>
      <xdr:row>27</xdr:row>
      <xdr:rowOff>104777</xdr:rowOff>
    </xdr:to>
    <xdr:cxnSp macro="">
      <xdr:nvCxnSpPr>
        <xdr:cNvPr id="2" name="Straight Connector 1">
          <a:extLst>
            <a:ext uri="{FF2B5EF4-FFF2-40B4-BE49-F238E27FC236}">
              <a16:creationId xmlns:a16="http://schemas.microsoft.com/office/drawing/2014/main" id="{00000000-0008-0000-0600-000002000000}"/>
            </a:ext>
          </a:extLst>
        </xdr:cNvPr>
        <xdr:cNvCxnSpPr/>
      </xdr:nvCxnSpPr>
      <xdr:spPr>
        <a:xfrm>
          <a:off x="4438650" y="5486402"/>
          <a:ext cx="1200150" cy="0"/>
        </a:xfrm>
        <a:prstGeom prst="line">
          <a:avLst/>
        </a:prstGeom>
        <a:ln w="9525"/>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38100</xdr:colOff>
      <xdr:row>50</xdr:row>
      <xdr:rowOff>104775</xdr:rowOff>
    </xdr:from>
    <xdr:to>
      <xdr:col>8</xdr:col>
      <xdr:colOff>161925</xdr:colOff>
      <xdr:row>50</xdr:row>
      <xdr:rowOff>104775</xdr:rowOff>
    </xdr:to>
    <xdr:cxnSp macro="">
      <xdr:nvCxnSpPr>
        <xdr:cNvPr id="3" name="Straight Connector 2">
          <a:extLst>
            <a:ext uri="{FF2B5EF4-FFF2-40B4-BE49-F238E27FC236}">
              <a16:creationId xmlns:a16="http://schemas.microsoft.com/office/drawing/2014/main" id="{00000000-0008-0000-0600-000003000000}"/>
            </a:ext>
          </a:extLst>
        </xdr:cNvPr>
        <xdr:cNvCxnSpPr/>
      </xdr:nvCxnSpPr>
      <xdr:spPr>
        <a:xfrm flipV="1">
          <a:off x="1695450" y="10306050"/>
          <a:ext cx="1152525" cy="0"/>
        </a:xfrm>
        <a:prstGeom prst="line">
          <a:avLst/>
        </a:prstGeom>
        <a:ln w="9525"/>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22</xdr:col>
          <xdr:colOff>12700</xdr:colOff>
          <xdr:row>5</xdr:row>
          <xdr:rowOff>0</xdr:rowOff>
        </xdr:from>
        <xdr:to>
          <xdr:col>22</xdr:col>
          <xdr:colOff>558800</xdr:colOff>
          <xdr:row>5</xdr:row>
          <xdr:rowOff>133350</xdr:rowOff>
        </xdr:to>
        <xdr:sp macro="" textlink="">
          <xdr:nvSpPr>
            <xdr:cNvPr id="11265" name="Drop Down 1" hidden="1">
              <a:extLst>
                <a:ext uri="{63B3BB69-23CF-44E3-9099-C40C66FF867C}">
                  <a14:compatExt spid="_x0000_s11265"/>
                </a:ext>
                <a:ext uri="{FF2B5EF4-FFF2-40B4-BE49-F238E27FC236}">
                  <a16:creationId xmlns:a16="http://schemas.microsoft.com/office/drawing/2014/main" id="{00000000-0008-0000-0600-000001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4</xdr:col>
      <xdr:colOff>12700</xdr:colOff>
      <xdr:row>0</xdr:row>
      <xdr:rowOff>38100</xdr:rowOff>
    </xdr:from>
    <xdr:to>
      <xdr:col>4</xdr:col>
      <xdr:colOff>193675</xdr:colOff>
      <xdr:row>1</xdr:row>
      <xdr:rowOff>47625</xdr:rowOff>
    </xdr:to>
    <xdr:pic macro="[0]!HideMacroDefinitions">
      <xdr:nvPicPr>
        <xdr:cNvPr id="2" name="btnCloseMD" descr="xbtn">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861300" y="38100"/>
          <a:ext cx="180975" cy="171450"/>
        </a:xfrm>
        <a:prstGeom prst="rect">
          <a:avLst/>
        </a:prstGeom>
        <a:noFill/>
        <a:ln w="9525">
          <a:noFill/>
          <a:miter lim="800000"/>
          <a:headEnd/>
          <a:tailEnd/>
        </a:ln>
      </xdr:spPr>
    </xdr:pic>
    <xdr:clientData fPrintsWithSheet="0"/>
  </xdr:twoCellAnchor>
</xdr:wsDr>
</file>

<file path=xl/drawings/drawing9.xml><?xml version="1.0" encoding="utf-8"?>
<xdr:wsDr xmlns:xdr="http://schemas.openxmlformats.org/drawingml/2006/spreadsheetDrawing" xmlns:a="http://schemas.openxmlformats.org/drawingml/2006/main">
  <xdr:twoCellAnchor editAs="absolute">
    <xdr:from>
      <xdr:col>3</xdr:col>
      <xdr:colOff>63500</xdr:colOff>
      <xdr:row>0</xdr:row>
      <xdr:rowOff>63500</xdr:rowOff>
    </xdr:from>
    <xdr:to>
      <xdr:col>3</xdr:col>
      <xdr:colOff>422044</xdr:colOff>
      <xdr:row>0</xdr:row>
      <xdr:rowOff>321342</xdr:rowOff>
    </xdr:to>
    <xdr:pic macro="[0]!AssignNewFunctions">
      <xdr:nvPicPr>
        <xdr:cNvPr id="2" name="btnPrintISR" descr="PrintBtn.bmp">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stretch>
          <a:fillRect/>
        </a:stretch>
      </xdr:blipFill>
      <xdr:spPr>
        <a:xfrm>
          <a:off x="63500" y="63500"/>
          <a:ext cx="358544" cy="257842"/>
        </a:xfrm>
        <a:prstGeom prst="rect">
          <a:avLst/>
        </a:prstGeom>
      </xdr:spPr>
    </xdr:pic>
    <xdr:clientData fPrintsWithSheet="0"/>
  </xdr:twoCellAnchor>
  <xdr:twoCellAnchor editAs="absolute">
    <xdr:from>
      <xdr:col>3</xdr:col>
      <xdr:colOff>485544</xdr:colOff>
      <xdr:row>0</xdr:row>
      <xdr:rowOff>63500</xdr:rowOff>
    </xdr:from>
    <xdr:to>
      <xdr:col>3</xdr:col>
      <xdr:colOff>844505</xdr:colOff>
      <xdr:row>0</xdr:row>
      <xdr:rowOff>321648</xdr:rowOff>
    </xdr:to>
    <xdr:pic macro="[0]!AssignNewFunctions">
      <xdr:nvPicPr>
        <xdr:cNvPr id="3" name="btnModifyISR" descr="ModifyBtn.bmp">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cstate="print"/>
        <a:stretch>
          <a:fillRect/>
        </a:stretch>
      </xdr:blipFill>
      <xdr:spPr>
        <a:xfrm>
          <a:off x="485544" y="63500"/>
          <a:ext cx="358961" cy="258148"/>
        </a:xfrm>
        <a:prstGeom prst="rect">
          <a:avLst/>
        </a:prstGeom>
      </xdr:spPr>
    </xdr:pic>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ogram%20Files%20(x86)/DataPartner/Invest%20for%20Excel/Calc/WindPowerPlantDuPont005.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Values"/>
      <sheetName val="Calculations"/>
      <sheetName val="Eliminations"/>
      <sheetName val="Result"/>
      <sheetName val="Analysis"/>
      <sheetName val="DuPont"/>
      <sheetName val="Cash flow"/>
      <sheetName val="IFRS"/>
      <sheetName val="MacroDef"/>
      <sheetName val="VarListAnalysis"/>
      <sheetName val="ChartData01"/>
      <sheetName val="Specs"/>
      <sheetName val="Specs2"/>
      <sheetName val="SpecsTxt"/>
      <sheetName val="Eng1Txt"/>
      <sheetName val="Fin1Txt"/>
      <sheetName val="Swe1Txt"/>
      <sheetName val="Ger1Txt"/>
      <sheetName val="Pol1Txt"/>
      <sheetName val="Spa1Txt"/>
      <sheetName val="Rus1Txt"/>
      <sheetName val="Bul1Txt"/>
      <sheetName val="Eng2Txt"/>
      <sheetName val="Fin2Txt"/>
      <sheetName val="Swe2Txt"/>
      <sheetName val="Ger2Txt"/>
      <sheetName val="Pol2Txt"/>
      <sheetName val="Spa2Txt"/>
      <sheetName val="Rus2Txt"/>
      <sheetName val="Bul2Txt"/>
      <sheetName val="Eng3Txt"/>
      <sheetName val="Fin3Txt"/>
      <sheetName val="Swe3Txt"/>
      <sheetName val="Ger3Txt"/>
      <sheetName val="Pol3Txt"/>
      <sheetName val="Spa3Txt"/>
      <sheetName val="Rus3Txt"/>
      <sheetName val="Bul3Txt"/>
      <sheetName val="Eng4Txt"/>
      <sheetName val="Fin4Txt"/>
      <sheetName val="Swe4Txt"/>
      <sheetName val="Ger4Txt"/>
      <sheetName val="Pol4Txt"/>
      <sheetName val="Spa4Txt"/>
      <sheetName val="Rus4Txt"/>
      <sheetName val="Bul4Txt"/>
      <sheetName val="Eng5Txt"/>
      <sheetName val="Fin5Txt"/>
      <sheetName val="Swe5Txt"/>
      <sheetName val="Ger5Txt"/>
      <sheetName val="Pol5Txt"/>
      <sheetName val="Spa5Txt"/>
      <sheetName val="Rus5Txt"/>
      <sheetName val="Bul5Txt"/>
    </sheetNames>
    <sheetDataSet>
      <sheetData sheetId="0">
        <row r="3">
          <cell r="R3">
            <v>1</v>
          </cell>
        </row>
        <row r="4">
          <cell r="R4">
            <v>1000</v>
          </cell>
        </row>
        <row r="5">
          <cell r="R5">
            <v>1000000</v>
          </cell>
        </row>
        <row r="17">
          <cell r="A17">
            <v>380</v>
          </cell>
        </row>
      </sheetData>
      <sheetData sheetId="1">
        <row r="1">
          <cell r="Y1" t="b">
            <v>0</v>
          </cell>
        </row>
        <row r="2">
          <cell r="C2" t="str">
            <v>+</v>
          </cell>
          <cell r="D2" t="str">
            <v>+</v>
          </cell>
        </row>
        <row r="3">
          <cell r="C3" t="str">
            <v>-</v>
          </cell>
          <cell r="D3" t="str">
            <v>-</v>
          </cell>
        </row>
        <row r="4">
          <cell r="C4" t="str">
            <v xml:space="preserve"> </v>
          </cell>
          <cell r="D4" t="str">
            <v>*</v>
          </cell>
        </row>
        <row r="5">
          <cell r="D5" t="str">
            <v>/</v>
          </cell>
        </row>
        <row r="6">
          <cell r="D6" t="str">
            <v xml:space="preserve"> </v>
          </cell>
          <cell r="E6" t="str">
            <v>ID</v>
          </cell>
        </row>
        <row r="16">
          <cell r="G16" t="str">
            <v>7/2017</v>
          </cell>
          <cell r="H16" t="str">
            <v>12/2017</v>
          </cell>
          <cell r="I16" t="str">
            <v>12/2018</v>
          </cell>
          <cell r="J16" t="str">
            <v>12/2019</v>
          </cell>
          <cell r="K16" t="str">
            <v>12/2020</v>
          </cell>
          <cell r="L16" t="str">
            <v>12/2021</v>
          </cell>
          <cell r="M16" t="str">
            <v>12/2022</v>
          </cell>
          <cell r="N16" t="str">
            <v>12/2023</v>
          </cell>
          <cell r="O16" t="str">
            <v>12/2024</v>
          </cell>
          <cell r="P16" t="str">
            <v>12/2025</v>
          </cell>
          <cell r="Q16" t="str">
            <v>12/2026</v>
          </cell>
          <cell r="R16" t="str">
            <v>12/2027</v>
          </cell>
          <cell r="S16" t="str">
            <v>12/2028</v>
          </cell>
          <cell r="T16" t="str">
            <v>12/2029</v>
          </cell>
          <cell r="U16" t="str">
            <v>12/2030</v>
          </cell>
          <cell r="V16" t="str">
            <v>12/2031</v>
          </cell>
          <cell r="W16" t="str">
            <v>12/2032</v>
          </cell>
          <cell r="X16" t="str">
            <v>Residual</v>
          </cell>
        </row>
        <row r="1083">
          <cell r="G1083">
            <v>0</v>
          </cell>
          <cell r="H1083">
            <v>0</v>
          </cell>
          <cell r="I1083">
            <v>-73078.108393500006</v>
          </cell>
          <cell r="J1083">
            <v>-77075.451643500041</v>
          </cell>
          <cell r="K1083">
            <v>-81192.715190999996</v>
          </cell>
          <cell r="L1083">
            <v>-85433.496644925006</v>
          </cell>
          <cell r="M1083">
            <v>-89801.50154246774</v>
          </cell>
          <cell r="N1083">
            <v>-94300.546586936805</v>
          </cell>
          <cell r="O1083">
            <v>-98934.562982739939</v>
          </cell>
          <cell r="P1083">
            <v>-103707.59987041715</v>
          </cell>
          <cell r="Q1083">
            <v>-108623.82786472468</v>
          </cell>
          <cell r="R1083">
            <v>-113687.54269886133</v>
          </cell>
          <cell r="S1083">
            <v>-118903.16897802218</v>
          </cell>
          <cell r="T1083">
            <v>-124275.26404555794</v>
          </cell>
          <cell r="U1083">
            <v>-129808.52196511952</v>
          </cell>
          <cell r="V1083">
            <v>-135507.7776222683</v>
          </cell>
          <cell r="W1083">
            <v>-141378.01004663133</v>
          </cell>
          <cell r="X1083">
            <v>0</v>
          </cell>
        </row>
        <row r="1084">
          <cell r="G1084">
            <v>0</v>
          </cell>
          <cell r="H1084">
            <v>0</v>
          </cell>
          <cell r="I1084">
            <v>-73078.108393500006</v>
          </cell>
          <cell r="J1084">
            <v>-77075.451643500041</v>
          </cell>
          <cell r="K1084">
            <v>-81192.715190999996</v>
          </cell>
          <cell r="L1084">
            <v>-85433.496644925006</v>
          </cell>
          <cell r="M1084">
            <v>-89801.50154246774</v>
          </cell>
          <cell r="N1084">
            <v>-94300.546586936805</v>
          </cell>
          <cell r="O1084">
            <v>-98934.562982739939</v>
          </cell>
          <cell r="P1084">
            <v>-103707.59987041715</v>
          </cell>
          <cell r="Q1084">
            <v>-108623.82786472468</v>
          </cell>
          <cell r="R1084">
            <v>-113687.54269886133</v>
          </cell>
          <cell r="S1084">
            <v>-118903.16897802218</v>
          </cell>
          <cell r="T1084">
            <v>-124275.26404555794</v>
          </cell>
          <cell r="U1084">
            <v>-129808.52196511952</v>
          </cell>
          <cell r="V1084">
            <v>-135507.7776222683</v>
          </cell>
          <cell r="W1084">
            <v>-141378.01004663133</v>
          </cell>
          <cell r="X1084">
            <v>0</v>
          </cell>
        </row>
        <row r="1085">
          <cell r="G1085">
            <v>0</v>
          </cell>
          <cell r="H1085">
            <v>0</v>
          </cell>
          <cell r="I1085">
            <v>-73078.108393500006</v>
          </cell>
          <cell r="J1085">
            <v>-77075.451643500041</v>
          </cell>
          <cell r="K1085">
            <v>-81192.715190999996</v>
          </cell>
          <cell r="L1085">
            <v>-85433.496644925006</v>
          </cell>
          <cell r="M1085">
            <v>-89801.50154246774</v>
          </cell>
          <cell r="N1085">
            <v>-94300.546586936805</v>
          </cell>
          <cell r="O1085">
            <v>-98934.562982739939</v>
          </cell>
          <cell r="P1085">
            <v>-103707.59987041715</v>
          </cell>
          <cell r="Q1085">
            <v>-108623.82786472468</v>
          </cell>
          <cell r="R1085">
            <v>-113687.54269886133</v>
          </cell>
          <cell r="S1085">
            <v>-118903.16897802218</v>
          </cell>
          <cell r="T1085">
            <v>-124275.26404555794</v>
          </cell>
          <cell r="U1085">
            <v>-129808.52196511952</v>
          </cell>
          <cell r="V1085">
            <v>-135507.7776222683</v>
          </cell>
          <cell r="W1085">
            <v>-141378.01004663133</v>
          </cell>
          <cell r="X1085">
            <v>0</v>
          </cell>
        </row>
        <row r="1086">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row>
      </sheetData>
      <sheetData sheetId="2"/>
      <sheetData sheetId="3"/>
      <sheetData sheetId="4"/>
      <sheetData sheetId="5"/>
      <sheetData sheetId="6" refreshError="1"/>
      <sheetData sheetId="7"/>
      <sheetData sheetId="8"/>
      <sheetData sheetId="9"/>
      <sheetData sheetId="10"/>
      <sheetData sheetId="11">
        <row r="2">
          <cell r="J2" t="str">
            <v>Straight line</v>
          </cell>
          <cell r="K2" t="str">
            <v>N GAAP</v>
          </cell>
          <cell r="M2" t="b">
            <v>0</v>
          </cell>
          <cell r="N2">
            <v>1</v>
          </cell>
        </row>
        <row r="3">
          <cell r="J3" t="str">
            <v>Declining bal.</v>
          </cell>
          <cell r="K3" t="str">
            <v>IFRS 3</v>
          </cell>
          <cell r="N3">
            <v>2</v>
          </cell>
        </row>
        <row r="4">
          <cell r="J4" t="str">
            <v>Enter</v>
          </cell>
          <cell r="N4">
            <v>3</v>
          </cell>
        </row>
        <row r="5">
          <cell r="B5">
            <v>0</v>
          </cell>
          <cell r="F5">
            <v>1</v>
          </cell>
          <cell r="K5">
            <v>2</v>
          </cell>
          <cell r="N5">
            <v>4</v>
          </cell>
        </row>
        <row r="6">
          <cell r="F6">
            <v>2</v>
          </cell>
          <cell r="N6">
            <v>5</v>
          </cell>
        </row>
        <row r="7">
          <cell r="C7">
            <v>9</v>
          </cell>
          <cell r="F7">
            <v>3</v>
          </cell>
          <cell r="K7" t="b">
            <v>1</v>
          </cell>
          <cell r="N7">
            <v>6</v>
          </cell>
        </row>
        <row r="8">
          <cell r="B8">
            <v>1</v>
          </cell>
          <cell r="F8">
            <v>4</v>
          </cell>
          <cell r="N8">
            <v>7</v>
          </cell>
        </row>
        <row r="9">
          <cell r="F9">
            <v>5</v>
          </cell>
          <cell r="I9" t="b">
            <v>1</v>
          </cell>
          <cell r="K9">
            <v>9</v>
          </cell>
          <cell r="N9">
            <v>8</v>
          </cell>
        </row>
        <row r="10">
          <cell r="F10" t="str">
            <v>...</v>
          </cell>
          <cell r="N10">
            <v>9</v>
          </cell>
        </row>
        <row r="11">
          <cell r="I11">
            <v>0</v>
          </cell>
          <cell r="K11">
            <v>1</v>
          </cell>
          <cell r="N11">
            <v>10</v>
          </cell>
        </row>
        <row r="12">
          <cell r="J12" t="b">
            <v>1</v>
          </cell>
          <cell r="N12">
            <v>11</v>
          </cell>
        </row>
        <row r="13">
          <cell r="K13">
            <v>1</v>
          </cell>
          <cell r="N13">
            <v>12</v>
          </cell>
        </row>
        <row r="14">
          <cell r="E14">
            <v>1</v>
          </cell>
          <cell r="J14" t="b">
            <v>1</v>
          </cell>
          <cell r="N14">
            <v>13</v>
          </cell>
        </row>
        <row r="15">
          <cell r="B15">
            <v>1</v>
          </cell>
          <cell r="C15">
            <v>2</v>
          </cell>
          <cell r="E15">
            <v>1</v>
          </cell>
          <cell r="K15">
            <v>1</v>
          </cell>
          <cell r="N15">
            <v>14</v>
          </cell>
        </row>
        <row r="16">
          <cell r="A16" t="str">
            <v>Net Present Value (NPV)</v>
          </cell>
          <cell r="E16">
            <v>2</v>
          </cell>
          <cell r="N16">
            <v>15</v>
          </cell>
        </row>
        <row r="17">
          <cell r="A17" t="str">
            <v>Internal Rate of Return (IRR)</v>
          </cell>
          <cell r="C17" t="str">
            <v>12/2018</v>
          </cell>
          <cell r="E17" t="b">
            <v>1</v>
          </cell>
          <cell r="K17">
            <v>1</v>
          </cell>
          <cell r="N17">
            <v>16</v>
          </cell>
        </row>
        <row r="18">
          <cell r="A18" t="str">
            <v>Internal Rate of Return before tax</v>
          </cell>
          <cell r="G18">
            <v>0</v>
          </cell>
          <cell r="N18">
            <v>17</v>
          </cell>
        </row>
        <row r="19">
          <cell r="A19" t="str">
            <v>Modified Internal Rate of Return (MIRR)</v>
          </cell>
          <cell r="G19">
            <v>1</v>
          </cell>
          <cell r="K19">
            <v>1</v>
          </cell>
          <cell r="N19">
            <v>18</v>
          </cell>
        </row>
        <row r="20">
          <cell r="A20" t="str">
            <v>Profitability Index (PI)</v>
          </cell>
          <cell r="G20">
            <v>1</v>
          </cell>
          <cell r="N20">
            <v>19</v>
          </cell>
        </row>
        <row r="21">
          <cell r="A21" t="str">
            <v>Discounted Value Added (DCVA)</v>
          </cell>
          <cell r="G21">
            <v>0</v>
          </cell>
          <cell r="J21" t="b">
            <v>0</v>
          </cell>
          <cell r="K21" t="b">
            <v>0</v>
          </cell>
          <cell r="L21" t="b">
            <v>0</v>
          </cell>
          <cell r="N21">
            <v>20</v>
          </cell>
        </row>
        <row r="22">
          <cell r="A22" t="str">
            <v>Payback time, years</v>
          </cell>
          <cell r="G22">
            <v>0</v>
          </cell>
          <cell r="I22">
            <v>1</v>
          </cell>
          <cell r="N22">
            <v>21</v>
          </cell>
        </row>
        <row r="23">
          <cell r="A23" t="str">
            <v>Simple Payback, years</v>
          </cell>
          <cell r="G23">
            <v>0</v>
          </cell>
          <cell r="N23">
            <v>22</v>
          </cell>
        </row>
        <row r="24">
          <cell r="G24">
            <v>0</v>
          </cell>
          <cell r="I24">
            <v>186</v>
          </cell>
          <cell r="N24">
            <v>23</v>
          </cell>
        </row>
        <row r="25">
          <cell r="N25">
            <v>24</v>
          </cell>
        </row>
        <row r="26">
          <cell r="G26">
            <v>0</v>
          </cell>
          <cell r="I26">
            <v>186</v>
          </cell>
          <cell r="N26">
            <v>25</v>
          </cell>
        </row>
        <row r="27">
          <cell r="G27">
            <v>0</v>
          </cell>
        </row>
        <row r="29">
          <cell r="I29">
            <v>0</v>
          </cell>
          <cell r="K29">
            <v>1</v>
          </cell>
          <cell r="L29" t="str">
            <v>Immaterial rights</v>
          </cell>
          <cell r="O29">
            <v>1</v>
          </cell>
        </row>
        <row r="30">
          <cell r="K30">
            <v>1</v>
          </cell>
          <cell r="L30" t="str">
            <v>Capitalized development costs</v>
          </cell>
        </row>
        <row r="31">
          <cell r="G31">
            <v>2</v>
          </cell>
          <cell r="I31">
            <v>0</v>
          </cell>
          <cell r="K31">
            <v>1</v>
          </cell>
          <cell r="L31" t="str">
            <v>Goodwill</v>
          </cell>
        </row>
        <row r="32">
          <cell r="K32">
            <v>1</v>
          </cell>
          <cell r="L32" t="str">
            <v>Other intangible assets</v>
          </cell>
        </row>
        <row r="33">
          <cell r="K33">
            <v>1</v>
          </cell>
          <cell r="L33" t="str">
            <v>Machinery and equipment</v>
          </cell>
        </row>
        <row r="34">
          <cell r="G34">
            <v>0</v>
          </cell>
          <cell r="K34">
            <v>1</v>
          </cell>
          <cell r="L34" t="str">
            <v>Buildings and structures</v>
          </cell>
        </row>
        <row r="35">
          <cell r="G35">
            <v>1</v>
          </cell>
          <cell r="I35" t="b">
            <v>1</v>
          </cell>
          <cell r="K35">
            <v>1</v>
          </cell>
          <cell r="L35" t="str">
            <v>Land and water</v>
          </cell>
        </row>
        <row r="36">
          <cell r="L36" t="str">
            <v>Prepayments and construction in progress</v>
          </cell>
        </row>
        <row r="37">
          <cell r="G37">
            <v>0</v>
          </cell>
          <cell r="I37" t="b">
            <v>0</v>
          </cell>
          <cell r="K37">
            <v>1</v>
          </cell>
          <cell r="L37" t="str">
            <v>Other tangible assets</v>
          </cell>
        </row>
        <row r="38">
          <cell r="A38">
            <v>1</v>
          </cell>
          <cell r="G38">
            <v>1</v>
          </cell>
          <cell r="K38">
            <v>1</v>
          </cell>
          <cell r="L38" t="str">
            <v>Investments in associated companies</v>
          </cell>
        </row>
        <row r="39">
          <cell r="G39">
            <v>1</v>
          </cell>
          <cell r="I39" t="b">
            <v>0</v>
          </cell>
          <cell r="K39">
            <v>1</v>
          </cell>
          <cell r="L39" t="str">
            <v>Deferred tax assets</v>
          </cell>
        </row>
        <row r="40">
          <cell r="K40">
            <v>1</v>
          </cell>
          <cell r="L40" t="str">
            <v>Long-term loans receivable</v>
          </cell>
        </row>
        <row r="41">
          <cell r="G41">
            <v>16</v>
          </cell>
          <cell r="K41">
            <v>1</v>
          </cell>
          <cell r="L41" t="str">
            <v>Other investments</v>
          </cell>
        </row>
        <row r="42">
          <cell r="G42" t="str">
            <v>2032</v>
          </cell>
        </row>
        <row r="43">
          <cell r="G43">
            <v>1</v>
          </cell>
          <cell r="K43">
            <v>1</v>
          </cell>
          <cell r="N43">
            <v>1</v>
          </cell>
        </row>
        <row r="44">
          <cell r="G44">
            <v>1</v>
          </cell>
          <cell r="K44">
            <v>2</v>
          </cell>
          <cell r="N44">
            <v>1</v>
          </cell>
        </row>
        <row r="45">
          <cell r="K45">
            <v>3</v>
          </cell>
          <cell r="N45">
            <v>1</v>
          </cell>
        </row>
        <row r="46">
          <cell r="G46">
            <v>16</v>
          </cell>
          <cell r="K46">
            <v>4</v>
          </cell>
          <cell r="N46">
            <v>1</v>
          </cell>
        </row>
        <row r="47">
          <cell r="G47" t="str">
            <v>2032</v>
          </cell>
          <cell r="K47">
            <v>5</v>
          </cell>
          <cell r="N47">
            <v>1</v>
          </cell>
        </row>
        <row r="48">
          <cell r="G48">
            <v>1</v>
          </cell>
          <cell r="K48">
            <v>6</v>
          </cell>
          <cell r="N48">
            <v>1</v>
          </cell>
        </row>
        <row r="49">
          <cell r="G49">
            <v>1</v>
          </cell>
          <cell r="K49">
            <v>1</v>
          </cell>
          <cell r="N49">
            <v>1</v>
          </cell>
        </row>
        <row r="50">
          <cell r="G50">
            <v>1</v>
          </cell>
          <cell r="K50">
            <v>2</v>
          </cell>
          <cell r="N50">
            <v>1</v>
          </cell>
        </row>
        <row r="51">
          <cell r="G51">
            <v>0</v>
          </cell>
          <cell r="K51">
            <v>3</v>
          </cell>
          <cell r="N51">
            <v>1</v>
          </cell>
        </row>
        <row r="52">
          <cell r="G52">
            <v>0</v>
          </cell>
          <cell r="K52">
            <v>4</v>
          </cell>
          <cell r="N52">
            <v>1</v>
          </cell>
        </row>
        <row r="53">
          <cell r="G53">
            <v>0</v>
          </cell>
          <cell r="K53">
            <v>5</v>
          </cell>
          <cell r="N53">
            <v>1</v>
          </cell>
        </row>
        <row r="54">
          <cell r="G54">
            <v>0</v>
          </cell>
          <cell r="K54">
            <v>6</v>
          </cell>
          <cell r="N54" t="str">
            <v>12/2017</v>
          </cell>
        </row>
        <row r="55">
          <cell r="G55">
            <v>0</v>
          </cell>
          <cell r="K55">
            <v>1</v>
          </cell>
          <cell r="N55" t="str">
            <v>12/2017</v>
          </cell>
        </row>
        <row r="56">
          <cell r="G56">
            <v>0</v>
          </cell>
          <cell r="K56">
            <v>2</v>
          </cell>
          <cell r="N56" t="str">
            <v>12/2017</v>
          </cell>
        </row>
        <row r="57">
          <cell r="G57">
            <v>0</v>
          </cell>
          <cell r="K57">
            <v>3</v>
          </cell>
          <cell r="N57" t="str">
            <v>12/2017</v>
          </cell>
        </row>
        <row r="58">
          <cell r="G58">
            <v>0</v>
          </cell>
          <cell r="K58">
            <v>4</v>
          </cell>
          <cell r="N58" t="str">
            <v>12/2017</v>
          </cell>
        </row>
        <row r="59">
          <cell r="K59">
            <v>5</v>
          </cell>
          <cell r="N59" t="str">
            <v>12/2017</v>
          </cell>
        </row>
        <row r="60">
          <cell r="K60">
            <v>6</v>
          </cell>
          <cell r="N60" t="str">
            <v>12/2017</v>
          </cell>
        </row>
        <row r="61">
          <cell r="K61">
            <v>1</v>
          </cell>
          <cell r="N61" t="str">
            <v>12/2017</v>
          </cell>
        </row>
        <row r="62">
          <cell r="K62">
            <v>2</v>
          </cell>
          <cell r="N62" t="str">
            <v>12/2017</v>
          </cell>
        </row>
        <row r="63">
          <cell r="K63">
            <v>3</v>
          </cell>
          <cell r="N63" t="str">
            <v>12/2017</v>
          </cell>
        </row>
        <row r="64">
          <cell r="K64">
            <v>4</v>
          </cell>
          <cell r="N64" t="str">
            <v>12/2017</v>
          </cell>
        </row>
        <row r="65">
          <cell r="K65">
            <v>5</v>
          </cell>
        </row>
        <row r="66">
          <cell r="K66">
            <v>6</v>
          </cell>
        </row>
        <row r="67">
          <cell r="K67">
            <v>1</v>
          </cell>
        </row>
        <row r="68">
          <cell r="G68">
            <v>1</v>
          </cell>
          <cell r="K68">
            <v>2</v>
          </cell>
        </row>
        <row r="69">
          <cell r="G69">
            <v>1</v>
          </cell>
          <cell r="K69">
            <v>3</v>
          </cell>
        </row>
        <row r="70">
          <cell r="G70">
            <v>0</v>
          </cell>
          <cell r="K70">
            <v>4</v>
          </cell>
        </row>
        <row r="71">
          <cell r="G71">
            <v>0</v>
          </cell>
          <cell r="K71">
            <v>5</v>
          </cell>
        </row>
        <row r="72">
          <cell r="K72">
            <v>6</v>
          </cell>
        </row>
        <row r="73">
          <cell r="K73">
            <v>1</v>
          </cell>
        </row>
        <row r="74">
          <cell r="K74">
            <v>2</v>
          </cell>
        </row>
        <row r="75">
          <cell r="K75">
            <v>3</v>
          </cell>
        </row>
        <row r="76">
          <cell r="K76">
            <v>4</v>
          </cell>
        </row>
        <row r="77">
          <cell r="K77">
            <v>5</v>
          </cell>
        </row>
        <row r="78">
          <cell r="K78">
            <v>6</v>
          </cell>
          <cell r="V78" t="str">
            <v>Perpetual</v>
          </cell>
          <cell r="Z78">
            <v>0</v>
          </cell>
          <cell r="AB78">
            <v>0</v>
          </cell>
        </row>
        <row r="79">
          <cell r="V79" t="str">
            <v>1 year</v>
          </cell>
        </row>
        <row r="80">
          <cell r="V80" t="str">
            <v>2 years</v>
          </cell>
        </row>
        <row r="81">
          <cell r="V81" t="str">
            <v>3 years</v>
          </cell>
        </row>
        <row r="82">
          <cell r="N82">
            <v>1</v>
          </cell>
          <cell r="V82" t="str">
            <v>4 years</v>
          </cell>
        </row>
        <row r="83">
          <cell r="N83">
            <v>2</v>
          </cell>
          <cell r="V83" t="str">
            <v>5 years</v>
          </cell>
        </row>
        <row r="84">
          <cell r="N84">
            <v>3</v>
          </cell>
          <cell r="V84" t="str">
            <v>6 years</v>
          </cell>
        </row>
        <row r="85">
          <cell r="N85">
            <v>4</v>
          </cell>
          <cell r="V85" t="str">
            <v>7 years</v>
          </cell>
        </row>
        <row r="86">
          <cell r="N86">
            <v>5</v>
          </cell>
          <cell r="V86" t="str">
            <v>8 years</v>
          </cell>
        </row>
        <row r="87">
          <cell r="N87">
            <v>6</v>
          </cell>
          <cell r="V87" t="str">
            <v>9 years</v>
          </cell>
        </row>
        <row r="88">
          <cell r="N88">
            <v>1</v>
          </cell>
          <cell r="V88" t="str">
            <v>10 years</v>
          </cell>
        </row>
        <row r="89">
          <cell r="N89">
            <v>2</v>
          </cell>
          <cell r="V89" t="str">
            <v>11 years</v>
          </cell>
        </row>
        <row r="90">
          <cell r="N90">
            <v>3</v>
          </cell>
          <cell r="V90" t="str">
            <v>12 years</v>
          </cell>
        </row>
        <row r="91">
          <cell r="N91">
            <v>4</v>
          </cell>
          <cell r="V91" t="str">
            <v>13 years</v>
          </cell>
        </row>
        <row r="92">
          <cell r="N92">
            <v>5</v>
          </cell>
          <cell r="V92" t="str">
            <v>14 years</v>
          </cell>
        </row>
        <row r="93">
          <cell r="N93">
            <v>6</v>
          </cell>
          <cell r="V93" t="str">
            <v>15 years</v>
          </cell>
        </row>
        <row r="94">
          <cell r="N94">
            <v>1</v>
          </cell>
          <cell r="V94" t="str">
            <v>16 years</v>
          </cell>
        </row>
        <row r="95">
          <cell r="N95">
            <v>2</v>
          </cell>
          <cell r="V95" t="str">
            <v>17 years</v>
          </cell>
        </row>
        <row r="96">
          <cell r="N96">
            <v>3</v>
          </cell>
          <cell r="V96" t="str">
            <v>18 years</v>
          </cell>
        </row>
        <row r="97">
          <cell r="N97">
            <v>4</v>
          </cell>
          <cell r="V97" t="str">
            <v>19 years</v>
          </cell>
        </row>
        <row r="98">
          <cell r="N98">
            <v>5</v>
          </cell>
          <cell r="V98" t="str">
            <v>20 years</v>
          </cell>
        </row>
        <row r="99">
          <cell r="N99">
            <v>6</v>
          </cell>
          <cell r="V99" t="str">
            <v>21 years</v>
          </cell>
        </row>
        <row r="100">
          <cell r="N100">
            <v>1</v>
          </cell>
          <cell r="V100" t="str">
            <v>22 years</v>
          </cell>
        </row>
        <row r="101">
          <cell r="N101">
            <v>2</v>
          </cell>
          <cell r="V101" t="str">
            <v>23 years</v>
          </cell>
        </row>
        <row r="102">
          <cell r="N102">
            <v>3</v>
          </cell>
          <cell r="V102" t="str">
            <v>24 years</v>
          </cell>
        </row>
        <row r="103">
          <cell r="N103">
            <v>4</v>
          </cell>
          <cell r="V103" t="str">
            <v>25 years</v>
          </cell>
        </row>
        <row r="104">
          <cell r="N104">
            <v>5</v>
          </cell>
          <cell r="V104" t="str">
            <v>26 years</v>
          </cell>
        </row>
        <row r="105">
          <cell r="N105">
            <v>6</v>
          </cell>
          <cell r="V105" t="str">
            <v>27 years</v>
          </cell>
        </row>
        <row r="106">
          <cell r="N106">
            <v>1</v>
          </cell>
          <cell r="V106" t="str">
            <v>28 years</v>
          </cell>
        </row>
        <row r="107">
          <cell r="N107">
            <v>2</v>
          </cell>
          <cell r="V107" t="str">
            <v>29 years</v>
          </cell>
        </row>
        <row r="108">
          <cell r="N108">
            <v>3</v>
          </cell>
          <cell r="V108" t="str">
            <v>30 years</v>
          </cell>
        </row>
        <row r="109">
          <cell r="N109">
            <v>4</v>
          </cell>
          <cell r="V109" t="str">
            <v>31 years</v>
          </cell>
        </row>
        <row r="110">
          <cell r="N110">
            <v>5</v>
          </cell>
          <cell r="V110" t="str">
            <v>32 years</v>
          </cell>
        </row>
        <row r="111">
          <cell r="N111">
            <v>6</v>
          </cell>
          <cell r="V111" t="str">
            <v>33 years</v>
          </cell>
        </row>
        <row r="112">
          <cell r="V112" t="str">
            <v>34 years</v>
          </cell>
        </row>
        <row r="113">
          <cell r="V113" t="str">
            <v>35 years</v>
          </cell>
        </row>
        <row r="114">
          <cell r="V114" t="str">
            <v>36 years</v>
          </cell>
        </row>
        <row r="115">
          <cell r="V115" t="str">
            <v>37 years</v>
          </cell>
        </row>
        <row r="116">
          <cell r="V116" t="str">
            <v>38 years</v>
          </cell>
        </row>
        <row r="117">
          <cell r="V117" t="str">
            <v>39 years</v>
          </cell>
        </row>
        <row r="118">
          <cell r="V118" t="str">
            <v>40 years</v>
          </cell>
        </row>
        <row r="119">
          <cell r="V119" t="str">
            <v>41 years</v>
          </cell>
        </row>
        <row r="120">
          <cell r="V120" t="str">
            <v>42 years</v>
          </cell>
        </row>
        <row r="121">
          <cell r="V121" t="str">
            <v>43 years</v>
          </cell>
        </row>
        <row r="122">
          <cell r="F122">
            <v>0.11483778307162651</v>
          </cell>
          <cell r="V122" t="str">
            <v>44 years</v>
          </cell>
        </row>
        <row r="123">
          <cell r="V123" t="str">
            <v>45 years</v>
          </cell>
        </row>
        <row r="124">
          <cell r="F124">
            <v>0.11483778307162962</v>
          </cell>
          <cell r="V124" t="str">
            <v>46 years</v>
          </cell>
        </row>
        <row r="125">
          <cell r="V125" t="str">
            <v>47 years</v>
          </cell>
        </row>
        <row r="126">
          <cell r="V126" t="str">
            <v>48 years</v>
          </cell>
        </row>
        <row r="127">
          <cell r="V127" t="str">
            <v>49 years</v>
          </cell>
        </row>
        <row r="128">
          <cell r="V128" t="str">
            <v>50 years</v>
          </cell>
        </row>
        <row r="129">
          <cell r="V129" t="str">
            <v>51 years</v>
          </cell>
        </row>
        <row r="130">
          <cell r="V130" t="str">
            <v>52 years</v>
          </cell>
        </row>
        <row r="131">
          <cell r="V131" t="str">
            <v>53 years</v>
          </cell>
        </row>
        <row r="132">
          <cell r="V132" t="str">
            <v>54 years</v>
          </cell>
        </row>
        <row r="133">
          <cell r="V133" t="str">
            <v>55 years</v>
          </cell>
        </row>
        <row r="134">
          <cell r="V134" t="str">
            <v>56 years</v>
          </cell>
        </row>
        <row r="135">
          <cell r="V135" t="str">
            <v>57 years</v>
          </cell>
        </row>
        <row r="136">
          <cell r="V136" t="str">
            <v>58 years</v>
          </cell>
        </row>
        <row r="137">
          <cell r="V137" t="str">
            <v>59 years</v>
          </cell>
        </row>
        <row r="138">
          <cell r="V138" t="str">
            <v>60 years</v>
          </cell>
        </row>
        <row r="139">
          <cell r="V139" t="str">
            <v>61 years</v>
          </cell>
        </row>
        <row r="140">
          <cell r="V140" t="str">
            <v>62 years</v>
          </cell>
        </row>
        <row r="141">
          <cell r="V141" t="str">
            <v>63 years</v>
          </cell>
        </row>
        <row r="142">
          <cell r="V142" t="str">
            <v>64 years</v>
          </cell>
        </row>
        <row r="143">
          <cell r="V143" t="str">
            <v>65 years</v>
          </cell>
        </row>
        <row r="144">
          <cell r="V144" t="str">
            <v>66 years</v>
          </cell>
        </row>
        <row r="145">
          <cell r="V145" t="str">
            <v>67 years</v>
          </cell>
        </row>
        <row r="146">
          <cell r="V146" t="str">
            <v>68 years</v>
          </cell>
        </row>
        <row r="147">
          <cell r="V147" t="str">
            <v>69 years</v>
          </cell>
        </row>
        <row r="148">
          <cell r="V148" t="str">
            <v>70 years</v>
          </cell>
        </row>
        <row r="149">
          <cell r="V149" t="str">
            <v>71 years</v>
          </cell>
        </row>
        <row r="150">
          <cell r="V150" t="str">
            <v>72 years</v>
          </cell>
        </row>
        <row r="151">
          <cell r="V151" t="str">
            <v>73 years</v>
          </cell>
        </row>
        <row r="152">
          <cell r="V152" t="str">
            <v>74 years</v>
          </cell>
        </row>
        <row r="153">
          <cell r="V153" t="str">
            <v>75 years</v>
          </cell>
        </row>
        <row r="154">
          <cell r="V154" t="str">
            <v>76 years</v>
          </cell>
        </row>
        <row r="155">
          <cell r="V155" t="str">
            <v>77 years</v>
          </cell>
        </row>
        <row r="156">
          <cell r="V156" t="str">
            <v>78 years</v>
          </cell>
        </row>
        <row r="157">
          <cell r="V157" t="str">
            <v>79 years</v>
          </cell>
        </row>
        <row r="158">
          <cell r="V158" t="str">
            <v>80 years</v>
          </cell>
        </row>
        <row r="159">
          <cell r="V159" t="str">
            <v>81 years</v>
          </cell>
        </row>
        <row r="160">
          <cell r="V160" t="str">
            <v>82 years</v>
          </cell>
        </row>
        <row r="161">
          <cell r="V161" t="str">
            <v>83 years</v>
          </cell>
        </row>
        <row r="162">
          <cell r="V162" t="str">
            <v>84 years</v>
          </cell>
        </row>
        <row r="163">
          <cell r="V163" t="str">
            <v>85 years</v>
          </cell>
        </row>
        <row r="164">
          <cell r="V164" t="str">
            <v>86 years</v>
          </cell>
        </row>
        <row r="165">
          <cell r="V165" t="str">
            <v>87 years</v>
          </cell>
        </row>
        <row r="166">
          <cell r="V166" t="str">
            <v>88 years</v>
          </cell>
        </row>
        <row r="167">
          <cell r="V167" t="str">
            <v>89 years</v>
          </cell>
        </row>
        <row r="168">
          <cell r="V168" t="str">
            <v>90 years</v>
          </cell>
        </row>
        <row r="169">
          <cell r="V169" t="str">
            <v>91 years</v>
          </cell>
        </row>
        <row r="170">
          <cell r="V170" t="str">
            <v>92 years</v>
          </cell>
        </row>
        <row r="171">
          <cell r="V171" t="str">
            <v>93 years</v>
          </cell>
        </row>
        <row r="172">
          <cell r="V172" t="str">
            <v>94 years</v>
          </cell>
        </row>
        <row r="173">
          <cell r="F173">
            <v>0</v>
          </cell>
          <cell r="V173" t="str">
            <v>95 years</v>
          </cell>
        </row>
        <row r="174">
          <cell r="V174" t="str">
            <v>96 years</v>
          </cell>
        </row>
        <row r="175">
          <cell r="F175">
            <v>0</v>
          </cell>
          <cell r="V175" t="str">
            <v>97 years</v>
          </cell>
        </row>
        <row r="176">
          <cell r="V176" t="str">
            <v>98 years</v>
          </cell>
        </row>
        <row r="177">
          <cell r="V177" t="str">
            <v>99 years</v>
          </cell>
        </row>
        <row r="178">
          <cell r="V178" t="str">
            <v>100 years</v>
          </cell>
        </row>
        <row r="225">
          <cell r="F225">
            <v>0.14396739401696546</v>
          </cell>
        </row>
        <row r="227">
          <cell r="F227">
            <v>0.14396739401697189</v>
          </cell>
        </row>
        <row r="276">
          <cell r="F276">
            <v>0</v>
          </cell>
        </row>
        <row r="278">
          <cell r="F278">
            <v>0</v>
          </cell>
        </row>
      </sheetData>
      <sheetData sheetId="12"/>
      <sheetData sheetId="13">
        <row r="12">
          <cell r="F12" t="str">
            <v>Residual</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hyperlink" Target="../Investment%20Project%203.xlsm" TargetMode="External"/><Relationship Id="rId2" Type="http://schemas.openxmlformats.org/officeDocument/2006/relationships/hyperlink" Target="../Investment%20Project%202.xlsm" TargetMode="External"/><Relationship Id="rId1" Type="http://schemas.openxmlformats.org/officeDocument/2006/relationships/hyperlink" Target="../Investment%20Project%201.xlsm" TargetMode="External"/><Relationship Id="rId4"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7.xml"/><Relationship Id="rId18" Type="http://schemas.openxmlformats.org/officeDocument/2006/relationships/ctrlProp" Target="../ctrlProps/ctrlProp12.xml"/><Relationship Id="rId26" Type="http://schemas.openxmlformats.org/officeDocument/2006/relationships/ctrlProp" Target="../ctrlProps/ctrlProp20.xml"/><Relationship Id="rId39" Type="http://schemas.openxmlformats.org/officeDocument/2006/relationships/ctrlProp" Target="../ctrlProps/ctrlProp33.xml"/><Relationship Id="rId3" Type="http://schemas.microsoft.com/office/2006/relationships/xlExternalLinkPath/xlPathMissing" Target="Book5" TargetMode="External"/><Relationship Id="rId21" Type="http://schemas.openxmlformats.org/officeDocument/2006/relationships/ctrlProp" Target="../ctrlProps/ctrlProp15.xml"/><Relationship Id="rId34" Type="http://schemas.openxmlformats.org/officeDocument/2006/relationships/ctrlProp" Target="../ctrlProps/ctrlProp28.xml"/><Relationship Id="rId42" Type="http://schemas.openxmlformats.org/officeDocument/2006/relationships/ctrlProp" Target="../ctrlProps/ctrlProp36.xml"/><Relationship Id="rId47" Type="http://schemas.openxmlformats.org/officeDocument/2006/relationships/ctrlProp" Target="../ctrlProps/ctrlProp41.xml"/><Relationship Id="rId50" Type="http://schemas.openxmlformats.org/officeDocument/2006/relationships/ctrlProp" Target="../ctrlProps/ctrlProp44.xml"/><Relationship Id="rId7" Type="http://schemas.openxmlformats.org/officeDocument/2006/relationships/ctrlProp" Target="../ctrlProps/ctrlProp1.xml"/><Relationship Id="rId12" Type="http://schemas.openxmlformats.org/officeDocument/2006/relationships/ctrlProp" Target="../ctrlProps/ctrlProp6.xml"/><Relationship Id="rId17" Type="http://schemas.openxmlformats.org/officeDocument/2006/relationships/ctrlProp" Target="../ctrlProps/ctrlProp11.xml"/><Relationship Id="rId25" Type="http://schemas.openxmlformats.org/officeDocument/2006/relationships/ctrlProp" Target="../ctrlProps/ctrlProp19.xml"/><Relationship Id="rId33" Type="http://schemas.openxmlformats.org/officeDocument/2006/relationships/ctrlProp" Target="../ctrlProps/ctrlProp27.xml"/><Relationship Id="rId38" Type="http://schemas.openxmlformats.org/officeDocument/2006/relationships/ctrlProp" Target="../ctrlProps/ctrlProp32.xml"/><Relationship Id="rId46" Type="http://schemas.openxmlformats.org/officeDocument/2006/relationships/ctrlProp" Target="../ctrlProps/ctrlProp40.xml"/><Relationship Id="rId2" Type="http://schemas.microsoft.com/office/2006/relationships/xlExternalLinkPath/xlPathMissing" Target="Book4" TargetMode="External"/><Relationship Id="rId16" Type="http://schemas.openxmlformats.org/officeDocument/2006/relationships/ctrlProp" Target="../ctrlProps/ctrlProp10.xml"/><Relationship Id="rId20" Type="http://schemas.openxmlformats.org/officeDocument/2006/relationships/ctrlProp" Target="../ctrlProps/ctrlProp14.xml"/><Relationship Id="rId29" Type="http://schemas.openxmlformats.org/officeDocument/2006/relationships/ctrlProp" Target="../ctrlProps/ctrlProp23.xml"/><Relationship Id="rId41" Type="http://schemas.openxmlformats.org/officeDocument/2006/relationships/ctrlProp" Target="../ctrlProps/ctrlProp35.xml"/><Relationship Id="rId1" Type="http://schemas.microsoft.com/office/2006/relationships/xlExternalLinkPath/xlPathMissing" Target="Book3" TargetMode="External"/><Relationship Id="rId6" Type="http://schemas.openxmlformats.org/officeDocument/2006/relationships/vmlDrawing" Target="../drawings/vmlDrawing1.vml"/><Relationship Id="rId11" Type="http://schemas.openxmlformats.org/officeDocument/2006/relationships/ctrlProp" Target="../ctrlProps/ctrlProp5.xml"/><Relationship Id="rId24" Type="http://schemas.openxmlformats.org/officeDocument/2006/relationships/ctrlProp" Target="../ctrlProps/ctrlProp18.xml"/><Relationship Id="rId32" Type="http://schemas.openxmlformats.org/officeDocument/2006/relationships/ctrlProp" Target="../ctrlProps/ctrlProp26.xml"/><Relationship Id="rId37" Type="http://schemas.openxmlformats.org/officeDocument/2006/relationships/ctrlProp" Target="../ctrlProps/ctrlProp31.xml"/><Relationship Id="rId40" Type="http://schemas.openxmlformats.org/officeDocument/2006/relationships/ctrlProp" Target="../ctrlProps/ctrlProp34.xml"/><Relationship Id="rId45" Type="http://schemas.openxmlformats.org/officeDocument/2006/relationships/ctrlProp" Target="../ctrlProps/ctrlProp39.xml"/><Relationship Id="rId5" Type="http://schemas.openxmlformats.org/officeDocument/2006/relationships/drawing" Target="../drawings/drawing2.xml"/><Relationship Id="rId15" Type="http://schemas.openxmlformats.org/officeDocument/2006/relationships/ctrlProp" Target="../ctrlProps/ctrlProp9.xml"/><Relationship Id="rId23" Type="http://schemas.openxmlformats.org/officeDocument/2006/relationships/ctrlProp" Target="../ctrlProps/ctrlProp17.xml"/><Relationship Id="rId28" Type="http://schemas.openxmlformats.org/officeDocument/2006/relationships/ctrlProp" Target="../ctrlProps/ctrlProp22.xml"/><Relationship Id="rId36" Type="http://schemas.openxmlformats.org/officeDocument/2006/relationships/ctrlProp" Target="../ctrlProps/ctrlProp30.xml"/><Relationship Id="rId49" Type="http://schemas.openxmlformats.org/officeDocument/2006/relationships/ctrlProp" Target="../ctrlProps/ctrlProp43.xml"/><Relationship Id="rId10" Type="http://schemas.openxmlformats.org/officeDocument/2006/relationships/ctrlProp" Target="../ctrlProps/ctrlProp4.xml"/><Relationship Id="rId19" Type="http://schemas.openxmlformats.org/officeDocument/2006/relationships/ctrlProp" Target="../ctrlProps/ctrlProp13.xml"/><Relationship Id="rId31" Type="http://schemas.openxmlformats.org/officeDocument/2006/relationships/ctrlProp" Target="../ctrlProps/ctrlProp25.xml"/><Relationship Id="rId44" Type="http://schemas.openxmlformats.org/officeDocument/2006/relationships/ctrlProp" Target="../ctrlProps/ctrlProp38.xml"/><Relationship Id="rId4" Type="http://schemas.openxmlformats.org/officeDocument/2006/relationships/printerSettings" Target="../printerSettings/printerSettings2.bin"/><Relationship Id="rId9" Type="http://schemas.openxmlformats.org/officeDocument/2006/relationships/ctrlProp" Target="../ctrlProps/ctrlProp3.xml"/><Relationship Id="rId14" Type="http://schemas.openxmlformats.org/officeDocument/2006/relationships/ctrlProp" Target="../ctrlProps/ctrlProp8.xml"/><Relationship Id="rId22" Type="http://schemas.openxmlformats.org/officeDocument/2006/relationships/ctrlProp" Target="../ctrlProps/ctrlProp16.xml"/><Relationship Id="rId27" Type="http://schemas.openxmlformats.org/officeDocument/2006/relationships/ctrlProp" Target="../ctrlProps/ctrlProp21.xml"/><Relationship Id="rId30" Type="http://schemas.openxmlformats.org/officeDocument/2006/relationships/ctrlProp" Target="../ctrlProps/ctrlProp24.xml"/><Relationship Id="rId35" Type="http://schemas.openxmlformats.org/officeDocument/2006/relationships/ctrlProp" Target="../ctrlProps/ctrlProp29.xml"/><Relationship Id="rId43" Type="http://schemas.openxmlformats.org/officeDocument/2006/relationships/ctrlProp" Target="../ctrlProps/ctrlProp37.xml"/><Relationship Id="rId48" Type="http://schemas.openxmlformats.org/officeDocument/2006/relationships/ctrlProp" Target="../ctrlProps/ctrlProp42.xml"/><Relationship Id="rId8" Type="http://schemas.openxmlformats.org/officeDocument/2006/relationships/ctrlProp" Target="../ctrlProps/ctrlProp2.xml"/><Relationship Id="rId51" Type="http://schemas.openxmlformats.org/officeDocument/2006/relationships/ctrlProp" Target="../ctrlProps/ctrlProp45.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46.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1.xml"/><Relationship Id="rId13" Type="http://schemas.openxmlformats.org/officeDocument/2006/relationships/ctrlProp" Target="../ctrlProps/ctrlProp56.xml"/><Relationship Id="rId18" Type="http://schemas.openxmlformats.org/officeDocument/2006/relationships/ctrlProp" Target="../ctrlProps/ctrlProp61.xml"/><Relationship Id="rId3" Type="http://schemas.openxmlformats.org/officeDocument/2006/relationships/vmlDrawing" Target="../drawings/vmlDrawing3.vml"/><Relationship Id="rId21" Type="http://schemas.openxmlformats.org/officeDocument/2006/relationships/ctrlProp" Target="../ctrlProps/ctrlProp64.xml"/><Relationship Id="rId7" Type="http://schemas.openxmlformats.org/officeDocument/2006/relationships/ctrlProp" Target="../ctrlProps/ctrlProp50.xml"/><Relationship Id="rId12" Type="http://schemas.openxmlformats.org/officeDocument/2006/relationships/ctrlProp" Target="../ctrlProps/ctrlProp55.xml"/><Relationship Id="rId17" Type="http://schemas.openxmlformats.org/officeDocument/2006/relationships/ctrlProp" Target="../ctrlProps/ctrlProp60.xml"/><Relationship Id="rId2" Type="http://schemas.openxmlformats.org/officeDocument/2006/relationships/drawing" Target="../drawings/drawing4.xml"/><Relationship Id="rId16" Type="http://schemas.openxmlformats.org/officeDocument/2006/relationships/ctrlProp" Target="../ctrlProps/ctrlProp59.xml"/><Relationship Id="rId20" Type="http://schemas.openxmlformats.org/officeDocument/2006/relationships/ctrlProp" Target="../ctrlProps/ctrlProp63.xml"/><Relationship Id="rId1" Type="http://schemas.openxmlformats.org/officeDocument/2006/relationships/printerSettings" Target="../printerSettings/printerSettings4.bin"/><Relationship Id="rId6" Type="http://schemas.openxmlformats.org/officeDocument/2006/relationships/ctrlProp" Target="../ctrlProps/ctrlProp49.xml"/><Relationship Id="rId11" Type="http://schemas.openxmlformats.org/officeDocument/2006/relationships/ctrlProp" Target="../ctrlProps/ctrlProp54.xml"/><Relationship Id="rId5" Type="http://schemas.openxmlformats.org/officeDocument/2006/relationships/ctrlProp" Target="../ctrlProps/ctrlProp48.xml"/><Relationship Id="rId15" Type="http://schemas.openxmlformats.org/officeDocument/2006/relationships/ctrlProp" Target="../ctrlProps/ctrlProp58.xml"/><Relationship Id="rId10" Type="http://schemas.openxmlformats.org/officeDocument/2006/relationships/ctrlProp" Target="../ctrlProps/ctrlProp53.xml"/><Relationship Id="rId19" Type="http://schemas.openxmlformats.org/officeDocument/2006/relationships/ctrlProp" Target="../ctrlProps/ctrlProp62.xml"/><Relationship Id="rId4" Type="http://schemas.openxmlformats.org/officeDocument/2006/relationships/ctrlProp" Target="../ctrlProps/ctrlProp47.xml"/><Relationship Id="rId9" Type="http://schemas.openxmlformats.org/officeDocument/2006/relationships/ctrlProp" Target="../ctrlProps/ctrlProp52.xml"/><Relationship Id="rId14" Type="http://schemas.openxmlformats.org/officeDocument/2006/relationships/ctrlProp" Target="../ctrlProps/ctrlProp57.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87.xml"/><Relationship Id="rId21" Type="http://schemas.openxmlformats.org/officeDocument/2006/relationships/ctrlProp" Target="../ctrlProps/ctrlProp82.xml"/><Relationship Id="rId42" Type="http://schemas.openxmlformats.org/officeDocument/2006/relationships/ctrlProp" Target="../ctrlProps/ctrlProp103.xml"/><Relationship Id="rId47" Type="http://schemas.openxmlformats.org/officeDocument/2006/relationships/ctrlProp" Target="../ctrlProps/ctrlProp108.xml"/><Relationship Id="rId63" Type="http://schemas.openxmlformats.org/officeDocument/2006/relationships/ctrlProp" Target="../ctrlProps/ctrlProp124.xml"/><Relationship Id="rId68" Type="http://schemas.openxmlformats.org/officeDocument/2006/relationships/ctrlProp" Target="../ctrlProps/ctrlProp129.xml"/><Relationship Id="rId84" Type="http://schemas.openxmlformats.org/officeDocument/2006/relationships/ctrlProp" Target="../ctrlProps/ctrlProp145.xml"/><Relationship Id="rId89" Type="http://schemas.openxmlformats.org/officeDocument/2006/relationships/ctrlProp" Target="../ctrlProps/ctrlProp150.xml"/><Relationship Id="rId2" Type="http://schemas.openxmlformats.org/officeDocument/2006/relationships/drawing" Target="../drawings/drawing5.xml"/><Relationship Id="rId16" Type="http://schemas.openxmlformats.org/officeDocument/2006/relationships/ctrlProp" Target="../ctrlProps/ctrlProp77.xml"/><Relationship Id="rId29" Type="http://schemas.openxmlformats.org/officeDocument/2006/relationships/ctrlProp" Target="../ctrlProps/ctrlProp90.xml"/><Relationship Id="rId107" Type="http://schemas.openxmlformats.org/officeDocument/2006/relationships/ctrlProp" Target="../ctrlProps/ctrlProp168.xml"/><Relationship Id="rId11" Type="http://schemas.openxmlformats.org/officeDocument/2006/relationships/ctrlProp" Target="../ctrlProps/ctrlProp72.xml"/><Relationship Id="rId24" Type="http://schemas.openxmlformats.org/officeDocument/2006/relationships/ctrlProp" Target="../ctrlProps/ctrlProp85.xml"/><Relationship Id="rId32" Type="http://schemas.openxmlformats.org/officeDocument/2006/relationships/ctrlProp" Target="../ctrlProps/ctrlProp93.xml"/><Relationship Id="rId37" Type="http://schemas.openxmlformats.org/officeDocument/2006/relationships/ctrlProp" Target="../ctrlProps/ctrlProp98.xml"/><Relationship Id="rId40" Type="http://schemas.openxmlformats.org/officeDocument/2006/relationships/ctrlProp" Target="../ctrlProps/ctrlProp101.xml"/><Relationship Id="rId45" Type="http://schemas.openxmlformats.org/officeDocument/2006/relationships/ctrlProp" Target="../ctrlProps/ctrlProp106.xml"/><Relationship Id="rId53" Type="http://schemas.openxmlformats.org/officeDocument/2006/relationships/ctrlProp" Target="../ctrlProps/ctrlProp114.xml"/><Relationship Id="rId58" Type="http://schemas.openxmlformats.org/officeDocument/2006/relationships/ctrlProp" Target="../ctrlProps/ctrlProp119.xml"/><Relationship Id="rId66" Type="http://schemas.openxmlformats.org/officeDocument/2006/relationships/ctrlProp" Target="../ctrlProps/ctrlProp127.xml"/><Relationship Id="rId74" Type="http://schemas.openxmlformats.org/officeDocument/2006/relationships/ctrlProp" Target="../ctrlProps/ctrlProp135.xml"/><Relationship Id="rId79" Type="http://schemas.openxmlformats.org/officeDocument/2006/relationships/ctrlProp" Target="../ctrlProps/ctrlProp140.xml"/><Relationship Id="rId87" Type="http://schemas.openxmlformats.org/officeDocument/2006/relationships/ctrlProp" Target="../ctrlProps/ctrlProp148.xml"/><Relationship Id="rId102" Type="http://schemas.openxmlformats.org/officeDocument/2006/relationships/ctrlProp" Target="../ctrlProps/ctrlProp163.xml"/><Relationship Id="rId5" Type="http://schemas.openxmlformats.org/officeDocument/2006/relationships/ctrlProp" Target="../ctrlProps/ctrlProp66.xml"/><Relationship Id="rId61" Type="http://schemas.openxmlformats.org/officeDocument/2006/relationships/ctrlProp" Target="../ctrlProps/ctrlProp122.xml"/><Relationship Id="rId82" Type="http://schemas.openxmlformats.org/officeDocument/2006/relationships/ctrlProp" Target="../ctrlProps/ctrlProp143.xml"/><Relationship Id="rId90" Type="http://schemas.openxmlformats.org/officeDocument/2006/relationships/ctrlProp" Target="../ctrlProps/ctrlProp151.xml"/><Relationship Id="rId95" Type="http://schemas.openxmlformats.org/officeDocument/2006/relationships/ctrlProp" Target="../ctrlProps/ctrlProp156.xml"/><Relationship Id="rId19" Type="http://schemas.openxmlformats.org/officeDocument/2006/relationships/ctrlProp" Target="../ctrlProps/ctrlProp80.xml"/><Relationship Id="rId14" Type="http://schemas.openxmlformats.org/officeDocument/2006/relationships/ctrlProp" Target="../ctrlProps/ctrlProp75.xml"/><Relationship Id="rId22" Type="http://schemas.openxmlformats.org/officeDocument/2006/relationships/ctrlProp" Target="../ctrlProps/ctrlProp83.xml"/><Relationship Id="rId27" Type="http://schemas.openxmlformats.org/officeDocument/2006/relationships/ctrlProp" Target="../ctrlProps/ctrlProp88.xml"/><Relationship Id="rId30" Type="http://schemas.openxmlformats.org/officeDocument/2006/relationships/ctrlProp" Target="../ctrlProps/ctrlProp91.xml"/><Relationship Id="rId35" Type="http://schemas.openxmlformats.org/officeDocument/2006/relationships/ctrlProp" Target="../ctrlProps/ctrlProp96.xml"/><Relationship Id="rId43" Type="http://schemas.openxmlformats.org/officeDocument/2006/relationships/ctrlProp" Target="../ctrlProps/ctrlProp104.xml"/><Relationship Id="rId48" Type="http://schemas.openxmlformats.org/officeDocument/2006/relationships/ctrlProp" Target="../ctrlProps/ctrlProp109.xml"/><Relationship Id="rId56" Type="http://schemas.openxmlformats.org/officeDocument/2006/relationships/ctrlProp" Target="../ctrlProps/ctrlProp117.xml"/><Relationship Id="rId64" Type="http://schemas.openxmlformats.org/officeDocument/2006/relationships/ctrlProp" Target="../ctrlProps/ctrlProp125.xml"/><Relationship Id="rId69" Type="http://schemas.openxmlformats.org/officeDocument/2006/relationships/ctrlProp" Target="../ctrlProps/ctrlProp130.xml"/><Relationship Id="rId77" Type="http://schemas.openxmlformats.org/officeDocument/2006/relationships/ctrlProp" Target="../ctrlProps/ctrlProp138.xml"/><Relationship Id="rId100" Type="http://schemas.openxmlformats.org/officeDocument/2006/relationships/ctrlProp" Target="../ctrlProps/ctrlProp161.xml"/><Relationship Id="rId105" Type="http://schemas.openxmlformats.org/officeDocument/2006/relationships/ctrlProp" Target="../ctrlProps/ctrlProp166.xml"/><Relationship Id="rId8" Type="http://schemas.openxmlformats.org/officeDocument/2006/relationships/ctrlProp" Target="../ctrlProps/ctrlProp69.xml"/><Relationship Id="rId51" Type="http://schemas.openxmlformats.org/officeDocument/2006/relationships/ctrlProp" Target="../ctrlProps/ctrlProp112.xml"/><Relationship Id="rId72" Type="http://schemas.openxmlformats.org/officeDocument/2006/relationships/ctrlProp" Target="../ctrlProps/ctrlProp133.xml"/><Relationship Id="rId80" Type="http://schemas.openxmlformats.org/officeDocument/2006/relationships/ctrlProp" Target="../ctrlProps/ctrlProp141.xml"/><Relationship Id="rId85" Type="http://schemas.openxmlformats.org/officeDocument/2006/relationships/ctrlProp" Target="../ctrlProps/ctrlProp146.xml"/><Relationship Id="rId93" Type="http://schemas.openxmlformats.org/officeDocument/2006/relationships/ctrlProp" Target="../ctrlProps/ctrlProp154.xml"/><Relationship Id="rId98" Type="http://schemas.openxmlformats.org/officeDocument/2006/relationships/ctrlProp" Target="../ctrlProps/ctrlProp159.xml"/><Relationship Id="rId3" Type="http://schemas.openxmlformats.org/officeDocument/2006/relationships/vmlDrawing" Target="../drawings/vmlDrawing4.vml"/><Relationship Id="rId12" Type="http://schemas.openxmlformats.org/officeDocument/2006/relationships/ctrlProp" Target="../ctrlProps/ctrlProp73.xml"/><Relationship Id="rId17" Type="http://schemas.openxmlformats.org/officeDocument/2006/relationships/ctrlProp" Target="../ctrlProps/ctrlProp78.xml"/><Relationship Id="rId25" Type="http://schemas.openxmlformats.org/officeDocument/2006/relationships/ctrlProp" Target="../ctrlProps/ctrlProp86.xml"/><Relationship Id="rId33" Type="http://schemas.openxmlformats.org/officeDocument/2006/relationships/ctrlProp" Target="../ctrlProps/ctrlProp94.xml"/><Relationship Id="rId38" Type="http://schemas.openxmlformats.org/officeDocument/2006/relationships/ctrlProp" Target="../ctrlProps/ctrlProp99.xml"/><Relationship Id="rId46" Type="http://schemas.openxmlformats.org/officeDocument/2006/relationships/ctrlProp" Target="../ctrlProps/ctrlProp107.xml"/><Relationship Id="rId59" Type="http://schemas.openxmlformats.org/officeDocument/2006/relationships/ctrlProp" Target="../ctrlProps/ctrlProp120.xml"/><Relationship Id="rId67" Type="http://schemas.openxmlformats.org/officeDocument/2006/relationships/ctrlProp" Target="../ctrlProps/ctrlProp128.xml"/><Relationship Id="rId103" Type="http://schemas.openxmlformats.org/officeDocument/2006/relationships/ctrlProp" Target="../ctrlProps/ctrlProp164.xml"/><Relationship Id="rId108" Type="http://schemas.openxmlformats.org/officeDocument/2006/relationships/ctrlProp" Target="../ctrlProps/ctrlProp169.xml"/><Relationship Id="rId20" Type="http://schemas.openxmlformats.org/officeDocument/2006/relationships/ctrlProp" Target="../ctrlProps/ctrlProp81.xml"/><Relationship Id="rId41" Type="http://schemas.openxmlformats.org/officeDocument/2006/relationships/ctrlProp" Target="../ctrlProps/ctrlProp102.xml"/><Relationship Id="rId54" Type="http://schemas.openxmlformats.org/officeDocument/2006/relationships/ctrlProp" Target="../ctrlProps/ctrlProp115.xml"/><Relationship Id="rId62" Type="http://schemas.openxmlformats.org/officeDocument/2006/relationships/ctrlProp" Target="../ctrlProps/ctrlProp123.xml"/><Relationship Id="rId70" Type="http://schemas.openxmlformats.org/officeDocument/2006/relationships/ctrlProp" Target="../ctrlProps/ctrlProp131.xml"/><Relationship Id="rId75" Type="http://schemas.openxmlformats.org/officeDocument/2006/relationships/ctrlProp" Target="../ctrlProps/ctrlProp136.xml"/><Relationship Id="rId83" Type="http://schemas.openxmlformats.org/officeDocument/2006/relationships/ctrlProp" Target="../ctrlProps/ctrlProp144.xml"/><Relationship Id="rId88" Type="http://schemas.openxmlformats.org/officeDocument/2006/relationships/ctrlProp" Target="../ctrlProps/ctrlProp149.xml"/><Relationship Id="rId91" Type="http://schemas.openxmlformats.org/officeDocument/2006/relationships/ctrlProp" Target="../ctrlProps/ctrlProp152.xml"/><Relationship Id="rId96" Type="http://schemas.openxmlformats.org/officeDocument/2006/relationships/ctrlProp" Target="../ctrlProps/ctrlProp157.xml"/><Relationship Id="rId1" Type="http://schemas.openxmlformats.org/officeDocument/2006/relationships/printerSettings" Target="../printerSettings/printerSettings5.bin"/><Relationship Id="rId6" Type="http://schemas.openxmlformats.org/officeDocument/2006/relationships/ctrlProp" Target="../ctrlProps/ctrlProp67.xml"/><Relationship Id="rId15" Type="http://schemas.openxmlformats.org/officeDocument/2006/relationships/ctrlProp" Target="../ctrlProps/ctrlProp76.xml"/><Relationship Id="rId23" Type="http://schemas.openxmlformats.org/officeDocument/2006/relationships/ctrlProp" Target="../ctrlProps/ctrlProp84.xml"/><Relationship Id="rId28" Type="http://schemas.openxmlformats.org/officeDocument/2006/relationships/ctrlProp" Target="../ctrlProps/ctrlProp89.xml"/><Relationship Id="rId36" Type="http://schemas.openxmlformats.org/officeDocument/2006/relationships/ctrlProp" Target="../ctrlProps/ctrlProp97.xml"/><Relationship Id="rId49" Type="http://schemas.openxmlformats.org/officeDocument/2006/relationships/ctrlProp" Target="../ctrlProps/ctrlProp110.xml"/><Relationship Id="rId57" Type="http://schemas.openxmlformats.org/officeDocument/2006/relationships/ctrlProp" Target="../ctrlProps/ctrlProp118.xml"/><Relationship Id="rId106" Type="http://schemas.openxmlformats.org/officeDocument/2006/relationships/ctrlProp" Target="../ctrlProps/ctrlProp167.xml"/><Relationship Id="rId10" Type="http://schemas.openxmlformats.org/officeDocument/2006/relationships/ctrlProp" Target="../ctrlProps/ctrlProp71.xml"/><Relationship Id="rId31" Type="http://schemas.openxmlformats.org/officeDocument/2006/relationships/ctrlProp" Target="../ctrlProps/ctrlProp92.xml"/><Relationship Id="rId44" Type="http://schemas.openxmlformats.org/officeDocument/2006/relationships/ctrlProp" Target="../ctrlProps/ctrlProp105.xml"/><Relationship Id="rId52" Type="http://schemas.openxmlformats.org/officeDocument/2006/relationships/ctrlProp" Target="../ctrlProps/ctrlProp113.xml"/><Relationship Id="rId60" Type="http://schemas.openxmlformats.org/officeDocument/2006/relationships/ctrlProp" Target="../ctrlProps/ctrlProp121.xml"/><Relationship Id="rId65" Type="http://schemas.openxmlformats.org/officeDocument/2006/relationships/ctrlProp" Target="../ctrlProps/ctrlProp126.xml"/><Relationship Id="rId73" Type="http://schemas.openxmlformats.org/officeDocument/2006/relationships/ctrlProp" Target="../ctrlProps/ctrlProp134.xml"/><Relationship Id="rId78" Type="http://schemas.openxmlformats.org/officeDocument/2006/relationships/ctrlProp" Target="../ctrlProps/ctrlProp139.xml"/><Relationship Id="rId81" Type="http://schemas.openxmlformats.org/officeDocument/2006/relationships/ctrlProp" Target="../ctrlProps/ctrlProp142.xml"/><Relationship Id="rId86" Type="http://schemas.openxmlformats.org/officeDocument/2006/relationships/ctrlProp" Target="../ctrlProps/ctrlProp147.xml"/><Relationship Id="rId94" Type="http://schemas.openxmlformats.org/officeDocument/2006/relationships/ctrlProp" Target="../ctrlProps/ctrlProp155.xml"/><Relationship Id="rId99" Type="http://schemas.openxmlformats.org/officeDocument/2006/relationships/ctrlProp" Target="../ctrlProps/ctrlProp160.xml"/><Relationship Id="rId101" Type="http://schemas.openxmlformats.org/officeDocument/2006/relationships/ctrlProp" Target="../ctrlProps/ctrlProp162.xml"/><Relationship Id="rId4" Type="http://schemas.openxmlformats.org/officeDocument/2006/relationships/ctrlProp" Target="../ctrlProps/ctrlProp65.xml"/><Relationship Id="rId9" Type="http://schemas.openxmlformats.org/officeDocument/2006/relationships/ctrlProp" Target="../ctrlProps/ctrlProp70.xml"/><Relationship Id="rId13" Type="http://schemas.openxmlformats.org/officeDocument/2006/relationships/ctrlProp" Target="../ctrlProps/ctrlProp74.xml"/><Relationship Id="rId18" Type="http://schemas.openxmlformats.org/officeDocument/2006/relationships/ctrlProp" Target="../ctrlProps/ctrlProp79.xml"/><Relationship Id="rId39" Type="http://schemas.openxmlformats.org/officeDocument/2006/relationships/ctrlProp" Target="../ctrlProps/ctrlProp100.xml"/><Relationship Id="rId109" Type="http://schemas.openxmlformats.org/officeDocument/2006/relationships/ctrlProp" Target="../ctrlProps/ctrlProp170.xml"/><Relationship Id="rId34" Type="http://schemas.openxmlformats.org/officeDocument/2006/relationships/ctrlProp" Target="../ctrlProps/ctrlProp95.xml"/><Relationship Id="rId50" Type="http://schemas.openxmlformats.org/officeDocument/2006/relationships/ctrlProp" Target="../ctrlProps/ctrlProp111.xml"/><Relationship Id="rId55" Type="http://schemas.openxmlformats.org/officeDocument/2006/relationships/ctrlProp" Target="../ctrlProps/ctrlProp116.xml"/><Relationship Id="rId76" Type="http://schemas.openxmlformats.org/officeDocument/2006/relationships/ctrlProp" Target="../ctrlProps/ctrlProp137.xml"/><Relationship Id="rId97" Type="http://schemas.openxmlformats.org/officeDocument/2006/relationships/ctrlProp" Target="../ctrlProps/ctrlProp158.xml"/><Relationship Id="rId104" Type="http://schemas.openxmlformats.org/officeDocument/2006/relationships/ctrlProp" Target="../ctrlProps/ctrlProp165.xml"/><Relationship Id="rId7" Type="http://schemas.openxmlformats.org/officeDocument/2006/relationships/ctrlProp" Target="../ctrlProps/ctrlProp68.xml"/><Relationship Id="rId71" Type="http://schemas.openxmlformats.org/officeDocument/2006/relationships/ctrlProp" Target="../ctrlProps/ctrlProp132.xml"/><Relationship Id="rId92" Type="http://schemas.openxmlformats.org/officeDocument/2006/relationships/ctrlProp" Target="../ctrlProps/ctrlProp153.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trlProp" Target="../ctrlProps/ctrlProp171.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trlProp" Target="../ctrlProps/ctrlProp172.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R71"/>
  <sheetViews>
    <sheetView showGridLines="0" showRowColHeaders="0" tabSelected="1" zoomScaleNormal="100" workbookViewId="0">
      <selection activeCell="D89" sqref="D89"/>
    </sheetView>
  </sheetViews>
  <sheetFormatPr defaultColWidth="9.1796875" defaultRowHeight="14.5" x14ac:dyDescent="0.35"/>
  <cols>
    <col min="1" max="1" width="6.7265625" style="213" customWidth="1"/>
    <col min="2" max="2" width="0.81640625" style="213" customWidth="1"/>
    <col min="3" max="3" width="2.7265625" style="213" customWidth="1"/>
    <col min="4" max="4" width="22.7265625" style="213" customWidth="1"/>
    <col min="5" max="10" width="12.7265625" style="213" customWidth="1"/>
    <col min="11" max="11" width="2.26953125" style="213" customWidth="1"/>
    <col min="12" max="12" width="0.81640625" style="213" customWidth="1"/>
    <col min="13" max="18" width="9.1796875" style="1225" hidden="1" customWidth="1"/>
    <col min="19" max="16384" width="9.1796875" style="213"/>
  </cols>
  <sheetData>
    <row r="1" spans="1:18" ht="5.15" customHeight="1" x14ac:dyDescent="0.35">
      <c r="A1" s="214" t="s">
        <v>0</v>
      </c>
      <c r="B1" s="215"/>
      <c r="C1" s="215"/>
      <c r="D1" s="215"/>
      <c r="E1" s="215"/>
      <c r="F1" s="215"/>
      <c r="G1" s="215"/>
      <c r="H1" s="215"/>
      <c r="I1" s="215"/>
      <c r="J1" s="215"/>
      <c r="K1" s="215"/>
      <c r="L1" s="215"/>
      <c r="M1" s="1222"/>
      <c r="N1" s="1222"/>
      <c r="O1" s="1222"/>
      <c r="P1" s="1222"/>
      <c r="Q1" s="1222"/>
      <c r="R1" s="1222"/>
    </row>
    <row r="2" spans="1:18" ht="5.15" customHeight="1" x14ac:dyDescent="0.35">
      <c r="A2" s="215"/>
      <c r="B2" s="199"/>
      <c r="C2" s="199"/>
      <c r="D2" s="199"/>
      <c r="E2" s="199"/>
      <c r="F2" s="199"/>
      <c r="G2" s="199"/>
      <c r="H2" s="199"/>
      <c r="I2" s="199"/>
      <c r="J2" s="199"/>
      <c r="K2" s="199"/>
      <c r="L2" s="199"/>
      <c r="M2" s="1222"/>
      <c r="N2" s="1222"/>
      <c r="O2" s="1222"/>
      <c r="P2" s="1222"/>
      <c r="Q2" s="1222"/>
      <c r="R2" s="1222"/>
    </row>
    <row r="3" spans="1:18" ht="15" customHeight="1" x14ac:dyDescent="0.35">
      <c r="A3" s="214" t="s">
        <v>1</v>
      </c>
      <c r="B3" s="199"/>
      <c r="C3" s="240" t="s">
        <v>2</v>
      </c>
      <c r="D3" s="241"/>
      <c r="E3" s="241"/>
      <c r="F3" s="241"/>
      <c r="G3" s="241"/>
      <c r="H3" s="241"/>
      <c r="I3" s="241"/>
      <c r="J3" s="241"/>
      <c r="K3" s="242"/>
      <c r="L3" s="199"/>
      <c r="M3" s="1222"/>
      <c r="N3" s="1222"/>
      <c r="O3" s="1222"/>
      <c r="P3" s="1222"/>
      <c r="Q3" s="1222"/>
      <c r="R3" s="1226">
        <v>1</v>
      </c>
    </row>
    <row r="4" spans="1:18" ht="9" customHeight="1" x14ac:dyDescent="0.35">
      <c r="A4" s="215"/>
      <c r="B4" s="199"/>
      <c r="C4" s="243"/>
      <c r="D4" s="244"/>
      <c r="E4" s="244"/>
      <c r="F4" s="244"/>
      <c r="G4" s="244"/>
      <c r="H4" s="244"/>
      <c r="I4" s="244"/>
      <c r="J4" s="244"/>
      <c r="K4" s="245"/>
      <c r="L4" s="199"/>
      <c r="M4" s="1222"/>
      <c r="N4" s="1222"/>
      <c r="O4" s="1222"/>
      <c r="P4" s="1222"/>
      <c r="Q4" s="1222"/>
      <c r="R4" s="1226">
        <v>1000</v>
      </c>
    </row>
    <row r="5" spans="1:18" ht="15" customHeight="1" x14ac:dyDescent="0.35">
      <c r="A5" s="215"/>
      <c r="B5" s="200" t="s">
        <v>3</v>
      </c>
      <c r="C5" s="246" t="s">
        <v>4</v>
      </c>
      <c r="D5" s="247"/>
      <c r="E5" s="229"/>
      <c r="F5" s="1467" t="s">
        <v>4878</v>
      </c>
      <c r="G5" s="1468"/>
      <c r="H5" s="1468"/>
      <c r="I5" s="1469"/>
      <c r="J5" s="248">
        <v>5</v>
      </c>
      <c r="K5" s="249"/>
      <c r="L5" s="202"/>
      <c r="M5" s="1222"/>
      <c r="N5" s="1223">
        <v>1</v>
      </c>
      <c r="O5" s="1223"/>
      <c r="P5" s="1223"/>
      <c r="Q5" s="1223"/>
      <c r="R5" s="1227">
        <v>1000000</v>
      </c>
    </row>
    <row r="6" spans="1:18" ht="7" customHeight="1" x14ac:dyDescent="0.35">
      <c r="A6" s="215"/>
      <c r="B6" s="200"/>
      <c r="C6" s="246"/>
      <c r="D6" s="247"/>
      <c r="E6" s="247"/>
      <c r="F6" s="247"/>
      <c r="G6" s="247"/>
      <c r="H6" s="247"/>
      <c r="I6" s="247"/>
      <c r="J6" s="248"/>
      <c r="K6" s="249"/>
      <c r="L6" s="202"/>
      <c r="M6" s="1222"/>
      <c r="N6" s="1223"/>
      <c r="O6" s="1223"/>
      <c r="P6" s="1223"/>
      <c r="Q6" s="1223"/>
      <c r="R6" s="1224"/>
    </row>
    <row r="7" spans="1:18" hidden="1" x14ac:dyDescent="0.35">
      <c r="A7" s="215"/>
      <c r="B7" s="200" t="s">
        <v>5</v>
      </c>
      <c r="C7" s="246" t="s">
        <v>6</v>
      </c>
      <c r="D7" s="247"/>
      <c r="E7" s="247"/>
      <c r="F7" s="297">
        <v>1</v>
      </c>
      <c r="G7" s="298">
        <v>2</v>
      </c>
      <c r="H7" s="298" t="s">
        <v>7</v>
      </c>
      <c r="I7" s="298"/>
      <c r="J7" s="248">
        <v>4</v>
      </c>
      <c r="K7" s="249"/>
      <c r="L7" s="202"/>
      <c r="M7" s="1222"/>
      <c r="N7" s="1223"/>
      <c r="O7" s="1223"/>
      <c r="P7" s="1223"/>
      <c r="Q7" s="1223"/>
      <c r="R7" s="1224"/>
    </row>
    <row r="8" spans="1:18" hidden="1" x14ac:dyDescent="0.35">
      <c r="A8" s="215"/>
      <c r="B8" s="200"/>
      <c r="C8" s="246" t="s">
        <v>8</v>
      </c>
      <c r="D8" s="247"/>
      <c r="E8" s="247"/>
      <c r="F8" s="250"/>
      <c r="G8" s="250"/>
      <c r="H8" s="298"/>
      <c r="I8" s="298"/>
      <c r="J8" s="248"/>
      <c r="K8" s="249"/>
      <c r="L8" s="202"/>
      <c r="M8" s="1222"/>
      <c r="N8" s="1223"/>
      <c r="O8" s="1223"/>
      <c r="P8" s="1223"/>
      <c r="Q8" s="1223"/>
      <c r="R8" s="1224"/>
    </row>
    <row r="9" spans="1:18" ht="14.15" customHeight="1" x14ac:dyDescent="0.35">
      <c r="A9" s="215"/>
      <c r="B9" s="200" t="s">
        <v>9</v>
      </c>
      <c r="C9" s="263" t="s">
        <v>10</v>
      </c>
      <c r="D9" s="229"/>
      <c r="E9" s="229"/>
      <c r="F9" s="1408" t="str">
        <f>IF(J9&lt;&gt;0,J9&amp;" "&amp;IF(Language&lt;&gt;7,IF(J9=1,$B$5,$B$9),IF(AND(RIGHT(J9,1)="1",ABS(J9)&lt;&gt;11),"год",IF(AND(OR(RIGHT(J9,1)="2",RIGHT(J9,1)="3",RIGHT(J9,1)="4"),OR(ABS(J9)&lt;5,ABS(J9)&gt;20)),"года","лет"))),"")&amp;IF(AND(J9&lt;&gt;0,J10&lt;&gt;0)," +","")</f>
        <v>5 years +</v>
      </c>
      <c r="G9" s="299" t="str">
        <f>IF(K9&lt;&gt;0,K9&amp;" "&amp;IF(Language&lt;&gt;7,IF(K9=1,$B$5,$B$9),IF(AND(RIGHT(K9,1)="1",ABS(K9)&lt;&gt;11),"год",IF(AND(OR(RIGHT(K9,1)="2",RIGHT(K9,1)="3",RIGHT(K9,1)="4"),OR(ABS(K9)&lt;5,ABS(K9)&gt;20)),"года","лет"))),"")&amp;IF(AND(K9&lt;&gt;0,K10&lt;&gt;0)," +","")</f>
        <v/>
      </c>
      <c r="H9" s="300" t="str">
        <f>IF(L9&lt;&gt;0,L9&amp;" "&amp;IF(Language&lt;&gt;7,IF(L9=1,$B$5,$B$9),IF(AND(RIGHT(L9,1)="1",ABS(L9)&lt;&gt;11),"год",IF(AND(OR(RIGHT(L9,1)="2",RIGHT(L9,1)="3",RIGHT(L9,1)="4"),OR(ABS(L9)&lt;5,ABS(L9)&gt;20)),"года","лет"))),"")&amp;IF(L10&lt;&gt;0," +","")</f>
        <v>5 years +</v>
      </c>
      <c r="I9" s="300"/>
      <c r="J9" s="248">
        <f>INT((InvTime*12+InvTimeMonths)/12)</f>
        <v>5</v>
      </c>
      <c r="K9" s="249">
        <f>INT((InvTime2*12+InvTimeMonths2)/12)</f>
        <v>0</v>
      </c>
      <c r="L9" s="202">
        <f>INT((InvTime*12+InvTimeMonths+InvTime2*12+InvTimeMonths2)/12)</f>
        <v>5</v>
      </c>
      <c r="M9" s="1222"/>
      <c r="N9" s="1223"/>
      <c r="O9" s="1223"/>
      <c r="P9" s="1223"/>
      <c r="Q9" s="1223"/>
      <c r="R9" s="1224"/>
    </row>
    <row r="10" spans="1:18" x14ac:dyDescent="0.35">
      <c r="A10" s="215"/>
      <c r="B10" s="200" t="s">
        <v>11</v>
      </c>
      <c r="C10" s="263" t="s">
        <v>12</v>
      </c>
      <c r="D10" s="229"/>
      <c r="E10" s="230"/>
      <c r="F10" s="301" t="str">
        <f>IF(J10&lt;&gt;0,J10&amp;" "&amp;IF(Language&lt;&gt;7,IF(J10=1,$B$7,$B$10),IF(AND(RIGHT(J10,1)="1",ABS(J10)&lt;&gt;11),"месяц",IF(AND(OR(RIGHT(J10,1)="2",RIGHT(J10,1)="3",RIGHT(J10,1)="4"),OR(ABS(J10)&lt;5,ABS(J10)&gt;20)),"месяца","месяцев"))),"")</f>
        <v>4 months</v>
      </c>
      <c r="G10" s="299" t="str">
        <f>IF(K10&lt;&gt;0,K10&amp;" "&amp;IF(Language&lt;&gt;7,IF(K10=1,$B$7,$B$10),IF(AND(RIGHT(K10,1)="1",ABS(K10)&lt;&gt;11),"месяц",IF(AND(OR(RIGHT(K10,1)="2",RIGHT(K10,1)="3",RIGHT(K10,1)="4"),OR(ABS(K10)&lt;5,ABS(K10)&gt;20)),"месяца","месяцев"))),"")</f>
        <v/>
      </c>
      <c r="H10" s="300" t="str">
        <f>IF(L10&lt;&gt;0,L10&amp;" "&amp;IF(Language&lt;&gt;7,IF(L10=1,$B$7,$B$10),IF(AND(RIGHT(L10,1)="1",ABS(L10)&lt;&gt;11),"месяц",IF(AND(OR(RIGHT(L10,1)="2",RIGHT(L10,1)="3",RIGHT(L10,1)="4"),OR(ABS(L10)&lt;5,ABS(L10)&gt;20)),"месяца","месяцев"))),"")</f>
        <v>4 months</v>
      </c>
      <c r="I10" s="300"/>
      <c r="J10" s="248">
        <f>InvTime*12+InvTimeMonths-J9*12</f>
        <v>4</v>
      </c>
      <c r="K10" s="249">
        <f>InvTime2*12+InvTimeMonths2-K9*12</f>
        <v>0</v>
      </c>
      <c r="L10" s="202">
        <f>InvTime*12+InvTimeMonths+InvTime2*12+InvTimeMonths2-L9*12</f>
        <v>4</v>
      </c>
      <c r="M10" s="1222"/>
      <c r="N10" s="1223"/>
      <c r="O10" s="1223"/>
      <c r="P10" s="1223"/>
      <c r="Q10" s="1223"/>
      <c r="R10" s="1224"/>
    </row>
    <row r="11" spans="1:18" ht="7" customHeight="1" x14ac:dyDescent="0.35">
      <c r="A11" s="215"/>
      <c r="B11" s="201"/>
      <c r="C11" s="246"/>
      <c r="D11" s="251"/>
      <c r="E11" s="230"/>
      <c r="F11" s="271"/>
      <c r="G11" s="302"/>
      <c r="H11" s="302"/>
      <c r="I11" s="302"/>
      <c r="J11" s="248"/>
      <c r="K11" s="249"/>
      <c r="L11" s="202"/>
      <c r="M11" s="1222"/>
      <c r="N11" s="1223"/>
      <c r="O11" s="1223"/>
      <c r="P11" s="1223"/>
      <c r="Q11" s="1223"/>
      <c r="R11" s="1224"/>
    </row>
    <row r="12" spans="1:18" ht="14.15" customHeight="1" x14ac:dyDescent="0.35">
      <c r="A12" s="215"/>
      <c r="B12" s="201"/>
      <c r="C12" s="246" t="s">
        <v>13</v>
      </c>
      <c r="D12" s="247"/>
      <c r="E12" s="247"/>
      <c r="F12" s="253">
        <v>12</v>
      </c>
      <c r="G12" s="254"/>
      <c r="H12" s="255"/>
      <c r="I12" s="255"/>
      <c r="J12" s="248"/>
      <c r="K12" s="308"/>
      <c r="L12" s="202"/>
      <c r="M12" s="1222"/>
      <c r="N12" s="1223"/>
      <c r="O12" s="1223"/>
      <c r="P12" s="1223"/>
      <c r="Q12" s="1223"/>
      <c r="R12" s="1224"/>
    </row>
    <row r="13" spans="1:18" ht="14.15" customHeight="1" x14ac:dyDescent="0.35">
      <c r="A13" s="215"/>
      <c r="B13" s="201"/>
      <c r="C13" s="246" t="s">
        <v>14</v>
      </c>
      <c r="D13" s="229"/>
      <c r="E13" s="229"/>
      <c r="F13" s="256">
        <v>6</v>
      </c>
      <c r="G13" s="257"/>
      <c r="H13" s="258">
        <f>F13+G13</f>
        <v>6</v>
      </c>
      <c r="I13" s="258"/>
      <c r="J13" s="248">
        <v>0</v>
      </c>
      <c r="K13" s="249"/>
      <c r="L13" s="202"/>
      <c r="M13" s="1222"/>
      <c r="N13" s="1223"/>
      <c r="O13" s="1223"/>
      <c r="P13" s="1223"/>
      <c r="Q13" s="1223"/>
      <c r="R13" s="1224"/>
    </row>
    <row r="14" spans="1:18" ht="4" customHeight="1" x14ac:dyDescent="0.35">
      <c r="A14" s="215"/>
      <c r="B14" s="201"/>
      <c r="C14" s="246"/>
      <c r="D14" s="229"/>
      <c r="E14" s="229"/>
      <c r="F14" s="259"/>
      <c r="G14" s="259"/>
      <c r="H14" s="260"/>
      <c r="I14" s="260"/>
      <c r="J14" s="261"/>
      <c r="K14" s="262"/>
      <c r="L14" s="199"/>
      <c r="M14" s="1222"/>
      <c r="N14" s="1222"/>
      <c r="O14" s="1222"/>
      <c r="P14" s="1222"/>
      <c r="Q14" s="1222"/>
      <c r="R14" s="1222"/>
    </row>
    <row r="15" spans="1:18" ht="12.75" customHeight="1" x14ac:dyDescent="0.35">
      <c r="A15" s="215"/>
      <c r="B15" s="201"/>
      <c r="C15" s="246"/>
      <c r="D15" s="229"/>
      <c r="E15" s="229"/>
      <c r="F15" s="304" t="s">
        <v>15</v>
      </c>
      <c r="G15" s="259"/>
      <c r="H15" s="260"/>
      <c r="I15" s="260"/>
      <c r="J15" s="261"/>
      <c r="K15" s="262"/>
      <c r="L15" s="199"/>
      <c r="M15" s="1222"/>
      <c r="N15" s="1222"/>
      <c r="O15" s="1222"/>
      <c r="P15" s="1222"/>
      <c r="Q15" s="1222"/>
      <c r="R15" s="1222"/>
    </row>
    <row r="16" spans="1:18" ht="14.15" customHeight="1" x14ac:dyDescent="0.35">
      <c r="A16" s="216">
        <v>1</v>
      </c>
      <c r="B16" s="201"/>
      <c r="C16" s="263" t="s">
        <v>16</v>
      </c>
      <c r="D16" s="247"/>
      <c r="E16" s="247"/>
      <c r="F16" s="253" t="str">
        <f>IF(AND(InvMonth&gt;0,InvYear&gt;0),TEXT(InvMonth,"00")&amp;"/"&amp;TEXT(InvYear,"0000"),"")</f>
        <v>09/2019</v>
      </c>
      <c r="G16" s="305" t="str">
        <f>IF(BeginEnd=0,"(in the beginning of period)","(in the end of period)")</f>
        <v>(in the beginning of period)</v>
      </c>
      <c r="H16" s="234"/>
      <c r="I16" s="234"/>
      <c r="J16" s="234"/>
      <c r="K16" s="309"/>
      <c r="L16" s="199"/>
      <c r="M16" s="1222"/>
      <c r="N16" s="1222"/>
      <c r="O16" s="1222"/>
      <c r="P16" s="1222"/>
      <c r="Q16" s="1222"/>
      <c r="R16" s="1222"/>
    </row>
    <row r="17" spans="1:18" ht="14.15" customHeight="1" x14ac:dyDescent="0.35">
      <c r="A17" s="217">
        <v>385</v>
      </c>
      <c r="B17" s="201"/>
      <c r="C17" s="263" t="s">
        <v>17</v>
      </c>
      <c r="D17" s="247"/>
      <c r="E17" s="247"/>
      <c r="F17" s="253" t="str">
        <f ca="1">IF(InvTimeEnds&lt;&gt;"",IF(LEN(OFFSET(Calculations!$G$11,0,CalcPoint))&lt;7,"0","")&amp;OFFSET(Calculations!$G$11,0,CalcPoint),"")</f>
        <v>09/2019</v>
      </c>
      <c r="G17" s="305" t="str">
        <f>IF(CalcPoint=0,"(in the beginning of period)","(in the end of period)")</f>
        <v>(in the beginning of period)</v>
      </c>
      <c r="H17" s="234"/>
      <c r="I17" s="234"/>
      <c r="J17" s="234"/>
      <c r="K17" s="309"/>
      <c r="L17" s="199"/>
      <c r="M17" s="1222"/>
      <c r="N17" s="1222"/>
      <c r="O17" s="1222"/>
      <c r="P17" s="1222"/>
      <c r="Q17" s="1222"/>
      <c r="R17" s="1222"/>
    </row>
    <row r="18" spans="1:18" ht="14.15" customHeight="1" x14ac:dyDescent="0.35">
      <c r="A18" s="215"/>
      <c r="B18" s="201"/>
      <c r="C18" s="263" t="s">
        <v>18</v>
      </c>
      <c r="D18" s="247"/>
      <c r="E18" s="247"/>
      <c r="F18" s="253" t="str">
        <f>IF(AND(LastMonth&gt;0,LastYear&gt;0),TEXT(LastMonth,"00")&amp;"/"&amp;TEXT(LastYear,"0000"),"")</f>
        <v>12/2024</v>
      </c>
      <c r="G18" s="305" t="s">
        <v>19</v>
      </c>
      <c r="H18" s="234"/>
      <c r="I18" s="234"/>
      <c r="J18" s="234"/>
      <c r="K18" s="309"/>
      <c r="L18" s="199"/>
      <c r="M18" s="1222"/>
      <c r="N18" s="1222"/>
      <c r="O18" s="1222"/>
      <c r="P18" s="1222"/>
      <c r="Q18" s="1222"/>
      <c r="R18" s="1222"/>
    </row>
    <row r="19" spans="1:18" ht="7" customHeight="1" x14ac:dyDescent="0.35">
      <c r="A19" s="215"/>
      <c r="B19" s="201"/>
      <c r="C19" s="265"/>
      <c r="D19" s="247"/>
      <c r="E19" s="247"/>
      <c r="F19" s="259"/>
      <c r="G19" s="259"/>
      <c r="H19" s="234"/>
      <c r="I19" s="234"/>
      <c r="J19" s="234"/>
      <c r="K19" s="309"/>
      <c r="L19" s="199"/>
      <c r="M19" s="1222"/>
      <c r="N19" s="1222"/>
      <c r="O19" s="1222"/>
      <c r="P19" s="1222"/>
      <c r="Q19" s="1222"/>
      <c r="R19" s="1222"/>
    </row>
    <row r="20" spans="1:18" ht="14.15" customHeight="1" x14ac:dyDescent="0.35">
      <c r="A20" s="215"/>
      <c r="B20" s="201"/>
      <c r="C20" s="246" t="s">
        <v>20</v>
      </c>
      <c r="D20" s="247"/>
      <c r="E20" s="247"/>
      <c r="F20" s="266">
        <v>1</v>
      </c>
      <c r="G20" s="259"/>
      <c r="H20" s="234"/>
      <c r="I20" s="234"/>
      <c r="J20" s="234"/>
      <c r="K20" s="309"/>
      <c r="L20" s="199"/>
      <c r="M20" s="1222"/>
      <c r="N20" s="1222"/>
      <c r="O20" s="1222"/>
      <c r="P20" s="1222"/>
      <c r="Q20" s="1222"/>
      <c r="R20" s="1222"/>
    </row>
    <row r="21" spans="1:18" ht="14.15" customHeight="1" x14ac:dyDescent="0.35">
      <c r="A21" s="215"/>
      <c r="B21" s="201"/>
      <c r="C21" s="246" t="s">
        <v>21</v>
      </c>
      <c r="D21" s="229"/>
      <c r="E21" s="229"/>
      <c r="F21" s="1389" t="s">
        <v>5987</v>
      </c>
      <c r="G21" s="259"/>
      <c r="H21" s="259"/>
      <c r="I21" s="259"/>
      <c r="J21" s="261"/>
      <c r="K21" s="262"/>
      <c r="L21" s="199"/>
      <c r="M21" s="1222"/>
      <c r="N21" s="1222"/>
      <c r="O21" s="1222"/>
      <c r="P21" s="1222"/>
      <c r="Q21" s="1222"/>
      <c r="R21" s="1222"/>
    </row>
    <row r="22" spans="1:18" ht="7" customHeight="1" x14ac:dyDescent="0.35">
      <c r="A22" s="215"/>
      <c r="B22" s="201"/>
      <c r="C22" s="246"/>
      <c r="D22" s="234"/>
      <c r="E22" s="229"/>
      <c r="F22" s="234"/>
      <c r="G22" s="268"/>
      <c r="H22" s="234"/>
      <c r="I22" s="234"/>
      <c r="J22" s="259"/>
      <c r="K22" s="269"/>
      <c r="L22" s="199"/>
      <c r="M22" s="1222"/>
      <c r="N22" s="1222"/>
      <c r="O22" s="1222"/>
      <c r="P22" s="1222"/>
      <c r="Q22" s="1222"/>
      <c r="R22" s="1222"/>
    </row>
    <row r="23" spans="1:18" ht="14.15" customHeight="1" x14ac:dyDescent="0.35">
      <c r="A23" s="215"/>
      <c r="B23" s="201"/>
      <c r="C23" s="246" t="s">
        <v>22</v>
      </c>
      <c r="D23" s="229"/>
      <c r="E23" s="229"/>
      <c r="F23" s="270">
        <v>2.75</v>
      </c>
      <c r="G23" s="306" t="s">
        <v>23</v>
      </c>
      <c r="H23" s="229"/>
      <c r="I23" s="229"/>
      <c r="J23" s="1238" t="str">
        <f>IF(VariableRate=1,SpecsTxt!$B$22&amp;" ","")&amp;IF(MYDisc,MidyearTxt,"")</f>
        <v/>
      </c>
      <c r="K23" s="269"/>
      <c r="L23" s="199"/>
      <c r="M23" s="1222"/>
      <c r="N23" s="1222"/>
      <c r="O23" s="1222"/>
      <c r="P23" s="1222"/>
      <c r="Q23" s="1222"/>
      <c r="R23" s="1222"/>
    </row>
    <row r="24" spans="1:18" hidden="1" x14ac:dyDescent="0.35">
      <c r="A24" s="215"/>
      <c r="B24" s="201" t="s">
        <v>24</v>
      </c>
      <c r="C24" s="246" t="s">
        <v>25</v>
      </c>
      <c r="D24" s="247"/>
      <c r="E24" s="247"/>
      <c r="F24" s="272">
        <f>IF(Period&gt;0,(1+DiscYear/100)^(1/(12/Period))-1,"")</f>
        <v>2.750000000000008E-2</v>
      </c>
      <c r="G24" s="273" t="str">
        <f>IF(Period2&gt;0,(1+DiscYear/100)^(1/(12/Period2))-1,"")</f>
        <v/>
      </c>
      <c r="H24" s="274" t="str">
        <f>IF(DiscYear&lt;&gt;0," ( = "&amp;FIXED(F25*100,2)&amp;"% "&amp;IF(Language&lt;&gt;4,LOWER($B$24),$B$24)&amp;" )","")</f>
        <v xml:space="preserve"> ( = 0.23% per month )</v>
      </c>
      <c r="I24" s="274"/>
      <c r="J24" s="271"/>
      <c r="K24" s="269"/>
      <c r="L24" s="199"/>
      <c r="M24" s="1222"/>
      <c r="N24" s="1222"/>
      <c r="O24" s="1222"/>
      <c r="P24" s="1222"/>
      <c r="Q24" s="1222"/>
      <c r="R24" s="1222"/>
    </row>
    <row r="25" spans="1:18" hidden="1" x14ac:dyDescent="0.35">
      <c r="A25" s="215"/>
      <c r="B25" s="199"/>
      <c r="C25" s="246"/>
      <c r="D25" s="247"/>
      <c r="E25" s="247"/>
      <c r="F25" s="275">
        <f>(1+DiscYear/100)^(1/12)-1</f>
        <v>2.2632796417700884E-3</v>
      </c>
      <c r="G25" s="276"/>
      <c r="H25" s="271"/>
      <c r="I25" s="271"/>
      <c r="J25" s="277"/>
      <c r="K25" s="269"/>
      <c r="L25" s="199"/>
      <c r="M25" s="1222"/>
      <c r="N25" s="1222"/>
      <c r="O25" s="1222"/>
      <c r="P25" s="1222"/>
      <c r="Q25" s="1222"/>
      <c r="R25" s="1222"/>
    </row>
    <row r="26" spans="1:18" hidden="1" x14ac:dyDescent="0.35">
      <c r="A26" s="215"/>
      <c r="B26" s="199"/>
      <c r="C26" s="246" t="s">
        <v>26</v>
      </c>
      <c r="D26" s="247"/>
      <c r="E26" s="247"/>
      <c r="F26" s="270">
        <v>0</v>
      </c>
      <c r="G26" s="306" t="s">
        <v>27</v>
      </c>
      <c r="H26" s="271"/>
      <c r="I26" s="271"/>
      <c r="J26" s="277"/>
      <c r="K26" s="269"/>
      <c r="L26" s="199"/>
      <c r="M26" s="1222"/>
      <c r="N26" s="1222"/>
      <c r="O26" s="1222"/>
      <c r="P26" s="1222"/>
      <c r="Q26" s="1222"/>
      <c r="R26" s="1222"/>
    </row>
    <row r="27" spans="1:18" hidden="1" x14ac:dyDescent="0.35">
      <c r="A27" s="215"/>
      <c r="B27" s="199"/>
      <c r="C27" s="246" t="s">
        <v>25</v>
      </c>
      <c r="D27" s="247"/>
      <c r="E27" s="247"/>
      <c r="F27" s="272">
        <f>IF(Period&gt;0,(1+DiscYearEquity/100)^(1/(12/Period))-1,"")</f>
        <v>0</v>
      </c>
      <c r="G27" s="273" t="str">
        <f>IF(Period2&gt;0,(1+DiscYearEquity/100)^(1/(12/Period2))-1,"")</f>
        <v/>
      </c>
      <c r="H27" s="271"/>
      <c r="I27" s="271"/>
      <c r="J27" s="277"/>
      <c r="K27" s="269"/>
      <c r="L27" s="199"/>
      <c r="M27" s="1222"/>
      <c r="N27" s="1222"/>
      <c r="O27" s="1222"/>
      <c r="P27" s="1222"/>
      <c r="Q27" s="1222"/>
      <c r="R27" s="1222"/>
    </row>
    <row r="28" spans="1:18" ht="7" customHeight="1" x14ac:dyDescent="0.35">
      <c r="A28" s="215"/>
      <c r="B28" s="199"/>
      <c r="C28" s="246"/>
      <c r="D28" s="247"/>
      <c r="E28" s="247"/>
      <c r="F28" s="278">
        <f>(1+DiscYearEquity/100)^(1/12)-1</f>
        <v>0</v>
      </c>
      <c r="G28" s="276"/>
      <c r="H28" s="234"/>
      <c r="I28" s="234"/>
      <c r="J28" s="277"/>
      <c r="K28" s="269"/>
      <c r="L28" s="199"/>
      <c r="M28" s="1222"/>
      <c r="N28" s="1222"/>
      <c r="O28" s="1222"/>
      <c r="P28" s="1222"/>
      <c r="Q28" s="1222"/>
      <c r="R28" s="1222"/>
    </row>
    <row r="29" spans="1:18" ht="12.75" customHeight="1" x14ac:dyDescent="0.35">
      <c r="A29" s="215"/>
      <c r="B29" s="199"/>
      <c r="C29" s="263"/>
      <c r="D29" s="229"/>
      <c r="E29" s="229"/>
      <c r="F29" s="304">
        <f>InvYear</f>
        <v>2019</v>
      </c>
      <c r="G29" s="304">
        <f>F29+1</f>
        <v>2020</v>
      </c>
      <c r="H29" s="304">
        <f>G29+1</f>
        <v>2021</v>
      </c>
      <c r="I29" s="304">
        <f>H29+1</f>
        <v>2022</v>
      </c>
      <c r="J29" s="307">
        <f>I29+1</f>
        <v>2023</v>
      </c>
      <c r="K29" s="269"/>
      <c r="L29" s="199"/>
      <c r="M29" s="1222"/>
      <c r="N29" s="1222"/>
      <c r="O29" s="1222"/>
      <c r="P29" s="1222"/>
      <c r="Q29" s="1222"/>
      <c r="R29" s="1222"/>
    </row>
    <row r="30" spans="1:18" ht="14.15" customHeight="1" x14ac:dyDescent="0.35">
      <c r="A30" s="215"/>
      <c r="B30" s="199"/>
      <c r="C30" s="246" t="s">
        <v>28</v>
      </c>
      <c r="D30" s="229"/>
      <c r="E30" s="279"/>
      <c r="F30" s="267">
        <v>28</v>
      </c>
      <c r="G30" s="267">
        <v>28</v>
      </c>
      <c r="H30" s="267">
        <v>28</v>
      </c>
      <c r="I30" s="280">
        <v>28</v>
      </c>
      <c r="J30" s="267">
        <v>28</v>
      </c>
      <c r="K30" s="269"/>
      <c r="L30" s="199"/>
      <c r="M30" s="1222"/>
      <c r="N30" s="1222"/>
      <c r="O30" s="1222"/>
      <c r="P30" s="1222"/>
      <c r="Q30" s="1222"/>
      <c r="R30" s="1222"/>
    </row>
    <row r="31" spans="1:18" ht="9" customHeight="1" x14ac:dyDescent="0.35">
      <c r="A31" s="215"/>
      <c r="B31" s="199"/>
      <c r="C31" s="281"/>
      <c r="D31" s="303"/>
      <c r="E31" s="282"/>
      <c r="F31" s="283">
        <f ca="1">OFFSET(F31,-1,0)</f>
        <v>28</v>
      </c>
      <c r="G31" s="283">
        <f ca="1">OFFSET(G31,-1,0)</f>
        <v>28</v>
      </c>
      <c r="H31" s="283">
        <f ca="1">OFFSET(H31,-1,0)</f>
        <v>28</v>
      </c>
      <c r="I31" s="283">
        <f ca="1">OFFSET(I31,-1,0)</f>
        <v>28</v>
      </c>
      <c r="J31" s="283">
        <f ca="1">OFFSET(J31,-1,0)</f>
        <v>28</v>
      </c>
      <c r="K31" s="284"/>
      <c r="L31" s="199"/>
      <c r="M31" s="1222"/>
      <c r="N31" s="1222"/>
      <c r="O31" s="1222"/>
      <c r="P31" s="1222"/>
      <c r="Q31" s="1222"/>
      <c r="R31" s="1222"/>
    </row>
    <row r="32" spans="1:18" ht="6" customHeight="1" x14ac:dyDescent="0.35">
      <c r="A32" s="215"/>
      <c r="B32" s="199"/>
      <c r="C32" s="203"/>
      <c r="D32" s="204"/>
      <c r="E32" s="197"/>
      <c r="F32" s="198"/>
      <c r="G32" s="198"/>
      <c r="H32" s="198"/>
      <c r="I32" s="198"/>
      <c r="J32" s="198"/>
      <c r="K32" s="198"/>
      <c r="L32" s="199"/>
      <c r="M32" s="1222"/>
      <c r="N32" s="1222"/>
      <c r="O32" s="1222"/>
      <c r="P32" s="1222"/>
      <c r="Q32" s="1222"/>
      <c r="R32" s="1222"/>
    </row>
    <row r="33" spans="1:18" ht="8.15" customHeight="1" x14ac:dyDescent="0.35">
      <c r="A33" s="215"/>
      <c r="B33" s="199"/>
      <c r="C33" s="196"/>
      <c r="D33" s="196"/>
      <c r="E33" s="196"/>
      <c r="F33" s="196"/>
      <c r="G33" s="196"/>
      <c r="H33" s="196"/>
      <c r="I33" s="196"/>
      <c r="J33" s="196"/>
      <c r="K33" s="196"/>
      <c r="L33" s="199"/>
      <c r="M33" s="1222"/>
      <c r="N33" s="1222"/>
      <c r="O33" s="1222"/>
      <c r="P33" s="1222"/>
      <c r="Q33" s="1222"/>
      <c r="R33" s="1222"/>
    </row>
    <row r="34" spans="1:18" hidden="1" x14ac:dyDescent="0.35">
      <c r="A34" s="215"/>
      <c r="B34" s="199"/>
      <c r="C34" s="196"/>
      <c r="D34" s="196"/>
      <c r="E34" s="196"/>
      <c r="F34" s="205">
        <v>9</v>
      </c>
      <c r="G34" s="205">
        <v>2019</v>
      </c>
      <c r="H34" s="205" t="str">
        <f>IF(AND(FinMonth&gt;0,FinYear&gt;0),TEXT(FinMonth,"00")&amp;"/"&amp;TEXT(FinYear,"0000"),"")</f>
        <v>12/2019</v>
      </c>
      <c r="I34" s="205"/>
      <c r="J34" s="196"/>
      <c r="K34" s="196"/>
      <c r="L34" s="199"/>
      <c r="M34" s="1222"/>
      <c r="N34" s="1222"/>
      <c r="O34" s="1222"/>
      <c r="P34" s="1222"/>
      <c r="Q34" s="1222"/>
      <c r="R34" s="1222"/>
    </row>
    <row r="35" spans="1:18" hidden="1" x14ac:dyDescent="0.35">
      <c r="A35" s="215"/>
      <c r="B35" s="199"/>
      <c r="C35" s="196"/>
      <c r="D35" s="196"/>
      <c r="E35" s="196"/>
      <c r="F35" s="205"/>
      <c r="G35" s="206"/>
      <c r="H35" s="207" t="str">
        <f>IF(AND(OperMonth&gt;0,OperYear&gt;0),TEXT(OperMonth,"00")&amp;"/"&amp;TEXT(OperYear,"0000"),"")</f>
        <v/>
      </c>
      <c r="I35" s="207"/>
      <c r="J35" s="196"/>
      <c r="K35" s="196"/>
      <c r="L35" s="199"/>
      <c r="M35" s="1222"/>
      <c r="N35" s="1222"/>
      <c r="O35" s="1222"/>
      <c r="P35" s="1222"/>
      <c r="Q35" s="1222"/>
      <c r="R35" s="1222"/>
    </row>
    <row r="36" spans="1:18" hidden="1" x14ac:dyDescent="0.35">
      <c r="A36" s="215"/>
      <c r="B36" s="199"/>
      <c r="C36" s="196"/>
      <c r="D36" s="196"/>
      <c r="E36" s="196"/>
      <c r="F36" s="206">
        <v>12</v>
      </c>
      <c r="G36" s="206">
        <v>2019</v>
      </c>
      <c r="H36" s="208"/>
      <c r="I36" s="208"/>
      <c r="J36" s="196"/>
      <c r="K36" s="196"/>
      <c r="L36" s="199"/>
      <c r="M36" s="1222"/>
      <c r="N36" s="1222"/>
      <c r="O36" s="1222"/>
      <c r="P36" s="1222"/>
      <c r="Q36" s="1222"/>
      <c r="R36" s="1222"/>
    </row>
    <row r="37" spans="1:18" hidden="1" x14ac:dyDescent="0.35">
      <c r="A37" s="215"/>
      <c r="B37" s="199"/>
      <c r="C37" s="196"/>
      <c r="D37" s="196"/>
      <c r="E37" s="196"/>
      <c r="F37" s="205">
        <v>12</v>
      </c>
      <c r="G37" s="205">
        <v>2024</v>
      </c>
      <c r="H37" s="196"/>
      <c r="I37" s="196"/>
      <c r="J37" s="196"/>
      <c r="K37" s="196"/>
      <c r="L37" s="199"/>
      <c r="M37" s="1222"/>
      <c r="N37" s="1222"/>
      <c r="O37" s="1222"/>
      <c r="P37" s="1222"/>
      <c r="Q37" s="1222"/>
      <c r="R37" s="1222"/>
    </row>
    <row r="38" spans="1:18" hidden="1" x14ac:dyDescent="0.35">
      <c r="A38" s="215"/>
      <c r="B38" s="199"/>
      <c r="C38" s="196"/>
      <c r="D38" s="196"/>
      <c r="E38" s="196"/>
      <c r="F38" s="196"/>
      <c r="G38" s="196"/>
      <c r="H38" s="196"/>
      <c r="I38" s="196"/>
      <c r="J38" s="196"/>
      <c r="K38" s="196"/>
      <c r="L38" s="199"/>
      <c r="M38" s="1222"/>
      <c r="N38" s="1222"/>
      <c r="O38" s="1222"/>
      <c r="P38" s="1222"/>
      <c r="Q38" s="1222"/>
      <c r="R38" s="1222"/>
    </row>
    <row r="39" spans="1:18" hidden="1" x14ac:dyDescent="0.35">
      <c r="A39" s="215"/>
      <c r="B39" s="199"/>
      <c r="C39" s="196"/>
      <c r="D39" s="196"/>
      <c r="E39" s="196"/>
      <c r="F39" s="196"/>
      <c r="G39" s="196"/>
      <c r="H39" s="196"/>
      <c r="I39" s="196"/>
      <c r="J39" s="196"/>
      <c r="K39" s="196"/>
      <c r="L39" s="199"/>
      <c r="M39" s="1222"/>
      <c r="N39" s="1222"/>
      <c r="O39" s="1222"/>
      <c r="P39" s="1222"/>
      <c r="Q39" s="1222"/>
      <c r="R39" s="1222"/>
    </row>
    <row r="40" spans="1:18" hidden="1" x14ac:dyDescent="0.35">
      <c r="A40" s="215"/>
      <c r="B40" s="199"/>
      <c r="C40" s="196"/>
      <c r="D40" s="196"/>
      <c r="E40" s="196"/>
      <c r="F40" s="196"/>
      <c r="G40" s="196"/>
      <c r="H40" s="196"/>
      <c r="I40" s="196"/>
      <c r="J40" s="196"/>
      <c r="K40" s="196"/>
      <c r="L40" s="199"/>
      <c r="M40" s="1222"/>
      <c r="N40" s="1222"/>
      <c r="O40" s="1222"/>
      <c r="P40" s="1222"/>
      <c r="Q40" s="1222"/>
      <c r="R40" s="1222"/>
    </row>
    <row r="41" spans="1:18" hidden="1" x14ac:dyDescent="0.35">
      <c r="A41" s="215"/>
      <c r="B41" s="199"/>
      <c r="C41" s="196"/>
      <c r="D41" s="196"/>
      <c r="E41" s="196"/>
      <c r="F41" s="196"/>
      <c r="G41" s="196"/>
      <c r="H41" s="196"/>
      <c r="I41" s="196"/>
      <c r="J41" s="196"/>
      <c r="K41" s="196"/>
      <c r="L41" s="199"/>
      <c r="M41" s="1222"/>
      <c r="N41" s="1222"/>
      <c r="O41" s="1222"/>
      <c r="P41" s="1222"/>
      <c r="Q41" s="1222"/>
      <c r="R41" s="1222"/>
    </row>
    <row r="42" spans="1:18" hidden="1" x14ac:dyDescent="0.35">
      <c r="A42" s="215"/>
      <c r="B42" s="199"/>
      <c r="C42" s="196"/>
      <c r="D42" s="196"/>
      <c r="E42" s="196"/>
      <c r="F42" s="196"/>
      <c r="G42" s="196"/>
      <c r="H42" s="196"/>
      <c r="I42" s="196"/>
      <c r="J42" s="196"/>
      <c r="K42" s="196"/>
      <c r="L42" s="199"/>
      <c r="M42" s="1222"/>
      <c r="N42" s="1222"/>
      <c r="O42" s="1222"/>
      <c r="P42" s="1222"/>
      <c r="Q42" s="1222"/>
      <c r="R42" s="1222"/>
    </row>
    <row r="43" spans="1:18" hidden="1" x14ac:dyDescent="0.35">
      <c r="A43" s="215"/>
      <c r="B43" s="199"/>
      <c r="C43" s="196"/>
      <c r="D43" s="196"/>
      <c r="E43" s="196"/>
      <c r="F43" s="196"/>
      <c r="G43" s="196"/>
      <c r="H43" s="196"/>
      <c r="I43" s="196"/>
      <c r="J43" s="196"/>
      <c r="K43" s="196"/>
      <c r="L43" s="199"/>
      <c r="M43" s="1222"/>
      <c r="N43" s="1222"/>
      <c r="O43" s="1222"/>
      <c r="P43" s="1222"/>
      <c r="Q43" s="1222"/>
      <c r="R43" s="1222"/>
    </row>
    <row r="44" spans="1:18" ht="5.15" customHeight="1" x14ac:dyDescent="0.35">
      <c r="A44" s="214" t="s">
        <v>29</v>
      </c>
      <c r="B44" s="199"/>
      <c r="C44" s="196"/>
      <c r="D44" s="196"/>
      <c r="E44" s="196"/>
      <c r="F44" s="196"/>
      <c r="G44" s="196"/>
      <c r="H44" s="196"/>
      <c r="I44" s="196"/>
      <c r="J44" s="196"/>
      <c r="K44" s="196"/>
      <c r="L44" s="199"/>
      <c r="M44" s="1222"/>
      <c r="N44" s="1222"/>
      <c r="O44" s="1222"/>
      <c r="P44" s="1222"/>
      <c r="Q44" s="1222"/>
      <c r="R44" s="1222"/>
    </row>
    <row r="45" spans="1:18" ht="15" customHeight="1" x14ac:dyDescent="0.35">
      <c r="A45" s="214" t="s">
        <v>29</v>
      </c>
      <c r="B45" s="199"/>
      <c r="C45" s="240" t="s">
        <v>30</v>
      </c>
      <c r="D45" s="241"/>
      <c r="E45" s="241"/>
      <c r="F45" s="241"/>
      <c r="G45" s="241"/>
      <c r="H45" s="241"/>
      <c r="I45" s="241"/>
      <c r="J45" s="241"/>
      <c r="K45" s="242"/>
      <c r="L45" s="199"/>
      <c r="M45" s="1222"/>
      <c r="N45" s="1222"/>
      <c r="O45" s="1222"/>
      <c r="P45" s="1222"/>
      <c r="Q45" s="1222"/>
      <c r="R45" s="1222"/>
    </row>
    <row r="46" spans="1:18" ht="9" customHeight="1" x14ac:dyDescent="0.35">
      <c r="A46" s="215"/>
      <c r="B46" s="199"/>
      <c r="C46" s="286"/>
      <c r="D46" s="287"/>
      <c r="E46" s="287"/>
      <c r="F46" s="287"/>
      <c r="G46" s="287"/>
      <c r="H46" s="287"/>
      <c r="I46" s="287"/>
      <c r="J46" s="287"/>
      <c r="K46" s="288"/>
      <c r="L46" s="199"/>
      <c r="M46" s="1222"/>
      <c r="N46" s="1222"/>
      <c r="O46" s="1222"/>
      <c r="P46" s="1222"/>
      <c r="Q46" s="1222"/>
      <c r="R46" s="1222"/>
    </row>
    <row r="47" spans="1:18" ht="12.75" customHeight="1" x14ac:dyDescent="0.35">
      <c r="A47" s="215"/>
      <c r="B47" s="199"/>
      <c r="C47" s="246" t="s">
        <v>4</v>
      </c>
      <c r="D47" s="247"/>
      <c r="E47" s="290" t="str">
        <f>IF(Investment&lt;&gt;0,Investment,"")</f>
        <v>Consolidated</v>
      </c>
      <c r="F47" s="238"/>
      <c r="G47" s="232"/>
      <c r="H47" s="232"/>
      <c r="I47" s="311"/>
      <c r="J47" s="312" t="str">
        <f>"Calculation term: "&amp;FIXED((InvTime+InvTimeMonths/12+InvTime2+InvTimeMonths2/12),1)&amp;" years"</f>
        <v>Calculation term: 5.3 years</v>
      </c>
      <c r="K47" s="291"/>
      <c r="L47" s="199"/>
      <c r="M47" s="1222"/>
      <c r="N47" s="1222"/>
      <c r="O47" s="1222"/>
      <c r="P47" s="1222"/>
      <c r="Q47" s="1222"/>
      <c r="R47" s="1222"/>
    </row>
    <row r="48" spans="1:18" ht="12.75" customHeight="1" x14ac:dyDescent="0.35">
      <c r="A48" s="215"/>
      <c r="B48" s="199"/>
      <c r="C48" s="246"/>
      <c r="D48" s="247"/>
      <c r="E48" s="239"/>
      <c r="F48" s="292"/>
      <c r="G48" s="232"/>
      <c r="H48" s="232"/>
      <c r="I48" s="313" t="str">
        <f>InvMonth&amp;"/"&amp;InvYear&amp;" -"</f>
        <v>9/2019 -</v>
      </c>
      <c r="J48" s="236" t="str">
        <f>LastMonth&amp;"/"&amp;LastYear</f>
        <v>12/2024</v>
      </c>
      <c r="K48" s="291"/>
      <c r="L48" s="199"/>
      <c r="M48" s="1222"/>
      <c r="N48" s="1222"/>
      <c r="O48" s="1222"/>
      <c r="P48" s="1222"/>
      <c r="Q48" s="1222"/>
      <c r="R48" s="1222"/>
    </row>
    <row r="49" spans="1:18" ht="12.75" customHeight="1" x14ac:dyDescent="0.35">
      <c r="A49" s="215"/>
      <c r="B49" s="199"/>
      <c r="C49" s="263"/>
      <c r="D49" s="229"/>
      <c r="E49" s="238"/>
      <c r="F49" s="238"/>
      <c r="G49" s="238"/>
      <c r="H49" s="238"/>
      <c r="I49" s="238"/>
      <c r="J49" s="238"/>
      <c r="K49" s="291"/>
      <c r="L49" s="199"/>
      <c r="M49" s="1222"/>
      <c r="N49" s="1222"/>
      <c r="O49" s="1222"/>
      <c r="P49" s="1222"/>
      <c r="Q49" s="1222"/>
      <c r="R49" s="1222"/>
    </row>
    <row r="50" spans="1:18" ht="12.75" customHeight="1" x14ac:dyDescent="0.35">
      <c r="A50" s="215"/>
      <c r="B50" s="199"/>
      <c r="C50" s="246" t="s">
        <v>31</v>
      </c>
      <c r="D50" s="247"/>
      <c r="E50" s="1470" t="s">
        <v>6365</v>
      </c>
      <c r="F50" s="1471"/>
      <c r="G50" s="1471"/>
      <c r="H50" s="1471"/>
      <c r="I50" s="1471"/>
      <c r="J50" s="1472"/>
      <c r="K50" s="291"/>
      <c r="L50" s="199"/>
      <c r="M50" s="1222"/>
      <c r="N50" s="1222"/>
      <c r="O50" s="1222"/>
      <c r="P50" s="1222"/>
      <c r="Q50" s="1222"/>
      <c r="R50" s="1222"/>
    </row>
    <row r="51" spans="1:18" ht="12.75" customHeight="1" x14ac:dyDescent="0.35">
      <c r="A51" s="215"/>
      <c r="B51" s="199"/>
      <c r="C51" s="246" t="s">
        <v>32</v>
      </c>
      <c r="D51" s="247"/>
      <c r="E51" s="1473" t="s">
        <v>6366</v>
      </c>
      <c r="F51" s="1474"/>
      <c r="G51" s="1474"/>
      <c r="H51" s="1474"/>
      <c r="I51" s="1474"/>
      <c r="J51" s="1475"/>
      <c r="K51" s="291"/>
      <c r="L51" s="199"/>
      <c r="M51" s="1222"/>
      <c r="N51" s="1222"/>
      <c r="O51" s="1222"/>
      <c r="P51" s="1222"/>
      <c r="Q51" s="1222"/>
      <c r="R51" s="1222"/>
    </row>
    <row r="52" spans="1:18" ht="12.75" customHeight="1" x14ac:dyDescent="0.35">
      <c r="A52" s="215"/>
      <c r="B52" s="199"/>
      <c r="C52" s="246"/>
      <c r="D52" s="247"/>
      <c r="E52" s="1460" t="s">
        <v>6367</v>
      </c>
      <c r="F52" s="1461"/>
      <c r="G52" s="1461"/>
      <c r="H52" s="1461"/>
      <c r="I52" s="1461"/>
      <c r="J52" s="1462"/>
      <c r="K52" s="291"/>
      <c r="L52" s="199"/>
      <c r="M52" s="1222"/>
      <c r="N52" s="1222"/>
      <c r="O52" s="1222"/>
      <c r="P52" s="1222"/>
      <c r="Q52" s="1222"/>
      <c r="R52" s="1222"/>
    </row>
    <row r="53" spans="1:18" ht="12.75" customHeight="1" x14ac:dyDescent="0.35">
      <c r="A53" s="215"/>
      <c r="B53" s="199"/>
      <c r="C53" s="246"/>
      <c r="D53" s="247"/>
      <c r="E53" s="1460" t="s">
        <v>6368</v>
      </c>
      <c r="F53" s="1461"/>
      <c r="G53" s="1461"/>
      <c r="H53" s="1461"/>
      <c r="I53" s="1461"/>
      <c r="J53" s="1462"/>
      <c r="K53" s="291"/>
      <c r="L53" s="199"/>
      <c r="M53" s="1222"/>
      <c r="N53" s="1222"/>
      <c r="O53" s="1222"/>
      <c r="P53" s="1222"/>
      <c r="Q53" s="1222"/>
      <c r="R53" s="1222"/>
    </row>
    <row r="54" spans="1:18" ht="12.75" customHeight="1" x14ac:dyDescent="0.35">
      <c r="A54" s="215"/>
      <c r="B54" s="199"/>
      <c r="C54" s="246"/>
      <c r="D54" s="247"/>
      <c r="E54" s="1460"/>
      <c r="F54" s="1461"/>
      <c r="G54" s="1461"/>
      <c r="H54" s="1461"/>
      <c r="I54" s="1461"/>
      <c r="J54" s="1462"/>
      <c r="K54" s="291"/>
      <c r="L54" s="199"/>
      <c r="M54" s="1222"/>
      <c r="N54" s="1222"/>
      <c r="O54" s="1222"/>
      <c r="P54" s="1222"/>
      <c r="Q54" s="1222"/>
      <c r="R54" s="1222"/>
    </row>
    <row r="55" spans="1:18" ht="12.75" customHeight="1" x14ac:dyDescent="0.35">
      <c r="A55" s="215"/>
      <c r="B55" s="199"/>
      <c r="C55" s="246"/>
      <c r="D55" s="247"/>
      <c r="E55" s="1464"/>
      <c r="F55" s="1465"/>
      <c r="G55" s="1465"/>
      <c r="H55" s="1465"/>
      <c r="I55" s="1465"/>
      <c r="J55" s="1466"/>
      <c r="K55" s="291"/>
      <c r="L55" s="199"/>
      <c r="M55" s="1222"/>
      <c r="N55" s="1222"/>
      <c r="O55" s="1222"/>
      <c r="P55" s="1222"/>
      <c r="Q55" s="1222"/>
      <c r="R55" s="1222"/>
    </row>
    <row r="56" spans="1:18" ht="12.75" customHeight="1" x14ac:dyDescent="0.35">
      <c r="A56" s="215"/>
      <c r="B56" s="199"/>
      <c r="C56" s="246" t="s">
        <v>33</v>
      </c>
      <c r="D56" s="247"/>
      <c r="E56" s="315">
        <v>43510</v>
      </c>
      <c r="F56" s="289"/>
      <c r="G56" s="289"/>
      <c r="H56" s="289"/>
      <c r="I56" s="289"/>
      <c r="J56" s="289"/>
      <c r="K56" s="291"/>
      <c r="L56" s="199"/>
      <c r="M56" s="1222"/>
      <c r="N56" s="1222"/>
      <c r="O56" s="1222"/>
      <c r="P56" s="1222"/>
      <c r="Q56" s="1222"/>
      <c r="R56" s="1222"/>
    </row>
    <row r="57" spans="1:18" ht="9" customHeight="1" x14ac:dyDescent="0.35">
      <c r="A57" s="215"/>
      <c r="B57" s="199"/>
      <c r="C57" s="263"/>
      <c r="D57" s="229"/>
      <c r="E57" s="238"/>
      <c r="F57" s="293"/>
      <c r="G57" s="293"/>
      <c r="H57" s="289"/>
      <c r="I57" s="289"/>
      <c r="J57" s="289"/>
      <c r="K57" s="291"/>
      <c r="L57" s="199"/>
      <c r="M57" s="1222"/>
      <c r="N57" s="1222"/>
      <c r="O57" s="1222"/>
      <c r="P57" s="1222"/>
      <c r="Q57" s="1222"/>
      <c r="R57" s="1222"/>
    </row>
    <row r="58" spans="1:18" ht="12.75" customHeight="1" x14ac:dyDescent="0.35">
      <c r="A58" s="215"/>
      <c r="B58" s="199"/>
      <c r="C58" s="246" t="s">
        <v>34</v>
      </c>
      <c r="D58" s="247"/>
      <c r="E58" s="1476" t="s">
        <v>6369</v>
      </c>
      <c r="F58" s="1474"/>
      <c r="G58" s="1474"/>
      <c r="H58" s="1474"/>
      <c r="I58" s="1474"/>
      <c r="J58" s="1475"/>
      <c r="K58" s="291"/>
      <c r="L58" s="199"/>
      <c r="M58" s="1222"/>
      <c r="N58" s="1222"/>
      <c r="O58" s="1222"/>
      <c r="P58" s="1222"/>
      <c r="Q58" s="1222"/>
      <c r="R58" s="1222"/>
    </row>
    <row r="59" spans="1:18" ht="12.75" customHeight="1" x14ac:dyDescent="0.35">
      <c r="A59" s="215"/>
      <c r="B59" s="199"/>
      <c r="C59" s="265"/>
      <c r="D59" s="247"/>
      <c r="E59" s="1460"/>
      <c r="F59" s="1461"/>
      <c r="G59" s="1461"/>
      <c r="H59" s="1461"/>
      <c r="I59" s="1461"/>
      <c r="J59" s="1462"/>
      <c r="K59" s="291"/>
      <c r="L59" s="199"/>
      <c r="M59" s="1222"/>
      <c r="N59" s="1222"/>
      <c r="O59" s="1222"/>
      <c r="P59" s="1222"/>
      <c r="Q59" s="1222"/>
      <c r="R59" s="1222"/>
    </row>
    <row r="60" spans="1:18" ht="12.75" customHeight="1" x14ac:dyDescent="0.35">
      <c r="A60" s="215"/>
      <c r="B60" s="199"/>
      <c r="C60" s="265"/>
      <c r="D60" s="247"/>
      <c r="E60" s="1460"/>
      <c r="F60" s="1461"/>
      <c r="G60" s="1461"/>
      <c r="H60" s="1461"/>
      <c r="I60" s="1461"/>
      <c r="J60" s="1462"/>
      <c r="K60" s="291"/>
      <c r="L60" s="199"/>
      <c r="M60" s="1222"/>
      <c r="N60" s="1222"/>
      <c r="O60" s="1222"/>
      <c r="P60" s="1222"/>
      <c r="Q60" s="1222"/>
      <c r="R60" s="1222"/>
    </row>
    <row r="61" spans="1:18" ht="12.75" customHeight="1" x14ac:dyDescent="0.35">
      <c r="A61" s="215"/>
      <c r="B61" s="199"/>
      <c r="C61" s="265"/>
      <c r="D61" s="247"/>
      <c r="E61" s="1460"/>
      <c r="F61" s="1461"/>
      <c r="G61" s="1461"/>
      <c r="H61" s="1461"/>
      <c r="I61" s="1461"/>
      <c r="J61" s="1462"/>
      <c r="K61" s="291"/>
      <c r="L61" s="199"/>
      <c r="M61" s="1222"/>
      <c r="N61" s="1222"/>
      <c r="O61" s="1222"/>
      <c r="P61" s="1222"/>
      <c r="Q61" s="1222"/>
      <c r="R61" s="1222"/>
    </row>
    <row r="62" spans="1:18" ht="12.75" customHeight="1" x14ac:dyDescent="0.35">
      <c r="A62" s="215"/>
      <c r="B62" s="199"/>
      <c r="C62" s="265"/>
      <c r="D62" s="247"/>
      <c r="E62" s="1460"/>
      <c r="F62" s="1461"/>
      <c r="G62" s="1461"/>
      <c r="H62" s="1461"/>
      <c r="I62" s="1461"/>
      <c r="J62" s="1462"/>
      <c r="K62" s="291"/>
      <c r="L62" s="199"/>
      <c r="M62" s="1222"/>
      <c r="N62" s="1222"/>
      <c r="O62" s="1222"/>
      <c r="P62" s="1222"/>
      <c r="Q62" s="1222"/>
      <c r="R62" s="1222"/>
    </row>
    <row r="63" spans="1:18" ht="12.75" customHeight="1" x14ac:dyDescent="0.35">
      <c r="A63" s="215"/>
      <c r="B63" s="199"/>
      <c r="C63" s="265"/>
      <c r="D63" s="247"/>
      <c r="E63" s="1460"/>
      <c r="F63" s="1461"/>
      <c r="G63" s="1461"/>
      <c r="H63" s="1461"/>
      <c r="I63" s="1461"/>
      <c r="J63" s="1462"/>
      <c r="K63" s="291"/>
      <c r="L63" s="199"/>
      <c r="M63" s="1222"/>
      <c r="N63" s="1222"/>
      <c r="O63" s="1222"/>
      <c r="P63" s="1222"/>
      <c r="Q63" s="1222"/>
      <c r="R63" s="1222"/>
    </row>
    <row r="64" spans="1:18" ht="12.75" customHeight="1" x14ac:dyDescent="0.35">
      <c r="A64" s="215"/>
      <c r="B64" s="199"/>
      <c r="C64" s="265"/>
      <c r="D64" s="247"/>
      <c r="E64" s="1460"/>
      <c r="F64" s="1461"/>
      <c r="G64" s="1461"/>
      <c r="H64" s="1461"/>
      <c r="I64" s="1461"/>
      <c r="J64" s="1462"/>
      <c r="K64" s="291"/>
      <c r="L64" s="199"/>
      <c r="M64" s="1222"/>
      <c r="N64" s="1222"/>
      <c r="O64" s="1222"/>
      <c r="P64" s="1222"/>
      <c r="Q64" s="1222"/>
      <c r="R64" s="1222"/>
    </row>
    <row r="65" spans="1:18" ht="12.75" customHeight="1" x14ac:dyDescent="0.35">
      <c r="A65" s="215"/>
      <c r="B65" s="199"/>
      <c r="C65" s="265"/>
      <c r="D65" s="247"/>
      <c r="E65" s="1460"/>
      <c r="F65" s="1461"/>
      <c r="G65" s="1461"/>
      <c r="H65" s="1461"/>
      <c r="I65" s="1461"/>
      <c r="J65" s="1462"/>
      <c r="K65" s="291"/>
      <c r="L65" s="199"/>
      <c r="M65" s="1222"/>
      <c r="N65" s="1222"/>
      <c r="O65" s="1222"/>
      <c r="P65" s="1222"/>
      <c r="Q65" s="1222"/>
      <c r="R65" s="1222"/>
    </row>
    <row r="66" spans="1:18" ht="12.75" customHeight="1" x14ac:dyDescent="0.35">
      <c r="A66" s="215"/>
      <c r="B66" s="199"/>
      <c r="C66" s="265"/>
      <c r="D66" s="247"/>
      <c r="E66" s="1460"/>
      <c r="F66" s="1461"/>
      <c r="G66" s="1461"/>
      <c r="H66" s="1461"/>
      <c r="I66" s="1461"/>
      <c r="J66" s="1462"/>
      <c r="K66" s="291"/>
      <c r="L66" s="199"/>
      <c r="M66" s="1222"/>
      <c r="N66" s="1222"/>
      <c r="O66" s="1222"/>
      <c r="P66" s="1222"/>
      <c r="Q66" s="1222"/>
      <c r="R66" s="1222"/>
    </row>
    <row r="67" spans="1:18" ht="12.75" customHeight="1" x14ac:dyDescent="0.35">
      <c r="A67" s="215"/>
      <c r="B67" s="199"/>
      <c r="C67" s="265"/>
      <c r="D67" s="247"/>
      <c r="E67" s="1464"/>
      <c r="F67" s="1465"/>
      <c r="G67" s="1465"/>
      <c r="H67" s="1465"/>
      <c r="I67" s="1465"/>
      <c r="J67" s="1466"/>
      <c r="K67" s="291"/>
      <c r="L67" s="199"/>
      <c r="M67" s="1222"/>
      <c r="N67" s="1222"/>
      <c r="O67" s="1222"/>
      <c r="P67" s="1222"/>
      <c r="Q67" s="1222"/>
      <c r="R67" s="1222"/>
    </row>
    <row r="68" spans="1:18" ht="6" customHeight="1" x14ac:dyDescent="0.35">
      <c r="A68" s="215"/>
      <c r="B68" s="199"/>
      <c r="C68" s="263"/>
      <c r="D68" s="229"/>
      <c r="E68" s="294" t="str">
        <f ca="1">LEFT(SUBSTITUTE(CELL("filename",$A$1),"[",""),SEARCH("]",SUBSTITUTE(CELL("filename",$A$1),"[",""),1)-1)</f>
        <v>C:\Users\irinak\Desktop\New folder\Consolidation file.xlsx</v>
      </c>
      <c r="F68" s="238"/>
      <c r="G68" s="238"/>
      <c r="H68" s="238"/>
      <c r="I68" s="238"/>
      <c r="J68" s="238"/>
      <c r="K68" s="291"/>
      <c r="L68" s="199"/>
      <c r="M68" s="1222"/>
      <c r="N68" s="1222"/>
      <c r="O68" s="1222"/>
      <c r="P68" s="1222"/>
      <c r="Q68" s="1222"/>
      <c r="R68" s="1222"/>
    </row>
    <row r="69" spans="1:18" ht="12.75" customHeight="1" x14ac:dyDescent="0.35">
      <c r="A69" s="215"/>
      <c r="B69" s="199"/>
      <c r="C69" s="263" t="s">
        <v>35</v>
      </c>
      <c r="D69" s="229"/>
      <c r="E69" s="1463" t="str">
        <f ca="1">IF(NOT(ISERROR(E68)),E68,"")</f>
        <v>C:\Users\irinak\Desktop\New folder\Consolidation file.xlsx</v>
      </c>
      <c r="F69" s="1463"/>
      <c r="G69" s="1463"/>
      <c r="H69" s="1463"/>
      <c r="I69" s="1463"/>
      <c r="J69" s="1463"/>
      <c r="K69" s="291"/>
      <c r="L69" s="199"/>
      <c r="M69" s="1222"/>
      <c r="N69" s="1222"/>
      <c r="O69" s="1222"/>
      <c r="P69" s="1222"/>
      <c r="Q69" s="1222"/>
      <c r="R69" s="1222"/>
    </row>
    <row r="70" spans="1:18" ht="6" customHeight="1" x14ac:dyDescent="0.35">
      <c r="A70" s="215"/>
      <c r="B70" s="199"/>
      <c r="C70" s="316"/>
      <c r="D70" s="282"/>
      <c r="E70" s="295"/>
      <c r="F70" s="295"/>
      <c r="G70" s="295"/>
      <c r="H70" s="295"/>
      <c r="I70" s="295"/>
      <c r="J70" s="295"/>
      <c r="K70" s="296"/>
      <c r="L70" s="199"/>
      <c r="M70" s="1222"/>
      <c r="N70" s="1222"/>
      <c r="O70" s="1222"/>
      <c r="P70" s="1222"/>
      <c r="Q70" s="1222"/>
      <c r="R70" s="1222"/>
    </row>
    <row r="71" spans="1:18" ht="5.15" customHeight="1" x14ac:dyDescent="0.35">
      <c r="A71" s="215"/>
      <c r="B71" s="199"/>
      <c r="C71" s="199"/>
      <c r="D71" s="199"/>
      <c r="E71" s="199"/>
      <c r="F71" s="199"/>
      <c r="G71" s="199"/>
      <c r="H71" s="199"/>
      <c r="I71" s="199"/>
      <c r="J71" s="199"/>
      <c r="K71" s="199"/>
      <c r="L71" s="199"/>
      <c r="M71" s="1222"/>
      <c r="N71" s="1222"/>
      <c r="O71" s="1222"/>
      <c r="P71" s="1222"/>
      <c r="Q71" s="1222"/>
      <c r="R71" s="1222"/>
    </row>
  </sheetData>
  <sheetProtection algorithmName="SHA-512" hashValue="u8IsC3f8bl8EWrszIyoLA6mcrLSvuf5d5Z5mIHNkLcIp/s1uYIPFn4Ec0j9mWABXoTk6QDvWttH+ZHxdJmrRgg==" saltValue="2FPl9v6Qnhf+nGpc+PSJkg==" spinCount="100000" sheet="1" objects="1" scenarios="1" formatCells="0"/>
  <mergeCells count="18">
    <mergeCell ref="E58:J58"/>
    <mergeCell ref="E59:J59"/>
    <mergeCell ref="E60:J60"/>
    <mergeCell ref="E65:J65"/>
    <mergeCell ref="E66:J66"/>
    <mergeCell ref="F5:I5"/>
    <mergeCell ref="E50:J50"/>
    <mergeCell ref="E51:J51"/>
    <mergeCell ref="E54:J54"/>
    <mergeCell ref="E55:J55"/>
    <mergeCell ref="E52:J52"/>
    <mergeCell ref="E53:J53"/>
    <mergeCell ref="E63:J63"/>
    <mergeCell ref="E64:J64"/>
    <mergeCell ref="E61:J61"/>
    <mergeCell ref="E62:J62"/>
    <mergeCell ref="E69:J69"/>
    <mergeCell ref="E67:J67"/>
  </mergeCells>
  <dataValidations disablePrompts="1" count="1">
    <dataValidation type="list" allowBlank="1" showInputMessage="1" showErrorMessage="1" sqref="F20" xr:uid="{00000000-0002-0000-0000-000000000000}">
      <formula1>FiguresList</formula1>
    </dataValidation>
  </dataValidations>
  <printOptions horizontalCentered="1" verticalCentered="1"/>
  <pageMargins left="0.74803149606299213" right="0.74803149606299213" top="0.98425196850393704" bottom="0.98425196850393704" header="0.51181102362204722" footer="0.51181102362204722"/>
  <pageSetup paperSize="9" orientation="landscape" r:id="rId1"/>
  <headerFooter>
    <oddFooter>&amp;L&amp;8Invest for Excel&amp;C&amp;8&amp;F&amp;R&amp;8&amp;D: &amp;T</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470376-CF1D-4A53-9747-2706AF206F96}">
  <sheetPr>
    <pageSetUpPr fitToPage="1"/>
  </sheetPr>
  <dimension ref="A1:V22"/>
  <sheetViews>
    <sheetView showZeros="0" workbookViewId="0">
      <pane xSplit="2" ySplit="3" topLeftCell="C4" activePane="bottomRight" state="frozen"/>
      <selection pane="topRight" activeCell="C1" sqref="C1"/>
      <selection pane="bottomLeft" activeCell="A4" sqref="A4"/>
      <selection pane="bottomRight" activeCell="S80" sqref="S80"/>
    </sheetView>
  </sheetViews>
  <sheetFormatPr defaultRowHeight="10.5" x14ac:dyDescent="0.35"/>
  <cols>
    <col min="1" max="1" width="5.08984375" style="1413" hidden="1" customWidth="1"/>
    <col min="2" max="2" width="1.81640625" style="1413" hidden="1" customWidth="1"/>
    <col min="3" max="3" width="10.1796875" style="1423" hidden="1" customWidth="1"/>
    <col min="4" max="4" width="18.453125" style="1413" bestFit="1" customWidth="1"/>
    <col min="5" max="5" width="7.54296875" style="1431" hidden="1" customWidth="1"/>
    <col min="6" max="6" width="4.08984375" style="1431" hidden="1" customWidth="1"/>
    <col min="7" max="7" width="12.26953125" style="1431" hidden="1" customWidth="1"/>
    <col min="8" max="8" width="10.1796875" style="1435" bestFit="1" customWidth="1"/>
    <col min="9" max="9" width="4.1796875" style="1431" hidden="1" customWidth="1"/>
    <col min="10" max="10" width="10.1796875" style="1435" hidden="1" customWidth="1"/>
    <col min="11" max="11" width="13.54296875" style="1435" bestFit="1" customWidth="1"/>
    <col min="12" max="12" width="14.36328125" style="1422" hidden="1" customWidth="1"/>
    <col min="13" max="13" width="9.90625" style="1422" hidden="1" customWidth="1"/>
    <col min="14" max="14" width="21.26953125" style="1435" hidden="1" customWidth="1"/>
    <col min="15" max="15" width="10.36328125" style="1435" hidden="1" customWidth="1"/>
    <col min="16" max="16" width="12.453125" style="1435" bestFit="1" customWidth="1"/>
    <col min="17" max="17" width="9.90625" style="1435" bestFit="1" customWidth="1"/>
    <col min="18" max="18" width="10.453125" style="1435" bestFit="1" customWidth="1"/>
    <col min="19" max="19" width="12.453125" style="1435" bestFit="1" customWidth="1"/>
    <col min="20" max="20" width="9.81640625" style="1431" hidden="1" customWidth="1"/>
    <col min="21" max="22" width="0" style="1413" hidden="1" customWidth="1"/>
    <col min="23" max="16384" width="8.7265625" style="1413"/>
  </cols>
  <sheetData>
    <row r="1" spans="1:22" ht="30" customHeight="1" x14ac:dyDescent="0.35">
      <c r="C1" s="1449" t="s">
        <v>6350</v>
      </c>
    </row>
    <row r="2" spans="1:22" x14ac:dyDescent="0.35">
      <c r="D2" s="1414" t="str">
        <f>IF(Figures&gt;1,TEXT(Figures,"# ##0")&amp;" ","")&amp;Currency</f>
        <v>Euro</v>
      </c>
    </row>
    <row r="3" spans="1:22" x14ac:dyDescent="0.35">
      <c r="C3" s="1424" t="str">
        <f>CHOOSE(Language,"Cost center","Kustannuspaikka","Kostnadsställe","Cost Center","Centrum kosztów","Centro de costes","Центр расходов","Център на разходите")</f>
        <v>Cost center</v>
      </c>
      <c r="D3" s="1419" t="str">
        <f>CHOOSE(Language,"Description","Kuvaus","Beskrivning","Beschreibung","Opis","Descripción","Описание","Описание")</f>
        <v>Description</v>
      </c>
      <c r="E3" s="1432" t="str">
        <f>CHOOSE(Language,"Account","Tili","Konto","Konto","Konto","Cuenta","Учетная запись","Сметка")</f>
        <v>Account</v>
      </c>
      <c r="F3" s="1432" t="str">
        <f>CHOOSE(Language,"Prio","Prio","Prio","Prio","Priorytet","Prior.","Приоритет","Приоритет")</f>
        <v>Prio</v>
      </c>
      <c r="G3" s="1432" t="str">
        <f>CHOOSE(Language,"Responsibility","Vastuu","Ansvar","Zuständig","Odpowiedzialny","Responsabilidad","Ответственность","Отговорност")</f>
        <v>Responsibility</v>
      </c>
      <c r="H3" s="1436" t="str">
        <f>CHOOSE(Language,"Investment","Investointi","Investeringar","Investition","Inwestycja","Inversión","Инвестиция","Инвестиция")</f>
        <v>Investment</v>
      </c>
      <c r="I3" s="1441" t="str">
        <f>CHOOSE(Language,"Info","Info","Info","Information","Info","Información","Информация","Информация")</f>
        <v>Info</v>
      </c>
      <c r="J3" s="1436" t="str">
        <f>CHOOSE(Language,"Subvention","Tuki","Bidrag","Investitionszuschuss","Subwencja","Subvención","Субсидия","Субсидия")</f>
        <v>Subvention</v>
      </c>
      <c r="K3" s="1436" t="str">
        <f>CHOOSE(Language,"Net investment","Nettoinvestointi","Nettoinvestering","Netto-Investition","Inwestycja netto","Inversión neta","Чистые инвестиции","Нетна инвестиция")</f>
        <v>Net investment</v>
      </c>
      <c r="L3" s="1440" t="str">
        <f>CHOOSE(Language,"Investment year","Investointivuosi","Investeringsår","Jahr der Investition","Rok inwestycji","Año de inversión","Инвестиционный год","Година на инвестирането")</f>
        <v>Investment year</v>
      </c>
      <c r="M3" s="1440" t="str">
        <f>CHOOSE(Language,"Completed","Valmistuu","Färdig","Fertiggestellt","Zakończono","Completado","Завершённый","Завършен")</f>
        <v>Completed</v>
      </c>
      <c r="N3" s="1436" t="str">
        <f>CHOOSE(Language,"Depreciation time, years","Poistoaika, vuosia","Avskr.tid, år","Abschreibungsdauer in Jahre","Czas amortyzacji, lata","Plazo de amortización, años","Время амортизации, лет","Период на амортизиране, години")</f>
        <v>Depreciation time, years</v>
      </c>
      <c r="O3" s="1436" t="str">
        <f>CHOOSE(Language,"Depr.","Poisto","Avskr.","Afa","Amortyzacja","Amort.","Аморт.","Амортизация")&amp;" "&amp;$D$2&amp;CHOOSE(Language,"/year","/vuosi","/år","/ Jahr","/rok","/año","/год","/година")</f>
        <v>Depr. Euro/year</v>
      </c>
      <c r="P3" s="1436" t="str">
        <f>CHOOSE(Language,"Depr.","Poisto","Avskr.","Afa","Amortyzacja","Amort.","Аморт.","Амортизация") &amp; " 2019"</f>
        <v>Depr. 2019</v>
      </c>
      <c r="Q3" s="1436" t="str">
        <f>CHOOSE(Language,"Depr.","Poisto","Avskr.","Afa","Amortyzacja","Amort.","Аморт.","Амортизация") &amp; " 2020"</f>
        <v>Depr. 2020</v>
      </c>
      <c r="R3" s="1436" t="str">
        <f>CHOOSE(Language,"Depr.","Poisto","Avskr.","Afa","Amortyzacja","Amort.","Аморт.","Амортизация") &amp; " 2021"</f>
        <v>Depr. 2021</v>
      </c>
      <c r="S3" s="1436" t="str">
        <f>CHOOSE(Language,"Depr.","Poisto","Avskr.","Afa","Amortyzacja","Amort.","Аморт.","Амортизация") &amp; " 2022"</f>
        <v>Depr. 2022</v>
      </c>
      <c r="T3" s="1432" t="str">
        <f>CHOOSE(Language,"Comments","Kommentit","Kommentarer","Bemerkungen","Komentarz","Comentarios","Комментарии","Коментари")</f>
        <v>Comments</v>
      </c>
    </row>
    <row r="4" spans="1:22" x14ac:dyDescent="0.35">
      <c r="A4" s="1413" t="s">
        <v>6337</v>
      </c>
      <c r="B4" s="1413">
        <v>0</v>
      </c>
      <c r="C4" s="1425"/>
      <c r="D4" s="1421" t="s">
        <v>6336</v>
      </c>
      <c r="E4" s="1425"/>
      <c r="F4" s="1425"/>
      <c r="G4" s="1425"/>
      <c r="I4" s="1425"/>
      <c r="K4" s="1443">
        <f>$H4+$J4</f>
        <v>0</v>
      </c>
      <c r="L4" s="1420"/>
      <c r="M4" s="1420"/>
      <c r="O4" s="1445"/>
      <c r="T4" s="1425"/>
      <c r="U4" s="1422"/>
      <c r="V4" s="1422"/>
    </row>
    <row r="5" spans="1:22" x14ac:dyDescent="0.35">
      <c r="B5" s="1413">
        <v>1</v>
      </c>
      <c r="C5" s="1426"/>
      <c r="D5" s="1413" t="s">
        <v>6338</v>
      </c>
      <c r="E5" s="1425"/>
      <c r="F5" s="1425"/>
      <c r="G5" s="1425"/>
      <c r="H5" s="1435">
        <v>1000000</v>
      </c>
      <c r="I5" s="1425"/>
      <c r="J5" s="1435">
        <v>0</v>
      </c>
      <c r="K5" s="1443">
        <f>$H5+$J5</f>
        <v>1000000</v>
      </c>
      <c r="L5" s="1420"/>
      <c r="M5" s="1420"/>
      <c r="N5" s="1435">
        <v>0</v>
      </c>
      <c r="O5" s="1445"/>
      <c r="P5" s="1435">
        <v>-62499.999999999898</v>
      </c>
      <c r="Q5" s="1435">
        <v>-234375</v>
      </c>
      <c r="R5" s="1435">
        <v>-175781.25</v>
      </c>
      <c r="S5" s="1435">
        <v>-131835.9375</v>
      </c>
      <c r="T5" s="1425"/>
    </row>
    <row r="6" spans="1:22" x14ac:dyDescent="0.35">
      <c r="B6" s="1413">
        <v>2</v>
      </c>
      <c r="C6" s="1426"/>
      <c r="D6" s="1413" t="s">
        <v>6339</v>
      </c>
      <c r="E6" s="1425"/>
      <c r="F6" s="1425"/>
      <c r="G6" s="1425"/>
      <c r="H6" s="1435">
        <v>1700000</v>
      </c>
      <c r="I6" s="1425"/>
      <c r="J6" s="1435">
        <v>0</v>
      </c>
      <c r="K6" s="1443">
        <f>$H6+$J6</f>
        <v>1700000</v>
      </c>
      <c r="L6" s="1420"/>
      <c r="M6" s="1420"/>
      <c r="N6" s="1435">
        <v>0</v>
      </c>
      <c r="O6" s="1445"/>
      <c r="P6" s="1435">
        <v>-15166.666666666701</v>
      </c>
      <c r="Q6" s="1435">
        <v>-68000</v>
      </c>
      <c r="R6" s="1435">
        <v>-68000</v>
      </c>
      <c r="S6" s="1435">
        <v>-68000</v>
      </c>
      <c r="T6" s="1425"/>
    </row>
    <row r="7" spans="1:22" x14ac:dyDescent="0.35">
      <c r="B7" s="1413">
        <v>3</v>
      </c>
      <c r="C7" s="1426"/>
      <c r="D7" s="1413" t="s">
        <v>6340</v>
      </c>
      <c r="E7" s="1425"/>
      <c r="F7" s="1425"/>
      <c r="G7" s="1425"/>
      <c r="H7" s="1435">
        <v>135000</v>
      </c>
      <c r="I7" s="1425"/>
      <c r="J7" s="1435">
        <v>0</v>
      </c>
      <c r="K7" s="1443">
        <f>$H7+$J7</f>
        <v>135000</v>
      </c>
      <c r="L7" s="1420"/>
      <c r="M7" s="1420"/>
      <c r="N7" s="1435">
        <v>0</v>
      </c>
      <c r="O7" s="1445"/>
      <c r="P7" s="1435">
        <v>0</v>
      </c>
      <c r="Q7" s="1435">
        <v>0</v>
      </c>
      <c r="R7" s="1435">
        <v>-22500</v>
      </c>
      <c r="S7" s="1435">
        <v>-22500</v>
      </c>
      <c r="T7" s="1425"/>
    </row>
    <row r="8" spans="1:22" x14ac:dyDescent="0.35">
      <c r="A8" s="1413" t="s">
        <v>6341</v>
      </c>
      <c r="C8" s="1426"/>
      <c r="D8" s="1415" t="str">
        <f>CHOOSE(Language,"TOTAL","YHTEENSÄ","TOTALT","Gesamt","OGÓŁEM","TOTAL","ИТОГО","ОБЩО")</f>
        <v>TOTAL</v>
      </c>
      <c r="E8" s="1425"/>
      <c r="F8" s="1425"/>
      <c r="G8" s="1425"/>
      <c r="H8" s="1437">
        <f>SUM($H$5:$H$7)</f>
        <v>2835000</v>
      </c>
      <c r="I8" s="1425"/>
      <c r="J8" s="1442">
        <f>SUM($J$5:$J$7)</f>
        <v>0</v>
      </c>
      <c r="K8" s="1437">
        <f>$H8+$J8</f>
        <v>2835000</v>
      </c>
      <c r="L8" s="1420"/>
      <c r="M8" s="1420"/>
      <c r="O8" s="1446">
        <f>SUM($O$5:$O$7)</f>
        <v>0</v>
      </c>
      <c r="P8" s="1442">
        <f>SUM($P$5:$P$7)</f>
        <v>-77666.666666666599</v>
      </c>
      <c r="Q8" s="1442">
        <f>SUM($Q$5:$Q$7)</f>
        <v>-302375</v>
      </c>
      <c r="R8" s="1442">
        <f>SUM($R$5:$R$7)</f>
        <v>-266281.25</v>
      </c>
      <c r="S8" s="1442">
        <f>SUM($S$5:$S$7)</f>
        <v>-222335.9375</v>
      </c>
      <c r="T8" s="1425"/>
    </row>
    <row r="9" spans="1:22" x14ac:dyDescent="0.35">
      <c r="C9" s="1426"/>
      <c r="E9" s="1425"/>
      <c r="F9" s="1425"/>
      <c r="G9" s="1425"/>
      <c r="I9" s="1425"/>
      <c r="L9" s="1420"/>
      <c r="M9" s="1420"/>
      <c r="O9" s="1445"/>
      <c r="T9" s="1425"/>
    </row>
    <row r="10" spans="1:22" x14ac:dyDescent="0.35">
      <c r="A10" s="1413" t="s">
        <v>6343</v>
      </c>
      <c r="B10" s="1413">
        <v>1</v>
      </c>
      <c r="C10" s="1426"/>
      <c r="D10" s="1415" t="s">
        <v>6342</v>
      </c>
      <c r="E10" s="1425"/>
      <c r="F10" s="1425"/>
      <c r="G10" s="1425"/>
      <c r="I10" s="1425"/>
      <c r="K10" s="1443">
        <f>$H10+$J10</f>
        <v>0</v>
      </c>
      <c r="L10" s="1420"/>
      <c r="M10" s="1420"/>
      <c r="O10" s="1445"/>
      <c r="T10" s="1425"/>
    </row>
    <row r="11" spans="1:22" x14ac:dyDescent="0.35">
      <c r="B11" s="1413">
        <v>1</v>
      </c>
      <c r="C11" s="1426"/>
      <c r="D11" s="1413" t="s">
        <v>6344</v>
      </c>
      <c r="E11" s="1425"/>
      <c r="F11" s="1425"/>
      <c r="G11" s="1425"/>
      <c r="H11" s="1435">
        <v>800000</v>
      </c>
      <c r="I11" s="1425"/>
      <c r="J11" s="1435">
        <v>0</v>
      </c>
      <c r="K11" s="1443">
        <f>$H11+$J11</f>
        <v>800000</v>
      </c>
      <c r="L11" s="1420"/>
      <c r="M11" s="1420"/>
      <c r="N11" s="1435">
        <v>0</v>
      </c>
      <c r="O11" s="1445"/>
      <c r="P11" s="1435">
        <v>-50000.000000000102</v>
      </c>
      <c r="Q11" s="1435">
        <v>-187500</v>
      </c>
      <c r="R11" s="1435">
        <v>-140625</v>
      </c>
      <c r="S11" s="1435">
        <v>-105468.75</v>
      </c>
      <c r="T11" s="1425"/>
    </row>
    <row r="12" spans="1:22" x14ac:dyDescent="0.35">
      <c r="B12" s="1413">
        <v>2</v>
      </c>
      <c r="C12" s="1426"/>
      <c r="D12" s="1413" t="s">
        <v>6339</v>
      </c>
      <c r="E12" s="1425"/>
      <c r="F12" s="1425"/>
      <c r="G12" s="1425"/>
      <c r="H12" s="1435">
        <v>1500000</v>
      </c>
      <c r="I12" s="1425"/>
      <c r="J12" s="1435">
        <v>0</v>
      </c>
      <c r="K12" s="1443">
        <f>$H12+$J12</f>
        <v>1500000</v>
      </c>
      <c r="L12" s="1420"/>
      <c r="M12" s="1420"/>
      <c r="N12" s="1435">
        <v>0</v>
      </c>
      <c r="O12" s="1445"/>
      <c r="P12" s="1435">
        <v>-13166.666666666688</v>
      </c>
      <c r="Q12" s="1435">
        <v>-60000</v>
      </c>
      <c r="R12" s="1435">
        <v>-60000</v>
      </c>
      <c r="S12" s="1435">
        <v>-60000</v>
      </c>
      <c r="T12" s="1425"/>
    </row>
    <row r="13" spans="1:22" x14ac:dyDescent="0.35">
      <c r="B13" s="1413">
        <v>3</v>
      </c>
      <c r="C13" s="1426"/>
      <c r="D13" s="1413" t="s">
        <v>6340</v>
      </c>
      <c r="E13" s="1425"/>
      <c r="F13" s="1425"/>
      <c r="G13" s="1425"/>
      <c r="H13" s="1435">
        <v>135000</v>
      </c>
      <c r="I13" s="1425"/>
      <c r="J13" s="1435">
        <v>0</v>
      </c>
      <c r="K13" s="1443">
        <f>$H13+$J13</f>
        <v>135000</v>
      </c>
      <c r="L13" s="1420"/>
      <c r="M13" s="1420"/>
      <c r="N13" s="1435">
        <v>0</v>
      </c>
      <c r="O13" s="1445"/>
      <c r="P13" s="1435">
        <v>0</v>
      </c>
      <c r="Q13" s="1435">
        <v>0</v>
      </c>
      <c r="R13" s="1435">
        <v>-22500</v>
      </c>
      <c r="S13" s="1435">
        <v>-22500</v>
      </c>
      <c r="T13" s="1425"/>
    </row>
    <row r="14" spans="1:22" x14ac:dyDescent="0.35">
      <c r="A14" s="1413" t="s">
        <v>6345</v>
      </c>
      <c r="C14" s="1426"/>
      <c r="D14" s="1415" t="str">
        <f>CHOOSE(Language,"TOTAL","YHTEENSÄ","TOTALT","Gesamt","OGÓŁEM","TOTAL","ИТОГО","ОБЩО")</f>
        <v>TOTAL</v>
      </c>
      <c r="E14" s="1425"/>
      <c r="F14" s="1425"/>
      <c r="G14" s="1425"/>
      <c r="H14" s="1437">
        <f>SUM($H$11:$H$13)</f>
        <v>2435000</v>
      </c>
      <c r="I14" s="1425"/>
      <c r="J14" s="1442">
        <f>SUM($J$11:$J$13)</f>
        <v>0</v>
      </c>
      <c r="K14" s="1437">
        <f>$H14+$J14</f>
        <v>2435000</v>
      </c>
      <c r="L14" s="1420"/>
      <c r="M14" s="1420"/>
      <c r="O14" s="1446">
        <f>SUM($O$11:$O$13)</f>
        <v>0</v>
      </c>
      <c r="P14" s="1442">
        <f>SUM($P$11:$P$13)</f>
        <v>-63166.666666666788</v>
      </c>
      <c r="Q14" s="1442">
        <f>SUM($Q$11:$Q$13)</f>
        <v>-247500</v>
      </c>
      <c r="R14" s="1442">
        <f>SUM($R$11:$R$13)</f>
        <v>-223125</v>
      </c>
      <c r="S14" s="1442">
        <f>SUM($S$11:$S$13)</f>
        <v>-187968.75</v>
      </c>
      <c r="T14" s="1425"/>
    </row>
    <row r="15" spans="1:22" x14ac:dyDescent="0.35">
      <c r="C15" s="1426"/>
      <c r="E15" s="1425"/>
      <c r="F15" s="1425"/>
      <c r="G15" s="1425"/>
      <c r="I15" s="1425"/>
      <c r="L15" s="1420"/>
      <c r="M15" s="1420"/>
      <c r="O15" s="1445"/>
      <c r="T15" s="1425"/>
    </row>
    <row r="16" spans="1:22" x14ac:dyDescent="0.35">
      <c r="A16" s="1413" t="s">
        <v>6347</v>
      </c>
      <c r="B16" s="1413">
        <v>2</v>
      </c>
      <c r="C16" s="1426"/>
      <c r="D16" s="1415" t="s">
        <v>6346</v>
      </c>
      <c r="E16" s="1425"/>
      <c r="F16" s="1425"/>
      <c r="G16" s="1425"/>
      <c r="I16" s="1425"/>
      <c r="K16" s="1443">
        <f>$H16+$J16</f>
        <v>0</v>
      </c>
      <c r="L16" s="1420"/>
      <c r="M16" s="1420"/>
      <c r="O16" s="1445"/>
      <c r="T16" s="1425"/>
    </row>
    <row r="17" spans="1:20" x14ac:dyDescent="0.35">
      <c r="B17" s="1413">
        <v>1</v>
      </c>
      <c r="C17" s="1426"/>
      <c r="D17" s="1413" t="s">
        <v>6348</v>
      </c>
      <c r="E17" s="1425"/>
      <c r="F17" s="1425"/>
      <c r="G17" s="1425"/>
      <c r="H17" s="1435">
        <v>1200000</v>
      </c>
      <c r="I17" s="1425"/>
      <c r="J17" s="1435">
        <v>0</v>
      </c>
      <c r="K17" s="1443">
        <f>$H17+$J17</f>
        <v>1200000</v>
      </c>
      <c r="L17" s="1420"/>
      <c r="M17" s="1420"/>
      <c r="N17" s="1435">
        <v>0</v>
      </c>
      <c r="O17" s="1445"/>
      <c r="P17" s="1435">
        <v>-75000</v>
      </c>
      <c r="Q17" s="1435">
        <v>-281250</v>
      </c>
      <c r="R17" s="1435">
        <v>-210937.5</v>
      </c>
      <c r="S17" s="1435">
        <v>-158203.125</v>
      </c>
      <c r="T17" s="1425"/>
    </row>
    <row r="18" spans="1:20" x14ac:dyDescent="0.35">
      <c r="B18" s="1413">
        <v>2</v>
      </c>
      <c r="C18" s="1426"/>
      <c r="D18" s="1413" t="s">
        <v>6339</v>
      </c>
      <c r="E18" s="1425"/>
      <c r="F18" s="1425"/>
      <c r="G18" s="1425"/>
      <c r="H18" s="1435">
        <v>1900000</v>
      </c>
      <c r="I18" s="1425"/>
      <c r="J18" s="1435">
        <v>0</v>
      </c>
      <c r="K18" s="1443">
        <f>$H18+$J18</f>
        <v>1900000</v>
      </c>
      <c r="L18" s="1420"/>
      <c r="M18" s="1420"/>
      <c r="N18" s="1435">
        <v>0</v>
      </c>
      <c r="O18" s="1445"/>
      <c r="P18" s="1435">
        <v>-17166.666666666679</v>
      </c>
      <c r="Q18" s="1435">
        <v>-76000</v>
      </c>
      <c r="R18" s="1435">
        <v>-76000</v>
      </c>
      <c r="S18" s="1435">
        <v>-76000</v>
      </c>
      <c r="T18" s="1425"/>
    </row>
    <row r="19" spans="1:20" x14ac:dyDescent="0.35">
      <c r="B19" s="1413">
        <v>3</v>
      </c>
      <c r="C19" s="1426"/>
      <c r="D19" s="1413" t="s">
        <v>6340</v>
      </c>
      <c r="E19" s="1425"/>
      <c r="F19" s="1425"/>
      <c r="G19" s="1425"/>
      <c r="H19" s="1435">
        <v>135000</v>
      </c>
      <c r="I19" s="1425"/>
      <c r="J19" s="1435">
        <v>0</v>
      </c>
      <c r="K19" s="1443">
        <f>$H19+$J19</f>
        <v>135000</v>
      </c>
      <c r="L19" s="1420"/>
      <c r="M19" s="1420"/>
      <c r="N19" s="1435">
        <v>0</v>
      </c>
      <c r="O19" s="1445"/>
      <c r="P19" s="1435">
        <v>0</v>
      </c>
      <c r="Q19" s="1435">
        <v>0</v>
      </c>
      <c r="R19" s="1435">
        <v>-22500</v>
      </c>
      <c r="S19" s="1435">
        <v>-22500</v>
      </c>
      <c r="T19" s="1425"/>
    </row>
    <row r="20" spans="1:20" x14ac:dyDescent="0.35">
      <c r="A20" s="1413" t="s">
        <v>6349</v>
      </c>
      <c r="C20" s="1426"/>
      <c r="D20" s="1415" t="str">
        <f>CHOOSE(Language,"TOTAL","YHTEENSÄ","TOTALT","Gesamt","OGÓŁEM","TOTAL","ИТОГО","ОБЩО")</f>
        <v>TOTAL</v>
      </c>
      <c r="E20" s="1425"/>
      <c r="F20" s="1425"/>
      <c r="G20" s="1425"/>
      <c r="H20" s="1437">
        <f>SUM($H$17:$H$19)</f>
        <v>3235000</v>
      </c>
      <c r="I20" s="1425"/>
      <c r="J20" s="1442">
        <f>SUM($J$17:$J$19)</f>
        <v>0</v>
      </c>
      <c r="K20" s="1437">
        <f>$H20+$J20</f>
        <v>3235000</v>
      </c>
      <c r="L20" s="1420"/>
      <c r="M20" s="1420"/>
      <c r="O20" s="1446">
        <f>SUM($O$17:$O$19)</f>
        <v>0</v>
      </c>
      <c r="P20" s="1442">
        <f>SUM($P$17:$P$19)</f>
        <v>-92166.666666666686</v>
      </c>
      <c r="Q20" s="1442">
        <f>SUM($Q$17:$Q$19)</f>
        <v>-357250</v>
      </c>
      <c r="R20" s="1442">
        <f>SUM($R$17:$R$19)</f>
        <v>-309437.5</v>
      </c>
      <c r="S20" s="1442">
        <f>SUM($S$17:$S$19)</f>
        <v>-256703.125</v>
      </c>
      <c r="T20" s="1425"/>
    </row>
    <row r="21" spans="1:20" x14ac:dyDescent="0.35">
      <c r="C21" s="1427"/>
      <c r="D21" s="1416"/>
      <c r="E21" s="1433"/>
      <c r="F21" s="1433"/>
      <c r="G21" s="1433"/>
      <c r="H21" s="1438"/>
      <c r="I21" s="1433"/>
      <c r="J21" s="1438"/>
      <c r="K21" s="1438"/>
      <c r="L21" s="1429"/>
      <c r="M21" s="1429"/>
      <c r="N21" s="1438"/>
      <c r="O21" s="1447"/>
      <c r="P21" s="1438"/>
      <c r="Q21" s="1438"/>
      <c r="R21" s="1438"/>
      <c r="S21" s="1438"/>
      <c r="T21" s="1433"/>
    </row>
    <row r="22" spans="1:20" x14ac:dyDescent="0.35">
      <c r="A22" s="1417"/>
      <c r="B22" s="1417"/>
      <c r="C22" s="1428"/>
      <c r="D22" s="1418" t="str">
        <f>CHOOSE(Language,"TOTAL","YHTEENSÄ","TOTALT","Gesamt","OGÓŁEM","TOTAL","ИТОГО","ОБЩО")</f>
        <v>TOTAL</v>
      </c>
      <c r="E22" s="1434"/>
      <c r="F22" s="1434"/>
      <c r="G22" s="1434"/>
      <c r="H22" s="1439">
        <f>SUMIF($A$4:$A$20,"S???",H$4:H$20)</f>
        <v>8505000</v>
      </c>
      <c r="I22" s="1434"/>
      <c r="J22" s="1439">
        <f>SUMIF($A$4:$A$20,"S???",J$4:J$20)</f>
        <v>0</v>
      </c>
      <c r="K22" s="1439">
        <f>SUMIF($A$4:$A$20,"S???",K$4:K$20)</f>
        <v>8505000</v>
      </c>
      <c r="L22" s="1430"/>
      <c r="M22" s="1430"/>
      <c r="N22" s="1444"/>
      <c r="O22" s="1448">
        <f>SUMIF($A$4:$A$20,"S???",O$4:O$20)</f>
        <v>0</v>
      </c>
      <c r="P22" s="1439">
        <f>SUMIF($A$4:$A$20,"S???",P$4:P$20)</f>
        <v>-233000.00000000006</v>
      </c>
      <c r="Q22" s="1439">
        <f>SUMIF($A$4:$A$20,"S???",Q$4:Q$20)</f>
        <v>-907125</v>
      </c>
      <c r="R22" s="1439">
        <f>SUMIF($A$4:$A$20,"S???",R$4:R$20)</f>
        <v>-798843.75</v>
      </c>
      <c r="S22" s="1439">
        <f>SUMIF($A$4:$A$20,"S???",S$4:S$20)</f>
        <v>-667007.8125</v>
      </c>
      <c r="T22" s="1434"/>
    </row>
  </sheetData>
  <sheetProtection algorithmName="SHA-512" hashValue="h2Oyddeva/kDiy1xnBYT9M9xmYl9s4LYLLnQleD0xXhBllhlimPrdqmSUe7IzSBCc7ygABQeu2xR6e+JnIQdFQ==" saltValue="bphnvNu3s01yXwHSgxMvxw==" spinCount="100000" sheet="1" objects="1" scenarios="1" formatCells="0"/>
  <printOptions horizontalCentered="1"/>
  <pageMargins left="0.35433070866141703" right="0.35433070866141703" top="0.78740157480314998" bottom="0.78740157480314998" header="0.511811023622047" footer="0.511811023622047"/>
  <pageSetup fitToHeight="0" orientation="landscape" r:id="rId1"/>
  <headerFooter>
    <oddHeader>&amp;CInvestment Summary</oddHeader>
    <oddFooter>&amp;L&amp;8Invest for Excel&amp;R&amp;8&amp;D: &amp;T</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653AC4-736B-41C2-880B-ACAA92E6CA04}">
  <sheetPr>
    <pageSetUpPr fitToPage="1"/>
  </sheetPr>
  <dimension ref="A1:J4"/>
  <sheetViews>
    <sheetView workbookViewId="0">
      <pane ySplit="1" topLeftCell="A2" activePane="bottomLeft" state="frozen"/>
      <selection pane="bottomLeft" activeCell="A2" sqref="A2"/>
    </sheetView>
  </sheetViews>
  <sheetFormatPr defaultRowHeight="14.5" x14ac:dyDescent="0.35"/>
  <cols>
    <col min="1" max="1" width="40.6328125" style="1451" customWidth="1"/>
    <col min="2" max="2" width="18" style="1450" bestFit="1" customWidth="1"/>
    <col min="3" max="3" width="14.6328125" style="1450" bestFit="1" customWidth="1"/>
    <col min="4" max="4" width="27" style="1450" bestFit="1" customWidth="1"/>
    <col min="5" max="5" width="19.36328125" style="1450" bestFit="1" customWidth="1"/>
    <col min="6" max="6" width="10.1796875" style="1452" bestFit="1" customWidth="1"/>
    <col min="7" max="7" width="13.54296875" style="1453" bestFit="1" customWidth="1"/>
    <col min="8" max="8" width="11.81640625" style="1452" bestFit="1" customWidth="1"/>
    <col min="9" max="9" width="4.26953125" style="1452" bestFit="1" customWidth="1"/>
    <col min="10" max="10" width="8.26953125" style="1450" bestFit="1" customWidth="1"/>
    <col min="11" max="16384" width="8.7265625" style="1450"/>
  </cols>
  <sheetData>
    <row r="1" spans="1:10" x14ac:dyDescent="0.35">
      <c r="A1" s="1454" t="s">
        <v>3872</v>
      </c>
      <c r="B1" s="1455" t="s">
        <v>6351</v>
      </c>
      <c r="C1" s="1455" t="s">
        <v>6352</v>
      </c>
      <c r="D1" s="1455" t="s">
        <v>6353</v>
      </c>
      <c r="E1" s="1455" t="s">
        <v>6354</v>
      </c>
      <c r="F1" s="1456" t="s">
        <v>6355</v>
      </c>
      <c r="G1" s="1457" t="s">
        <v>6356</v>
      </c>
      <c r="H1" s="1456" t="s">
        <v>6357</v>
      </c>
      <c r="I1" s="1456" t="s">
        <v>6358</v>
      </c>
      <c r="J1" s="1455" t="s">
        <v>6359</v>
      </c>
    </row>
    <row r="2" spans="1:10" x14ac:dyDescent="0.35">
      <c r="A2" s="1458" t="s">
        <v>6264</v>
      </c>
      <c r="B2" s="1459" t="s">
        <v>6336</v>
      </c>
      <c r="C2" s="1459" t="s">
        <v>6360</v>
      </c>
      <c r="D2" s="1459" t="s">
        <v>6361</v>
      </c>
      <c r="E2" s="1459" t="s">
        <v>6362</v>
      </c>
      <c r="F2" s="1456">
        <v>2835000</v>
      </c>
      <c r="G2" s="1457">
        <v>2.75</v>
      </c>
      <c r="H2" s="1456">
        <v>12348686.255399536</v>
      </c>
      <c r="I2" s="1456">
        <v>1</v>
      </c>
      <c r="J2" s="1459" t="s">
        <v>5987</v>
      </c>
    </row>
    <row r="3" spans="1:10" x14ac:dyDescent="0.35">
      <c r="A3" s="1458" t="s">
        <v>6265</v>
      </c>
      <c r="B3" s="1459" t="s">
        <v>6342</v>
      </c>
      <c r="C3" s="1459" t="s">
        <v>6360</v>
      </c>
      <c r="D3" s="1459" t="s">
        <v>6361</v>
      </c>
      <c r="E3" s="1459" t="s">
        <v>6363</v>
      </c>
      <c r="F3" s="1456">
        <v>2435000</v>
      </c>
      <c r="G3" s="1457">
        <v>2.75</v>
      </c>
      <c r="H3" s="1456">
        <v>10155957.959353728</v>
      </c>
      <c r="I3" s="1456">
        <v>1</v>
      </c>
      <c r="J3" s="1459" t="s">
        <v>5987</v>
      </c>
    </row>
    <row r="4" spans="1:10" x14ac:dyDescent="0.35">
      <c r="A4" s="1458" t="s">
        <v>6266</v>
      </c>
      <c r="B4" s="1459" t="s">
        <v>6346</v>
      </c>
      <c r="C4" s="1459" t="s">
        <v>6360</v>
      </c>
      <c r="D4" s="1459" t="s">
        <v>6361</v>
      </c>
      <c r="E4" s="1459" t="s">
        <v>6364</v>
      </c>
      <c r="F4" s="1456">
        <v>3235000</v>
      </c>
      <c r="G4" s="1457">
        <v>2.75</v>
      </c>
      <c r="H4" s="1456">
        <v>17646906.157297049</v>
      </c>
      <c r="I4" s="1456">
        <v>1</v>
      </c>
      <c r="J4" s="1459" t="s">
        <v>5987</v>
      </c>
    </row>
  </sheetData>
  <hyperlinks>
    <hyperlink ref="A2" r:id="rId1" display="Investment Project 1.xlsm" xr:uid="{E29BBBA2-C275-418F-BD91-083A0450E1D4}"/>
    <hyperlink ref="A3" r:id="rId2" display="Investment Project 2.xlsm" xr:uid="{9C535664-2D1E-4A45-AFF8-224FC75E0D9A}"/>
    <hyperlink ref="A4" r:id="rId3" display="Investment Project 3.xlsm" xr:uid="{604485EF-2244-40A7-B8A1-0CD372DA446E}"/>
  </hyperlinks>
  <printOptions horizontalCentered="1" gridLines="1"/>
  <pageMargins left="0.35433070866141703" right="0.35433070866141703" top="0.78740157480314998" bottom="0.78740157480314998" header="0.511811023622047" footer="0.511811023622047"/>
  <pageSetup fitToHeight="0" orientation="landscape" r:id="rId4"/>
  <headerFooter>
    <oddHeader>&amp;CConsolidation Info</oddHeader>
    <oddFooter>&amp;L&amp;8Invest for Excel&amp;R&amp;8&amp;D: &amp;T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pageSetUpPr autoPageBreaks="0" fitToPage="1"/>
  </sheetPr>
  <dimension ref="A1:AW283"/>
  <sheetViews>
    <sheetView workbookViewId="0">
      <selection activeCell="B3" sqref="B3"/>
    </sheetView>
  </sheetViews>
  <sheetFormatPr defaultColWidth="9.1796875" defaultRowHeight="14.5" x14ac:dyDescent="0.35"/>
  <cols>
    <col min="1" max="3" width="12.7265625" style="97" customWidth="1"/>
    <col min="4" max="4" width="20.1796875" style="97" customWidth="1"/>
    <col min="5" max="5" width="13.54296875" style="97" customWidth="1"/>
    <col min="6" max="6" width="22.81640625" style="97" customWidth="1"/>
    <col min="7" max="7" width="14.7265625" style="97" customWidth="1"/>
    <col min="8" max="8" width="9.1796875" style="97"/>
    <col min="9" max="9" width="31.1796875" style="97" customWidth="1"/>
    <col min="10" max="10" width="16.54296875" style="97" customWidth="1"/>
    <col min="11" max="11" width="14.7265625" style="97" customWidth="1"/>
    <col min="12" max="12" width="15.7265625" style="97" customWidth="1"/>
    <col min="13" max="13" width="16.7265625" style="97" customWidth="1"/>
    <col min="14" max="14" width="14.7265625" style="97" customWidth="1"/>
    <col min="15" max="15" width="21.1796875" style="97" customWidth="1"/>
    <col min="16" max="16" width="14.81640625" style="97" customWidth="1"/>
    <col min="17" max="19" width="9.1796875" style="97"/>
    <col min="20" max="20" width="10.54296875" style="97" customWidth="1"/>
    <col min="21" max="21" width="9.26953125" style="97" customWidth="1"/>
    <col min="22" max="22" width="16.26953125" style="97" customWidth="1"/>
    <col min="23" max="24" width="9.1796875" style="97"/>
    <col min="25" max="25" width="11.7265625" style="97" customWidth="1"/>
    <col min="26" max="26" width="11.1796875" style="97" customWidth="1"/>
    <col min="27" max="27" width="9.1796875" style="97"/>
    <col min="28" max="28" width="11.7265625" style="97" customWidth="1"/>
    <col min="29" max="29" width="9.1796875" style="97"/>
    <col min="30" max="30" width="17.7265625" style="97" bestFit="1" customWidth="1"/>
    <col min="31" max="31" width="15.7265625" style="97" bestFit="1" customWidth="1"/>
    <col min="32" max="16384" width="9.1796875" style="97"/>
  </cols>
  <sheetData>
    <row r="1" spans="1:49" ht="12.75" customHeight="1" x14ac:dyDescent="0.35">
      <c r="A1" s="17" t="s">
        <v>0</v>
      </c>
      <c r="B1" s="18" t="s">
        <v>1927</v>
      </c>
      <c r="C1" s="19">
        <f>COLUMN(ColHeaders)-1</f>
        <v>6</v>
      </c>
      <c r="D1" s="17" t="s">
        <v>1928</v>
      </c>
      <c r="E1" s="17"/>
      <c r="F1" s="20" t="s">
        <v>1929</v>
      </c>
      <c r="G1" s="21"/>
      <c r="H1" s="17"/>
      <c r="I1" s="22" t="s">
        <v>1930</v>
      </c>
      <c r="J1" s="23" t="s">
        <v>1931</v>
      </c>
      <c r="K1" s="17" t="s">
        <v>1932</v>
      </c>
      <c r="L1" s="134" t="s">
        <v>4863</v>
      </c>
      <c r="M1" s="135" t="s">
        <v>4864</v>
      </c>
      <c r="N1" s="136" t="s">
        <v>4865</v>
      </c>
      <c r="O1"/>
      <c r="P1" s="24" t="s">
        <v>1933</v>
      </c>
      <c r="Q1" s="17"/>
      <c r="R1" s="25" t="s">
        <v>1934</v>
      </c>
      <c r="S1" s="17"/>
      <c r="T1" s="26" t="s">
        <v>1935</v>
      </c>
      <c r="U1" s="27" t="s">
        <v>1936</v>
      </c>
      <c r="V1" s="21" t="s">
        <v>1937</v>
      </c>
      <c r="W1" s="17"/>
      <c r="X1" s="18" t="s">
        <v>5277</v>
      </c>
      <c r="Y1" s="17"/>
      <c r="Z1" s="17"/>
      <c r="AA1" s="17"/>
      <c r="AB1" s="17"/>
      <c r="AC1" s="17"/>
      <c r="AD1" s="190" t="s">
        <v>5139</v>
      </c>
      <c r="AE1" s="190" t="s">
        <v>5122</v>
      </c>
      <c r="AF1" s="180" t="s">
        <v>5056</v>
      </c>
      <c r="AG1" s="184" t="s">
        <v>5057</v>
      </c>
      <c r="AH1" s="185" t="s">
        <v>5058</v>
      </c>
      <c r="AI1" s="185" t="s">
        <v>5059</v>
      </c>
      <c r="AJ1" s="185" t="s">
        <v>5060</v>
      </c>
      <c r="AK1" s="185" t="s">
        <v>5061</v>
      </c>
      <c r="AL1" s="180" t="s">
        <v>5055</v>
      </c>
      <c r="AM1" s="181" t="s">
        <v>5050</v>
      </c>
      <c r="AN1" s="181" t="s">
        <v>5051</v>
      </c>
      <c r="AO1" s="181" t="s">
        <v>5052</v>
      </c>
      <c r="AP1" s="181" t="s">
        <v>5053</v>
      </c>
      <c r="AQ1" s="181" t="s">
        <v>5054</v>
      </c>
      <c r="AR1" s="180" t="s">
        <v>5062</v>
      </c>
      <c r="AS1" s="184" t="s">
        <v>5063</v>
      </c>
      <c r="AT1" s="185" t="s">
        <v>5064</v>
      </c>
      <c r="AU1" s="185" t="s">
        <v>5065</v>
      </c>
      <c r="AV1" s="185" t="s">
        <v>5066</v>
      </c>
      <c r="AW1" s="183" t="s">
        <v>5067</v>
      </c>
    </row>
    <row r="2" spans="1:49" ht="12.75" customHeight="1" x14ac:dyDescent="0.35">
      <c r="A2" s="28" t="s">
        <v>5924</v>
      </c>
      <c r="B2" s="210">
        <f>Version</f>
        <v>385</v>
      </c>
      <c r="C2" s="19">
        <f>MATCH(FinMonth&amp;"/"&amp;InvYear+4,ColHeaders,0)</f>
        <v>6</v>
      </c>
      <c r="D2" s="29" t="s">
        <v>1938</v>
      </c>
      <c r="E2" s="30"/>
      <c r="F2" s="136" t="s">
        <v>4895</v>
      </c>
      <c r="G2" s="149"/>
      <c r="H2" s="17"/>
      <c r="I2" s="21">
        <v>1</v>
      </c>
      <c r="J2" s="31" t="str">
        <f ca="1">SpecsTxt!B12</f>
        <v>Straight line</v>
      </c>
      <c r="K2" s="32" t="str">
        <f ca="1">SpecsTxt!$I$12</f>
        <v>N GAAP</v>
      </c>
      <c r="L2" s="17"/>
      <c r="M2" s="137" t="b">
        <f>FALSE()</f>
        <v>0</v>
      </c>
      <c r="N2" s="138">
        <v>1</v>
      </c>
      <c r="O2" s="152"/>
      <c r="P2" s="17" t="s">
        <v>6264</v>
      </c>
      <c r="Q2" s="17"/>
      <c r="R2" s="33" t="s">
        <v>46</v>
      </c>
      <c r="S2" s="17"/>
      <c r="T2" s="34"/>
      <c r="U2" s="34"/>
      <c r="V2" s="35"/>
      <c r="W2" s="17"/>
      <c r="X2" s="1209"/>
      <c r="Y2" s="17"/>
      <c r="Z2" s="17"/>
      <c r="AA2" s="17"/>
      <c r="AB2" s="17"/>
      <c r="AC2" s="17"/>
      <c r="AD2" s="191" t="s">
        <v>5125</v>
      </c>
      <c r="AE2" s="191" t="s">
        <v>695</v>
      </c>
      <c r="AF2" s="167" t="s">
        <v>566</v>
      </c>
      <c r="AG2" s="182"/>
      <c r="AH2" s="182"/>
      <c r="AI2" s="182"/>
      <c r="AJ2" s="182"/>
      <c r="AK2" s="182"/>
      <c r="AL2" s="167" t="s">
        <v>572</v>
      </c>
      <c r="AM2" s="182"/>
      <c r="AN2" s="182"/>
      <c r="AO2" s="182"/>
      <c r="AP2" s="182"/>
      <c r="AQ2" s="182"/>
      <c r="AR2" s="186" t="s">
        <v>572</v>
      </c>
      <c r="AS2" s="182"/>
      <c r="AT2" s="182"/>
      <c r="AU2" s="182"/>
      <c r="AV2" s="182"/>
      <c r="AW2" s="182"/>
    </row>
    <row r="3" spans="1:49" ht="13.5" customHeight="1" x14ac:dyDescent="0.35">
      <c r="A3" s="28" t="s">
        <v>1940</v>
      </c>
      <c r="B3" s="211" t="s">
        <v>5986</v>
      </c>
      <c r="C3" s="19">
        <f>MATCH(FinMonth&amp;"/"&amp;InvYear+3,ColHeaders,0)</f>
        <v>5</v>
      </c>
      <c r="D3" s="36" t="s">
        <v>1941</v>
      </c>
      <c r="E3" s="37"/>
      <c r="F3" s="135" t="s">
        <v>1939</v>
      </c>
      <c r="G3" s="157">
        <v>0</v>
      </c>
      <c r="H3" s="17"/>
      <c r="I3" s="38" t="s">
        <v>1944</v>
      </c>
      <c r="J3" s="39" t="str">
        <f ca="1">SpecsTxt!C12</f>
        <v>Declining bal.</v>
      </c>
      <c r="K3" s="40" t="str">
        <f ca="1">SpecsTxt!$H$12</f>
        <v>IFRS 3</v>
      </c>
      <c r="L3" s="17"/>
      <c r="M3" s="139" t="s">
        <v>4866</v>
      </c>
      <c r="N3" s="140">
        <v>2</v>
      </c>
      <c r="O3" s="153"/>
      <c r="P3" s="17" t="s">
        <v>6265</v>
      </c>
      <c r="Q3" s="17"/>
      <c r="R3" s="21" t="s">
        <v>1945</v>
      </c>
      <c r="S3" s="17"/>
      <c r="T3" s="34"/>
      <c r="U3" s="34"/>
      <c r="V3" s="41"/>
      <c r="W3" s="17"/>
      <c r="X3" s="18" t="s">
        <v>5278</v>
      </c>
      <c r="Y3" s="17"/>
      <c r="Z3" s="17"/>
      <c r="AA3" s="17"/>
      <c r="AB3" s="17"/>
      <c r="AC3" s="17"/>
      <c r="AD3" s="179" t="s">
        <v>5125</v>
      </c>
      <c r="AE3" s="179" t="s">
        <v>698</v>
      </c>
      <c r="AF3" s="17"/>
      <c r="AR3" s="178" t="s">
        <v>574</v>
      </c>
    </row>
    <row r="4" spans="1:49" ht="12.75" customHeight="1" thickBot="1" x14ac:dyDescent="0.4">
      <c r="A4" s="28" t="s">
        <v>5923</v>
      </c>
      <c r="B4" s="42">
        <f>Language</f>
        <v>1</v>
      </c>
      <c r="C4" s="19">
        <f>MATCH(FinMonth&amp;"/"&amp;InvYear+2,ColHeaders,0)</f>
        <v>4</v>
      </c>
      <c r="D4" s="43" t="s">
        <v>1946</v>
      </c>
      <c r="E4" s="44"/>
      <c r="F4" s="17" t="s">
        <v>1942</v>
      </c>
      <c r="G4" s="17" t="s">
        <v>1943</v>
      </c>
      <c r="H4" s="17"/>
      <c r="I4" s="21">
        <v>1</v>
      </c>
      <c r="J4" s="22" t="str">
        <f ca="1">SpecsTxt!D12</f>
        <v>Enter</v>
      </c>
      <c r="K4" s="17" t="s">
        <v>1947</v>
      </c>
      <c r="L4" s="17"/>
      <c r="M4" s="137" t="b">
        <f>TRUE()</f>
        <v>1</v>
      </c>
      <c r="N4" s="140">
        <v>3</v>
      </c>
      <c r="O4" s="153"/>
      <c r="P4" s="17" t="s">
        <v>6266</v>
      </c>
      <c r="Q4" s="17"/>
      <c r="R4" s="47">
        <v>1</v>
      </c>
      <c r="S4" s="17"/>
      <c r="T4" s="34"/>
      <c r="U4" s="34"/>
      <c r="V4" s="41"/>
      <c r="W4" s="17"/>
      <c r="X4" s="17"/>
      <c r="Y4" s="17"/>
      <c r="Z4" s="17"/>
      <c r="AA4" s="17"/>
      <c r="AB4" s="17"/>
      <c r="AC4" s="17"/>
      <c r="AD4" s="179" t="s">
        <v>5126</v>
      </c>
      <c r="AE4" s="179" t="s">
        <v>5018</v>
      </c>
      <c r="AF4" s="17"/>
    </row>
    <row r="5" spans="1:49" ht="12.75" customHeight="1" x14ac:dyDescent="0.35">
      <c r="A5" s="17" t="s">
        <v>5922</v>
      </c>
      <c r="B5" s="48">
        <v>2</v>
      </c>
      <c r="C5" s="19">
        <f>MATCH(FinMonth&amp;"/"&amp;InvYear+1,ColHeaders,0)</f>
        <v>3</v>
      </c>
      <c r="D5" s="29" t="s">
        <v>1948</v>
      </c>
      <c r="E5" s="30"/>
      <c r="F5" s="45">
        <v>1</v>
      </c>
      <c r="G5" s="46">
        <v>3</v>
      </c>
      <c r="H5" s="17"/>
      <c r="I5" s="38" t="s">
        <v>1949</v>
      </c>
      <c r="J5" s="17"/>
      <c r="K5" s="21">
        <v>2</v>
      </c>
      <c r="L5" s="17"/>
      <c r="M5" s="150" t="s">
        <v>4896</v>
      </c>
      <c r="N5" s="140">
        <v>4</v>
      </c>
      <c r="O5" s="153"/>
      <c r="P5" s="17"/>
      <c r="Q5" s="17"/>
      <c r="R5" s="21" t="s">
        <v>1950</v>
      </c>
      <c r="S5" s="17"/>
      <c r="T5" s="34"/>
      <c r="U5" s="34"/>
      <c r="V5" s="41"/>
      <c r="W5" s="17"/>
      <c r="X5" s="17"/>
      <c r="Y5" s="17"/>
      <c r="Z5" s="17"/>
      <c r="AA5" s="17"/>
      <c r="AB5" s="17"/>
      <c r="AC5" s="17"/>
      <c r="AD5" s="179" t="s">
        <v>5126</v>
      </c>
      <c r="AE5" s="179" t="s">
        <v>5026</v>
      </c>
      <c r="AF5" s="17"/>
    </row>
    <row r="6" spans="1:49" ht="12.75" customHeight="1" x14ac:dyDescent="0.35">
      <c r="A6" s="17" t="s">
        <v>1951</v>
      </c>
      <c r="B6" s="17"/>
      <c r="C6" s="19">
        <f>MATCH(FinMonth&amp;"/"&amp;InvYear,ColHeaders,0)</f>
        <v>2</v>
      </c>
      <c r="D6" s="43" t="s">
        <v>1952</v>
      </c>
      <c r="E6" s="50"/>
      <c r="F6" s="49">
        <v>2</v>
      </c>
      <c r="G6" s="46">
        <v>3</v>
      </c>
      <c r="H6" s="17"/>
      <c r="I6" s="21">
        <v>1</v>
      </c>
      <c r="K6" s="17" t="s">
        <v>1953</v>
      </c>
      <c r="L6" s="17"/>
      <c r="M6" s="151">
        <v>1</v>
      </c>
      <c r="N6" s="140">
        <v>5</v>
      </c>
      <c r="O6" s="153"/>
      <c r="P6" s="17"/>
      <c r="Q6" s="17"/>
      <c r="R6" s="21">
        <v>0</v>
      </c>
      <c r="S6" s="17"/>
      <c r="T6" s="34"/>
      <c r="U6" s="34"/>
      <c r="V6" s="41"/>
      <c r="W6" s="17"/>
      <c r="X6" s="17"/>
      <c r="Y6" s="17"/>
      <c r="Z6" s="17"/>
      <c r="AA6" s="17"/>
      <c r="AB6" s="17"/>
      <c r="AC6" s="17"/>
      <c r="AD6" s="179" t="s">
        <v>5127</v>
      </c>
      <c r="AE6" s="179" t="s">
        <v>5019</v>
      </c>
      <c r="AF6" s="17"/>
    </row>
    <row r="7" spans="1:49" ht="12.75" customHeight="1" x14ac:dyDescent="0.35">
      <c r="A7" s="17" t="s">
        <v>1954</v>
      </c>
      <c r="B7" s="17"/>
      <c r="C7" s="51">
        <f>IF(ISNA(MATCH(FinYearR,ColHeadersR,0)),IF(ISNA(C2),IF(ISNA(C3),IF(ISNA(C4),IF(ISNA(C5),C6,C5),C4),C3),C2),MATCH(FinYearR,ColHeadersR,0))+C1</f>
        <v>9</v>
      </c>
      <c r="D7" s="17" t="s">
        <v>1955</v>
      </c>
      <c r="E7" s="17"/>
      <c r="F7" s="49">
        <v>3</v>
      </c>
      <c r="G7" s="46">
        <v>3</v>
      </c>
      <c r="H7" s="17"/>
      <c r="I7" s="17"/>
      <c r="K7" s="21" t="b">
        <f>TRUE()</f>
        <v>1</v>
      </c>
      <c r="L7" s="17"/>
      <c r="M7" s="155" t="s">
        <v>4897</v>
      </c>
      <c r="N7" s="140">
        <v>6</v>
      </c>
      <c r="O7" s="153"/>
      <c r="P7" s="17"/>
      <c r="Q7" s="17"/>
      <c r="R7" s="17" t="s">
        <v>1956</v>
      </c>
      <c r="S7" s="17"/>
      <c r="T7" s="34"/>
      <c r="U7" s="34"/>
      <c r="V7" s="41"/>
      <c r="W7" s="17"/>
      <c r="X7" s="17"/>
      <c r="Y7" s="17"/>
      <c r="Z7" s="17"/>
      <c r="AA7" s="17"/>
      <c r="AB7" s="17"/>
      <c r="AC7" s="17"/>
      <c r="AD7" s="179" t="s">
        <v>5127</v>
      </c>
      <c r="AE7" s="179" t="s">
        <v>5027</v>
      </c>
      <c r="AF7" s="17"/>
    </row>
    <row r="8" spans="1:49" ht="12.75" customHeight="1" x14ac:dyDescent="0.35">
      <c r="A8" s="17" t="s">
        <v>1957</v>
      </c>
      <c r="B8" s="21">
        <v>1</v>
      </c>
      <c r="C8" s="52" t="str">
        <f ca="1">OFFSET(Calculations!$A$1,10,YearCol-1)</f>
        <v>12/2020</v>
      </c>
      <c r="D8" s="29" t="s">
        <v>1958</v>
      </c>
      <c r="E8" s="117"/>
      <c r="F8" s="122">
        <v>4</v>
      </c>
      <c r="G8" s="46">
        <v>3</v>
      </c>
      <c r="H8" s="17"/>
      <c r="I8" s="53" t="s">
        <v>1959</v>
      </c>
      <c r="K8" s="223" t="s">
        <v>1960</v>
      </c>
      <c r="L8" s="17"/>
      <c r="M8" s="155" t="s">
        <v>4898</v>
      </c>
      <c r="N8" s="140">
        <v>7</v>
      </c>
      <c r="O8" s="153"/>
      <c r="P8" s="17"/>
      <c r="Q8" s="17"/>
      <c r="R8" s="21">
        <v>1</v>
      </c>
      <c r="S8" s="17"/>
      <c r="T8" s="34"/>
      <c r="U8" s="34"/>
      <c r="V8" s="41"/>
      <c r="W8" s="17"/>
      <c r="X8" s="17"/>
      <c r="Y8" s="17"/>
      <c r="Z8" s="17"/>
      <c r="AA8" s="17"/>
      <c r="AB8" s="17"/>
      <c r="AC8" s="17"/>
      <c r="AD8" s="179" t="s">
        <v>5124</v>
      </c>
      <c r="AE8" s="179" t="s">
        <v>5020</v>
      </c>
      <c r="AF8" s="17"/>
    </row>
    <row r="9" spans="1:49" ht="13.5" customHeight="1" thickBot="1" x14ac:dyDescent="0.4">
      <c r="A9"/>
      <c r="B9"/>
      <c r="C9" s="54" t="s">
        <v>1961</v>
      </c>
      <c r="D9" s="36" t="s">
        <v>1962</v>
      </c>
      <c r="E9" s="37"/>
      <c r="F9" s="122">
        <v>5</v>
      </c>
      <c r="G9" s="46">
        <v>3</v>
      </c>
      <c r="H9" s="17"/>
      <c r="I9" s="55" t="b">
        <v>1</v>
      </c>
      <c r="K9" s="222">
        <v>1</v>
      </c>
      <c r="L9" s="17"/>
      <c r="M9" s="150" t="s">
        <v>4899</v>
      </c>
      <c r="N9" s="140">
        <v>8</v>
      </c>
      <c r="O9" s="153"/>
      <c r="P9" s="17"/>
      <c r="Q9" s="17"/>
      <c r="R9" s="17"/>
      <c r="S9" s="17"/>
      <c r="T9" s="34"/>
      <c r="U9" s="34"/>
      <c r="V9" s="41"/>
      <c r="W9" s="17"/>
      <c r="X9" s="17"/>
      <c r="Y9" s="17"/>
      <c r="Z9" s="17"/>
      <c r="AA9" s="17"/>
      <c r="AB9" s="17"/>
      <c r="AC9" s="17"/>
      <c r="AD9" s="179" t="s">
        <v>5124</v>
      </c>
      <c r="AE9" s="179" t="s">
        <v>5028</v>
      </c>
      <c r="AF9" s="17"/>
    </row>
    <row r="10" spans="1:49" ht="12.75" customHeight="1" thickBot="1" x14ac:dyDescent="0.4">
      <c r="A10" s="1235" t="s">
        <v>5345</v>
      </c>
      <c r="B10" s="1234" t="b">
        <f>FALSE()</f>
        <v>0</v>
      </c>
      <c r="C10" s="17"/>
      <c r="D10" s="36" t="s">
        <v>1964</v>
      </c>
      <c r="E10" s="37"/>
      <c r="F10" s="123" t="s">
        <v>1963</v>
      </c>
      <c r="G10" s="46">
        <v>3</v>
      </c>
      <c r="H10" s="17"/>
      <c r="I10" s="17" t="s">
        <v>1966</v>
      </c>
      <c r="K10" s="165" t="s">
        <v>1961</v>
      </c>
      <c r="L10" s="17"/>
      <c r="M10" s="17"/>
      <c r="N10" s="140">
        <v>9</v>
      </c>
      <c r="O10" s="153"/>
      <c r="P10" s="17"/>
      <c r="Q10" s="17"/>
      <c r="R10" s="17"/>
      <c r="S10" s="17"/>
      <c r="T10" s="34"/>
      <c r="U10" s="34"/>
      <c r="V10" s="41"/>
      <c r="W10" s="17"/>
      <c r="X10" s="17"/>
      <c r="Y10" s="17"/>
      <c r="Z10" s="17"/>
      <c r="AA10" s="17"/>
      <c r="AB10" s="17"/>
      <c r="AC10" s="17"/>
      <c r="AD10" s="179" t="s">
        <v>5128</v>
      </c>
      <c r="AE10" s="179" t="s">
        <v>5021</v>
      </c>
      <c r="AF10" s="17"/>
    </row>
    <row r="11" spans="1:49" ht="12.75" customHeight="1" x14ac:dyDescent="0.35">
      <c r="A11"/>
      <c r="B11"/>
      <c r="C11" s="17"/>
      <c r="D11" s="36" t="s">
        <v>1967</v>
      </c>
      <c r="E11" s="37"/>
      <c r="F11" s="17" t="s">
        <v>1965</v>
      </c>
      <c r="G11" s="21">
        <v>1</v>
      </c>
      <c r="H11" s="17"/>
      <c r="I11" s="55">
        <v>0</v>
      </c>
      <c r="J11" s="224" t="s">
        <v>5201</v>
      </c>
      <c r="K11" s="173">
        <v>1</v>
      </c>
      <c r="L11"/>
      <c r="M11" s="17"/>
      <c r="N11" s="140">
        <v>10</v>
      </c>
      <c r="O11" s="153"/>
      <c r="P11" s="17"/>
      <c r="Q11" s="17"/>
      <c r="R11" s="17"/>
      <c r="S11" s="17"/>
      <c r="T11" s="34"/>
      <c r="U11" s="34"/>
      <c r="V11" s="47"/>
      <c r="W11" s="17"/>
      <c r="X11" s="17"/>
      <c r="Y11" s="17"/>
      <c r="Z11" s="17"/>
      <c r="AA11" s="17"/>
      <c r="AB11" s="17"/>
      <c r="AC11" s="17"/>
      <c r="AD11" s="178" t="s">
        <v>5128</v>
      </c>
      <c r="AE11" s="178" t="s">
        <v>5029</v>
      </c>
      <c r="AF11" s="17"/>
    </row>
    <row r="12" spans="1:49" ht="13.5" customHeight="1" thickBot="1" x14ac:dyDescent="0.4">
      <c r="A12" s="1303" t="s">
        <v>5925</v>
      </c>
      <c r="B12" s="1317">
        <v>0</v>
      </c>
      <c r="C12" s="17"/>
      <c r="D12" s="36" t="s">
        <v>1968</v>
      </c>
      <c r="E12" s="93"/>
      <c r="F12" s="17"/>
      <c r="G12" s="17" t="s">
        <v>1969</v>
      </c>
      <c r="H12" s="17"/>
      <c r="I12" s="17" t="s">
        <v>1970</v>
      </c>
      <c r="J12" s="167" t="b">
        <f>TRUE()</f>
        <v>1</v>
      </c>
      <c r="K12" s="165" t="s">
        <v>4966</v>
      </c>
      <c r="L12"/>
      <c r="M12" s="1303" t="s">
        <v>5926</v>
      </c>
      <c r="N12" s="140">
        <v>11</v>
      </c>
      <c r="O12" s="153"/>
      <c r="P12" s="17"/>
      <c r="Q12" s="17"/>
      <c r="R12" s="17"/>
      <c r="S12" s="17"/>
      <c r="T12" s="34"/>
      <c r="U12" s="34"/>
      <c r="V12" s="17"/>
      <c r="W12" s="17"/>
      <c r="X12" s="56">
        <f ca="1">SUM(Calculations!$G$17:OFFSET(Calculations!$G$17,0,MAX(1,X13-1)))</f>
        <v>4</v>
      </c>
      <c r="Y12" s="17"/>
      <c r="Z12" s="17"/>
      <c r="AA12" s="17"/>
      <c r="AB12" s="17"/>
      <c r="AC12" s="17"/>
      <c r="AD12" s="191" t="s">
        <v>5129</v>
      </c>
      <c r="AE12" s="192" t="s">
        <v>5117</v>
      </c>
      <c r="AF12" s="17"/>
    </row>
    <row r="13" spans="1:49" ht="12.75" customHeight="1" x14ac:dyDescent="0.35">
      <c r="A13"/>
      <c r="B13"/>
      <c r="C13" s="28"/>
      <c r="D13" s="36" t="s">
        <v>1971</v>
      </c>
      <c r="E13" s="93"/>
      <c r="F13" s="17"/>
      <c r="G13" s="21"/>
      <c r="H13" s="57" t="s">
        <v>1972</v>
      </c>
      <c r="I13" s="58" t="str">
        <f>Result!$D$57</f>
        <v>Net Present Value (NPV)</v>
      </c>
      <c r="J13" s="55" t="s">
        <v>1973</v>
      </c>
      <c r="K13" s="167">
        <v>1</v>
      </c>
      <c r="L13"/>
      <c r="M13" s="1317" t="b">
        <v>0</v>
      </c>
      <c r="N13" s="140">
        <v>12</v>
      </c>
      <c r="O13" s="153"/>
      <c r="P13" s="17"/>
      <c r="Q13" s="17"/>
      <c r="R13" s="17"/>
      <c r="S13" s="17"/>
      <c r="T13" s="34"/>
      <c r="U13" s="34"/>
      <c r="V13" s="17"/>
      <c r="W13" s="17"/>
      <c r="X13" s="17">
        <f>MATCH(TEXT(FinMonth,"00")&amp;"*",Calculations!$G$6:$N$6,0)</f>
        <v>2</v>
      </c>
      <c r="Y13" s="17" t="s">
        <v>1107</v>
      </c>
      <c r="Z13" s="17"/>
      <c r="AA13" s="17"/>
      <c r="AB13" s="35" t="s">
        <v>1974</v>
      </c>
      <c r="AC13" s="142" t="s">
        <v>4863</v>
      </c>
      <c r="AD13" s="179" t="s">
        <v>5129</v>
      </c>
      <c r="AE13" s="193" t="s">
        <v>713</v>
      </c>
      <c r="AF13" s="17"/>
    </row>
    <row r="14" spans="1:49" ht="12.75" customHeight="1" x14ac:dyDescent="0.35">
      <c r="A14" s="17"/>
      <c r="B14" s="54" t="s">
        <v>1975</v>
      </c>
      <c r="C14" s="54" t="s">
        <v>1976</v>
      </c>
      <c r="D14" s="124" t="s">
        <v>1977</v>
      </c>
      <c r="E14" s="59">
        <v>1</v>
      </c>
      <c r="F14" s="17"/>
      <c r="G14" s="17" t="s">
        <v>1978</v>
      </c>
      <c r="H14" s="17"/>
      <c r="I14" s="175" t="str">
        <f>Result!$D$70</f>
        <v>Profitability Index (PI)</v>
      </c>
      <c r="J14" s="21" t="b">
        <f>TRUE()</f>
        <v>1</v>
      </c>
      <c r="K14" s="165" t="s">
        <v>4967</v>
      </c>
      <c r="L14"/>
      <c r="M14" s="1303" t="s">
        <v>5927</v>
      </c>
      <c r="N14" s="140">
        <v>13</v>
      </c>
      <c r="O14" s="153"/>
      <c r="P14" s="17"/>
      <c r="Q14" s="17"/>
      <c r="R14" s="17"/>
      <c r="S14" s="17"/>
      <c r="T14" s="34"/>
      <c r="U14" s="34"/>
      <c r="V14" s="61" t="s">
        <v>1979</v>
      </c>
      <c r="W14" s="17" t="s">
        <v>1980</v>
      </c>
      <c r="X14" s="17"/>
      <c r="Y14" s="17" t="s">
        <v>1981</v>
      </c>
      <c r="Z14" s="17" t="s">
        <v>1982</v>
      </c>
      <c r="AA14" s="17" t="s">
        <v>1983</v>
      </c>
      <c r="AB14" s="41" t="s">
        <v>1984</v>
      </c>
      <c r="AC14" s="143" t="s">
        <v>4867</v>
      </c>
      <c r="AD14" s="179" t="s">
        <v>5130</v>
      </c>
      <c r="AE14" s="193" t="s">
        <v>5118</v>
      </c>
      <c r="AF14" s="17"/>
    </row>
    <row r="15" spans="1:49" ht="13.5" customHeight="1" x14ac:dyDescent="0.35">
      <c r="A15" s="17" t="s">
        <v>1985</v>
      </c>
      <c r="B15" s="21">
        <v>1</v>
      </c>
      <c r="C15" s="21">
        <v>2</v>
      </c>
      <c r="D15" s="62" t="s">
        <v>1986</v>
      </c>
      <c r="E15" s="63">
        <v>1</v>
      </c>
      <c r="F15" s="17"/>
      <c r="G15" s="21"/>
      <c r="H15" s="17"/>
      <c r="I15" s="60" t="str">
        <f>Result!$D$81</f>
        <v>Discounted Value Added (DCVA)</v>
      </c>
      <c r="J15" s="17"/>
      <c r="K15" s="167">
        <v>1</v>
      </c>
      <c r="L15"/>
      <c r="M15" s="1317"/>
      <c r="N15" s="140">
        <v>14</v>
      </c>
      <c r="O15" s="153"/>
      <c r="P15" s="17"/>
      <c r="Q15" s="17"/>
      <c r="R15" s="17"/>
      <c r="S15" s="17"/>
      <c r="T15" s="34"/>
      <c r="U15" s="34"/>
      <c r="V15" s="126"/>
      <c r="W15" s="20" t="s">
        <v>1987</v>
      </c>
      <c r="X15" s="64" t="s">
        <v>1988</v>
      </c>
      <c r="Y15" s="17" t="s">
        <v>1989</v>
      </c>
      <c r="Z15" s="17" t="s">
        <v>1989</v>
      </c>
      <c r="AA15" s="17" t="s">
        <v>1990</v>
      </c>
      <c r="AB15" s="47" t="s">
        <v>1991</v>
      </c>
      <c r="AC15" s="144" t="s">
        <v>4868</v>
      </c>
      <c r="AD15" s="179" t="s">
        <v>5130</v>
      </c>
      <c r="AE15" s="193" t="s">
        <v>4958</v>
      </c>
      <c r="AF15" s="17"/>
    </row>
    <row r="16" spans="1:49" ht="12.75" customHeight="1" thickBot="1" x14ac:dyDescent="0.4">
      <c r="A16" s="35" t="str">
        <f>Result!$D$57</f>
        <v>Net Present Value (NPV)</v>
      </c>
      <c r="B16" s="17"/>
      <c r="C16" s="54" t="s">
        <v>1992</v>
      </c>
      <c r="D16" s="65" t="s">
        <v>1993</v>
      </c>
      <c r="E16" s="66">
        <v>2</v>
      </c>
      <c r="F16" s="17"/>
      <c r="G16" s="17"/>
      <c r="H16" s="17"/>
      <c r="I16" s="125" t="str">
        <f>Result!$D$72</f>
        <v>Payback time, years</v>
      </c>
      <c r="J16" s="160" t="s">
        <v>4964</v>
      </c>
      <c r="K16" s="165" t="s">
        <v>4968</v>
      </c>
      <c r="L16"/>
      <c r="M16" s="17"/>
      <c r="N16" s="140">
        <v>15</v>
      </c>
      <c r="O16" s="153"/>
      <c r="P16" s="17"/>
      <c r="Q16" s="17"/>
      <c r="R16" s="17"/>
      <c r="S16" s="17"/>
      <c r="T16" s="34"/>
      <c r="U16" s="34"/>
      <c r="V16" s="35"/>
      <c r="W16" s="35">
        <v>1</v>
      </c>
      <c r="X16" s="35">
        <f ca="1">IF(AND(NOT(ISERROR($X$12)),$X$12&gt;0,$X$12&lt;=12),$X$12,12)</f>
        <v>4</v>
      </c>
      <c r="Y16" s="35">
        <v>0</v>
      </c>
      <c r="Z16" s="35">
        <v>0</v>
      </c>
      <c r="AA16" s="35"/>
      <c r="AB16" s="35">
        <v>0</v>
      </c>
      <c r="AC16" s="145">
        <v>0</v>
      </c>
      <c r="AD16" s="179" t="s">
        <v>5131</v>
      </c>
      <c r="AE16" s="193" t="s">
        <v>5119</v>
      </c>
      <c r="AF16" s="17"/>
    </row>
    <row r="17" spans="1:32" ht="13.5" customHeight="1" thickBot="1" x14ac:dyDescent="0.4">
      <c r="A17" s="41" t="str">
        <f>Result!$D$67</f>
        <v>Internal Rate of Return (IRR)</v>
      </c>
      <c r="B17" s="17"/>
      <c r="C17" s="38" t="str">
        <f>INDEX(FinYearsR,FinYearRIndex)</f>
        <v>12/2020</v>
      </c>
      <c r="D17" s="67" t="s">
        <v>1994</v>
      </c>
      <c r="E17" s="59" t="b">
        <f>TRUE()</f>
        <v>1</v>
      </c>
      <c r="F17" s="17" t="s">
        <v>1995</v>
      </c>
      <c r="G17" s="21"/>
      <c r="H17" s="17"/>
      <c r="I17" s="176" t="str">
        <f>Result!$D$76</f>
        <v>Simple Payback, years</v>
      </c>
      <c r="J17" s="166"/>
      <c r="K17" s="167">
        <v>1</v>
      </c>
      <c r="L17"/>
      <c r="M17" s="1303" t="s">
        <v>5976</v>
      </c>
      <c r="N17" s="140">
        <v>16</v>
      </c>
      <c r="O17" s="153"/>
      <c r="P17" s="17"/>
      <c r="Q17" s="17"/>
      <c r="R17" s="17"/>
      <c r="S17" s="17"/>
      <c r="T17" s="34"/>
      <c r="U17" s="34"/>
      <c r="V17" s="41"/>
      <c r="W17" s="41">
        <v>1</v>
      </c>
      <c r="X17" s="41">
        <f t="shared" ref="X17:X75" ca="1" si="0">IF(AND(NOT(ISERROR($X$12)),$X$12&gt;0,$X$12&lt;=12),$X$12,12)</f>
        <v>4</v>
      </c>
      <c r="Y17" s="41">
        <v>0</v>
      </c>
      <c r="Z17" s="41">
        <v>0</v>
      </c>
      <c r="AA17" s="41"/>
      <c r="AB17" s="41">
        <v>0</v>
      </c>
      <c r="AC17" s="143">
        <v>0</v>
      </c>
      <c r="AD17" s="179" t="s">
        <v>5131</v>
      </c>
      <c r="AE17" s="193" t="s">
        <v>4961</v>
      </c>
      <c r="AF17" s="17"/>
    </row>
    <row r="18" spans="1:32" ht="12.75" customHeight="1" x14ac:dyDescent="0.35">
      <c r="A18" s="179" t="str">
        <f>Result!$D$68</f>
        <v>Internal Rate of Return before tax</v>
      </c>
      <c r="B18" s="17"/>
      <c r="C18" s="17"/>
      <c r="D18" s="67" t="s">
        <v>1996</v>
      </c>
      <c r="E18" s="59">
        <v>0</v>
      </c>
      <c r="F18" s="17" t="s">
        <v>1997</v>
      </c>
      <c r="G18" s="21">
        <v>0</v>
      </c>
      <c r="H18" s="17"/>
      <c r="I18" s="58" t="str">
        <f>Result!$D$111</f>
        <v>Net Present Value to equity (NPVe)</v>
      </c>
      <c r="J18" s="160" t="s">
        <v>4965</v>
      </c>
      <c r="K18" s="165" t="s">
        <v>4969</v>
      </c>
      <c r="L18"/>
      <c r="M18" s="1317" t="b">
        <v>0</v>
      </c>
      <c r="N18" s="140">
        <v>17</v>
      </c>
      <c r="O18" s="153"/>
      <c r="P18" s="17"/>
      <c r="Q18" s="17"/>
      <c r="R18" s="17"/>
      <c r="S18" s="17"/>
      <c r="T18" s="34"/>
      <c r="U18" s="34"/>
      <c r="V18" s="41"/>
      <c r="W18" s="41">
        <v>1</v>
      </c>
      <c r="X18" s="41">
        <f t="shared" ca="1" si="0"/>
        <v>4</v>
      </c>
      <c r="Y18" s="41">
        <v>0</v>
      </c>
      <c r="Z18" s="41">
        <v>0</v>
      </c>
      <c r="AA18" s="41"/>
      <c r="AB18" s="41">
        <v>0</v>
      </c>
      <c r="AC18" s="143">
        <v>0</v>
      </c>
      <c r="AD18" s="179" t="s">
        <v>5132</v>
      </c>
      <c r="AE18" s="179" t="s">
        <v>5120</v>
      </c>
      <c r="AF18" s="17"/>
    </row>
    <row r="19" spans="1:32" ht="12.75" customHeight="1" x14ac:dyDescent="0.35">
      <c r="A19" s="17" t="str">
        <f>Result!$D$69</f>
        <v>Modified Internal Rate of Return (MIRR)</v>
      </c>
      <c r="B19" s="68" t="s">
        <v>1999</v>
      </c>
      <c r="C19" s="54" t="s">
        <v>2000</v>
      </c>
      <c r="D19" s="54" t="s">
        <v>2001</v>
      </c>
      <c r="E19" s="54" t="s">
        <v>2002</v>
      </c>
      <c r="F19" s="17" t="s">
        <v>2003</v>
      </c>
      <c r="G19" s="21">
        <v>1</v>
      </c>
      <c r="H19" s="17"/>
      <c r="I19" s="174" t="str">
        <f>Result!$D$118</f>
        <v>Payback time to equity, years</v>
      </c>
      <c r="J19" s="166"/>
      <c r="K19" s="167">
        <v>1</v>
      </c>
      <c r="L19"/>
      <c r="M19" s="17"/>
      <c r="N19" s="140">
        <v>18</v>
      </c>
      <c r="O19" s="153"/>
      <c r="P19" s="17"/>
      <c r="Q19" s="17"/>
      <c r="R19" s="17"/>
      <c r="S19" s="17"/>
      <c r="T19" s="34"/>
      <c r="U19" s="34"/>
      <c r="V19" s="41"/>
      <c r="W19" s="41">
        <v>1</v>
      </c>
      <c r="X19" s="41">
        <f t="shared" ca="1" si="0"/>
        <v>4</v>
      </c>
      <c r="Y19" s="41">
        <v>0</v>
      </c>
      <c r="Z19" s="41">
        <v>0</v>
      </c>
      <c r="AA19" s="41"/>
      <c r="AB19" s="41">
        <v>0</v>
      </c>
      <c r="AC19" s="143">
        <v>0</v>
      </c>
      <c r="AD19" s="179" t="s">
        <v>5132</v>
      </c>
      <c r="AE19" s="179" t="s">
        <v>5123</v>
      </c>
      <c r="AF19" s="17"/>
    </row>
    <row r="20" spans="1:32" ht="12.75" customHeight="1" thickBot="1" x14ac:dyDescent="0.4">
      <c r="A20" s="160" t="str">
        <f>Result!$D$70</f>
        <v>Profitability Index (PI)</v>
      </c>
      <c r="B20" s="158" t="s">
        <v>6268</v>
      </c>
      <c r="C20" s="158" t="s">
        <v>6270</v>
      </c>
      <c r="D20" s="70">
        <f ca="1">Calculations!$H$1038</f>
        <v>-23377288.617723797</v>
      </c>
      <c r="E20" s="70" t="e">
        <f ca="1">Calculations!$H$1039</f>
        <v>#N/A</v>
      </c>
      <c r="F20" s="17" t="s">
        <v>2004</v>
      </c>
      <c r="G20" s="21">
        <v>1</v>
      </c>
      <c r="H20" s="17"/>
      <c r="I20" s="177" t="str">
        <f>Result!$D$122</f>
        <v>Simple Payback to equity, years</v>
      </c>
      <c r="J20" s="160" t="s">
        <v>5068</v>
      </c>
      <c r="K20" s="160" t="s">
        <v>5005</v>
      </c>
      <c r="L20" s="160" t="s">
        <v>5070</v>
      </c>
      <c r="M20" s="17"/>
      <c r="N20" s="140">
        <v>19</v>
      </c>
      <c r="O20" s="153"/>
      <c r="P20" s="17"/>
      <c r="Q20" s="17"/>
      <c r="R20" s="17"/>
      <c r="S20" s="17"/>
      <c r="T20" s="34"/>
      <c r="U20" s="34"/>
      <c r="V20" s="41"/>
      <c r="W20" s="41">
        <v>1</v>
      </c>
      <c r="X20" s="41">
        <f t="shared" ca="1" si="0"/>
        <v>4</v>
      </c>
      <c r="Y20" s="41">
        <v>0</v>
      </c>
      <c r="Z20" s="41">
        <v>0</v>
      </c>
      <c r="AA20" s="41"/>
      <c r="AB20" s="41">
        <v>0</v>
      </c>
      <c r="AC20" s="143">
        <v>0</v>
      </c>
      <c r="AD20" s="179" t="s">
        <v>5133</v>
      </c>
      <c r="AE20" s="179" t="s">
        <v>5121</v>
      </c>
      <c r="AF20" s="17"/>
    </row>
    <row r="21" spans="1:32" ht="12.75" customHeight="1" x14ac:dyDescent="0.35">
      <c r="A21" s="47" t="str">
        <f>Result!$D$81</f>
        <v>Discounted Value Added (DCVA)</v>
      </c>
      <c r="B21" s="158" t="s">
        <v>6270</v>
      </c>
      <c r="C21" s="158" t="s">
        <v>6272</v>
      </c>
      <c r="D21" s="70">
        <f ca="1">Calculations!$I$1038</f>
        <v>-7617622.9661464524</v>
      </c>
      <c r="E21" s="70" t="e">
        <f ca="1">Calculations!$I$1039</f>
        <v>#N/A</v>
      </c>
      <c r="F21" s="20" t="s">
        <v>2006</v>
      </c>
      <c r="G21" s="71">
        <v>0</v>
      </c>
      <c r="H21" s="17"/>
      <c r="I21" s="17" t="s">
        <v>1998</v>
      </c>
      <c r="J21" s="195" t="b">
        <f>FALSE()</f>
        <v>0</v>
      </c>
      <c r="K21" s="195" t="b">
        <f>FALSE()</f>
        <v>0</v>
      </c>
      <c r="L21" s="195" t="b">
        <f>FALSE()</f>
        <v>0</v>
      </c>
      <c r="M21" s="17"/>
      <c r="N21" s="140">
        <v>20</v>
      </c>
      <c r="O21" s="153"/>
      <c r="P21" s="17"/>
      <c r="Q21" s="17"/>
      <c r="R21" s="17"/>
      <c r="S21" s="17"/>
      <c r="T21" s="34"/>
      <c r="U21" s="34"/>
      <c r="V21" s="41"/>
      <c r="W21" s="41">
        <v>1</v>
      </c>
      <c r="X21" s="41">
        <f t="shared" ca="1" si="0"/>
        <v>4</v>
      </c>
      <c r="Y21" s="41">
        <v>0</v>
      </c>
      <c r="Z21" s="41">
        <v>0</v>
      </c>
      <c r="AA21" s="41"/>
      <c r="AB21" s="41">
        <v>0</v>
      </c>
      <c r="AC21" s="143">
        <v>0</v>
      </c>
      <c r="AD21" s="178" t="s">
        <v>5133</v>
      </c>
      <c r="AE21" s="178" t="s">
        <v>5009</v>
      </c>
      <c r="AF21" s="17"/>
    </row>
    <row r="22" spans="1:32" ht="12.75" customHeight="1" x14ac:dyDescent="0.35">
      <c r="A22" s="47" t="str">
        <f>Result!$D$72</f>
        <v>Payback time, years</v>
      </c>
      <c r="B22" s="158" t="s">
        <v>6272</v>
      </c>
      <c r="C22" s="158" t="s">
        <v>6274</v>
      </c>
      <c r="D22" s="70">
        <f ca="1">Calculations!$J$1038</f>
        <v>-2225035.2909782305</v>
      </c>
      <c r="E22" s="70" t="e">
        <f ca="1">Calculations!$J$1039</f>
        <v>#N/A</v>
      </c>
      <c r="F22" s="20" t="s">
        <v>2007</v>
      </c>
      <c r="G22" s="71">
        <v>0</v>
      </c>
      <c r="H22" s="17"/>
      <c r="I22" s="55">
        <v>1</v>
      </c>
      <c r="J22" s="160" t="s">
        <v>5069</v>
      </c>
      <c r="K22" s="160" t="s">
        <v>5006</v>
      </c>
      <c r="L22" s="160" t="s">
        <v>5071</v>
      </c>
      <c r="M22" s="17"/>
      <c r="N22" s="140">
        <v>21</v>
      </c>
      <c r="O22" s="153"/>
      <c r="P22" s="17"/>
      <c r="Q22" s="17"/>
      <c r="R22" s="17"/>
      <c r="S22" s="17"/>
      <c r="T22" s="34"/>
      <c r="U22" s="34"/>
      <c r="V22" s="41"/>
      <c r="W22" s="41">
        <v>1</v>
      </c>
      <c r="X22" s="41">
        <f t="shared" ca="1" si="0"/>
        <v>4</v>
      </c>
      <c r="Y22" s="41">
        <v>0</v>
      </c>
      <c r="Z22" s="41">
        <v>0</v>
      </c>
      <c r="AA22" s="41"/>
      <c r="AB22" s="41">
        <v>0</v>
      </c>
      <c r="AC22" s="143">
        <v>0</v>
      </c>
      <c r="AD22" s="191" t="s">
        <v>5134</v>
      </c>
      <c r="AE22" s="191" t="s">
        <v>718</v>
      </c>
      <c r="AF22" s="17"/>
    </row>
    <row r="23" spans="1:32" ht="12.75" customHeight="1" x14ac:dyDescent="0.35">
      <c r="A23" s="178" t="str">
        <f>Result!$D$76</f>
        <v>Simple Payback, years</v>
      </c>
      <c r="B23" s="158" t="s">
        <v>6274</v>
      </c>
      <c r="C23" s="158" t="s">
        <v>6276</v>
      </c>
      <c r="D23" s="70" t="e">
        <f ca="1">Calculations!$K$1038</f>
        <v>#N/A</v>
      </c>
      <c r="E23" s="70">
        <f ca="1">Calculations!$K$1039</f>
        <v>5492090.9052077318</v>
      </c>
      <c r="F23" s="20" t="s">
        <v>2009</v>
      </c>
      <c r="G23" s="71">
        <v>0</v>
      </c>
      <c r="H23" s="17"/>
      <c r="I23" s="17" t="s">
        <v>2005</v>
      </c>
      <c r="J23" s="195" t="s">
        <v>696</v>
      </c>
      <c r="K23" s="195" t="s">
        <v>709</v>
      </c>
      <c r="L23" s="195" t="s">
        <v>719</v>
      </c>
      <c r="M23" s="17"/>
      <c r="N23" s="140">
        <v>22</v>
      </c>
      <c r="O23" s="153"/>
      <c r="P23" s="17"/>
      <c r="Q23" s="17"/>
      <c r="R23" s="17"/>
      <c r="S23" s="17"/>
      <c r="T23" s="34"/>
      <c r="U23" s="34"/>
      <c r="V23" s="41"/>
      <c r="W23" s="41">
        <v>1</v>
      </c>
      <c r="X23" s="41">
        <f t="shared" ca="1" si="0"/>
        <v>4</v>
      </c>
      <c r="Y23" s="41">
        <v>0</v>
      </c>
      <c r="Z23" s="41">
        <v>0</v>
      </c>
      <c r="AA23" s="41"/>
      <c r="AB23" s="41">
        <v>0</v>
      </c>
      <c r="AC23" s="143">
        <v>0</v>
      </c>
      <c r="AD23" s="179" t="s">
        <v>5134</v>
      </c>
      <c r="AE23" s="179" t="s">
        <v>721</v>
      </c>
      <c r="AF23" s="17"/>
    </row>
    <row r="24" spans="1:32" ht="12.75" customHeight="1" x14ac:dyDescent="0.35">
      <c r="A24" s="17" t="str">
        <f>Result!$D$111</f>
        <v>Net Present Value to equity (NPVe)</v>
      </c>
      <c r="B24" s="158" t="s">
        <v>6276</v>
      </c>
      <c r="C24" s="158" t="s">
        <v>6278</v>
      </c>
      <c r="D24" s="70" t="e">
        <f ca="1">Calculations!$L$1038</f>
        <v>#N/A</v>
      </c>
      <c r="E24" s="70">
        <f ca="1">Calculations!$L$1039</f>
        <v>15555990.509564087</v>
      </c>
      <c r="F24" s="20" t="s">
        <v>2010</v>
      </c>
      <c r="G24" s="71">
        <v>0</v>
      </c>
      <c r="H24" s="17"/>
      <c r="I24" s="72">
        <v>64</v>
      </c>
      <c r="J24" s="160" t="s">
        <v>5143</v>
      </c>
      <c r="K24" s="160" t="s">
        <v>5144</v>
      </c>
      <c r="L24" s="160" t="s">
        <v>5145</v>
      </c>
      <c r="M24" s="17"/>
      <c r="N24" s="140">
        <v>23</v>
      </c>
      <c r="O24" s="153"/>
      <c r="P24" s="17"/>
      <c r="Q24" s="17"/>
      <c r="R24" s="17"/>
      <c r="S24" s="17"/>
      <c r="T24" s="34"/>
      <c r="U24" s="34"/>
      <c r="V24" s="41"/>
      <c r="W24" s="41">
        <v>1</v>
      </c>
      <c r="X24" s="41">
        <f t="shared" ca="1" si="0"/>
        <v>4</v>
      </c>
      <c r="Y24" s="41">
        <v>0</v>
      </c>
      <c r="Z24" s="41">
        <v>0</v>
      </c>
      <c r="AA24" s="41"/>
      <c r="AB24" s="41">
        <v>0</v>
      </c>
      <c r="AC24" s="143">
        <v>0</v>
      </c>
      <c r="AD24" s="179" t="s">
        <v>5135</v>
      </c>
      <c r="AE24" s="179" t="s">
        <v>5034</v>
      </c>
      <c r="AF24" s="17"/>
    </row>
    <row r="25" spans="1:32" ht="12.75" customHeight="1" x14ac:dyDescent="0.35">
      <c r="A25" s="17" t="str">
        <f>Result!$D$114</f>
        <v>Internal Rate of Return to equity (IRRe)</v>
      </c>
      <c r="B25" s="158" t="s">
        <v>6278</v>
      </c>
      <c r="C25" s="69" t="s">
        <v>6280</v>
      </c>
      <c r="D25" s="70" t="e">
        <f ca="1">Calculations!$M$1038</f>
        <v>#N/A</v>
      </c>
      <c r="E25" s="70">
        <f ca="1">Calculations!$M$1039</f>
        <v>28655912.497846983</v>
      </c>
      <c r="F25" s="20" t="s">
        <v>2012</v>
      </c>
      <c r="G25" s="71">
        <v>0</v>
      </c>
      <c r="H25" s="17"/>
      <c r="I25" s="17" t="s">
        <v>2008</v>
      </c>
      <c r="J25" s="195">
        <v>5</v>
      </c>
      <c r="K25" s="195">
        <v>5</v>
      </c>
      <c r="L25" s="195">
        <v>5</v>
      </c>
      <c r="M25" s="17"/>
      <c r="N25" s="140">
        <v>24</v>
      </c>
      <c r="O25" s="153"/>
      <c r="P25" s="17"/>
      <c r="Q25" s="17"/>
      <c r="R25" s="17"/>
      <c r="S25" s="17"/>
      <c r="T25" s="34"/>
      <c r="U25" s="34"/>
      <c r="V25" s="41"/>
      <c r="W25" s="41">
        <v>1</v>
      </c>
      <c r="X25" s="41">
        <f t="shared" ca="1" si="0"/>
        <v>4</v>
      </c>
      <c r="Y25" s="41">
        <v>0</v>
      </c>
      <c r="Z25" s="41">
        <v>0</v>
      </c>
      <c r="AA25" s="41"/>
      <c r="AB25" s="41">
        <v>0</v>
      </c>
      <c r="AC25" s="143">
        <v>0</v>
      </c>
      <c r="AD25" s="179" t="s">
        <v>5135</v>
      </c>
      <c r="AE25" s="179" t="s">
        <v>5042</v>
      </c>
      <c r="AF25" s="17"/>
    </row>
    <row r="26" spans="1:32" ht="12.75" customHeight="1" x14ac:dyDescent="0.35">
      <c r="A26" s="160" t="str">
        <f>Result!$D$115</f>
        <v>Internal Rate of Return to equity before tax</v>
      </c>
      <c r="B26" s="69" t="s">
        <v>6280</v>
      </c>
      <c r="C26" s="69"/>
      <c r="D26" s="70"/>
      <c r="E26" s="70"/>
      <c r="F26" s="20" t="s">
        <v>2014</v>
      </c>
      <c r="G26" s="71">
        <v>1</v>
      </c>
      <c r="H26" s="17"/>
      <c r="I26" s="72">
        <v>64</v>
      </c>
      <c r="J26" s="219" t="s">
        <v>5190</v>
      </c>
      <c r="K26" s="219" t="s">
        <v>5191</v>
      </c>
      <c r="L26" s="219" t="s">
        <v>5192</v>
      </c>
      <c r="M26" s="17"/>
      <c r="N26" s="141">
        <v>25</v>
      </c>
      <c r="O26" s="154"/>
      <c r="P26" s="17"/>
      <c r="Q26" s="17"/>
      <c r="R26" s="17"/>
      <c r="S26" s="17"/>
      <c r="T26" s="17"/>
      <c r="U26" s="17"/>
      <c r="V26" s="41"/>
      <c r="W26" s="41">
        <v>1</v>
      </c>
      <c r="X26" s="41">
        <f t="shared" ca="1" si="0"/>
        <v>4</v>
      </c>
      <c r="Y26" s="41">
        <v>0</v>
      </c>
      <c r="Z26" s="41">
        <v>0</v>
      </c>
      <c r="AA26" s="41"/>
      <c r="AB26" s="41">
        <v>0</v>
      </c>
      <c r="AC26" s="143">
        <v>0</v>
      </c>
      <c r="AD26" s="179" t="s">
        <v>5136</v>
      </c>
      <c r="AE26" s="179" t="s">
        <v>5036</v>
      </c>
      <c r="AF26" s="17"/>
    </row>
    <row r="27" spans="1:32" ht="12.75" customHeight="1" x14ac:dyDescent="0.35">
      <c r="A27" s="17" t="str">
        <f>Result!$D$116</f>
        <v>Modified Internal Rate of Return to equity (MIRRe)</v>
      </c>
      <c r="B27" s="69"/>
      <c r="C27" s="69"/>
      <c r="D27" s="70"/>
      <c r="E27" s="70"/>
      <c r="F27" s="20" t="s">
        <v>2016</v>
      </c>
      <c r="G27" s="71">
        <v>0</v>
      </c>
      <c r="H27" s="17"/>
      <c r="I27" s="17"/>
      <c r="J27" s="195" t="s">
        <v>5018</v>
      </c>
      <c r="K27" s="195" t="s">
        <v>4958</v>
      </c>
      <c r="L27" s="195" t="s">
        <v>5034</v>
      </c>
      <c r="M27" s="17"/>
      <c r="N27" s="17"/>
      <c r="O27" s="17"/>
      <c r="P27" s="17"/>
      <c r="Q27" s="17"/>
      <c r="R27" s="17"/>
      <c r="S27" s="17"/>
      <c r="T27" s="17"/>
      <c r="U27" s="17"/>
      <c r="V27" s="41"/>
      <c r="W27" s="41">
        <v>1</v>
      </c>
      <c r="X27" s="41">
        <f t="shared" ca="1" si="0"/>
        <v>4</v>
      </c>
      <c r="Y27" s="41">
        <v>0</v>
      </c>
      <c r="Z27" s="41">
        <v>0</v>
      </c>
      <c r="AA27" s="41"/>
      <c r="AB27" s="41">
        <v>0</v>
      </c>
      <c r="AC27" s="143">
        <v>0</v>
      </c>
      <c r="AD27" s="179" t="s">
        <v>5136</v>
      </c>
      <c r="AE27" s="179" t="s">
        <v>5043</v>
      </c>
      <c r="AF27" s="17"/>
    </row>
    <row r="28" spans="1:32" ht="12.75" customHeight="1" x14ac:dyDescent="0.35">
      <c r="A28" s="17" t="str">
        <f>Result!$D$118</f>
        <v>Payback time to equity, years</v>
      </c>
      <c r="B28" s="69"/>
      <c r="C28" s="69"/>
      <c r="D28" s="70"/>
      <c r="E28" s="70"/>
      <c r="F28" s="17"/>
      <c r="G28" s="17"/>
      <c r="H28" s="17"/>
      <c r="I28" s="17" t="s">
        <v>2013</v>
      </c>
      <c r="J28" s="17"/>
      <c r="K28" s="17"/>
      <c r="L28" s="17" t="s">
        <v>2018</v>
      </c>
      <c r="M28" s="17"/>
      <c r="N28" s="17"/>
      <c r="O28" s="17" t="s">
        <v>2019</v>
      </c>
      <c r="P28" s="17"/>
      <c r="Q28" s="17"/>
      <c r="R28" s="17"/>
      <c r="S28" s="17"/>
      <c r="T28" s="17"/>
      <c r="U28" s="17"/>
      <c r="V28" s="41"/>
      <c r="W28" s="41">
        <v>1</v>
      </c>
      <c r="X28" s="41">
        <f t="shared" ca="1" si="0"/>
        <v>4</v>
      </c>
      <c r="Y28" s="41">
        <v>0</v>
      </c>
      <c r="Z28" s="41">
        <v>0</v>
      </c>
      <c r="AA28" s="41"/>
      <c r="AB28" s="41">
        <v>0</v>
      </c>
      <c r="AC28" s="143">
        <v>0</v>
      </c>
      <c r="AD28" s="179" t="s">
        <v>5137</v>
      </c>
      <c r="AE28" s="179" t="s">
        <v>5038</v>
      </c>
      <c r="AF28" s="17"/>
    </row>
    <row r="29" spans="1:32" ht="12.75" customHeight="1" x14ac:dyDescent="0.35">
      <c r="A29" s="160" t="str">
        <f>Result!$D$122</f>
        <v>Simple Payback to equity, years</v>
      </c>
      <c r="B29" s="69"/>
      <c r="C29" s="69"/>
      <c r="D29" s="70"/>
      <c r="E29" s="70"/>
      <c r="F29" s="17"/>
      <c r="G29" s="17"/>
      <c r="H29" s="17"/>
      <c r="I29" s="21">
        <v>0</v>
      </c>
      <c r="J29" s="17" t="s">
        <v>2022</v>
      </c>
      <c r="K29" s="21">
        <v>1</v>
      </c>
      <c r="L29" s="35" t="str">
        <f>TRIM(Calculations!C713)</f>
        <v>Immaterial rights</v>
      </c>
      <c r="M29" s="61" t="s">
        <v>2023</v>
      </c>
      <c r="N29" s="21"/>
      <c r="O29" s="21">
        <v>1</v>
      </c>
      <c r="P29" s="17"/>
      <c r="Q29" s="17"/>
      <c r="R29" s="17"/>
      <c r="S29" s="17"/>
      <c r="T29" s="17"/>
      <c r="U29" s="17"/>
      <c r="V29" s="41"/>
      <c r="W29" s="41">
        <v>1</v>
      </c>
      <c r="X29" s="41">
        <f t="shared" ca="1" si="0"/>
        <v>4</v>
      </c>
      <c r="Y29" s="41">
        <v>0</v>
      </c>
      <c r="Z29" s="41">
        <v>0</v>
      </c>
      <c r="AA29" s="41"/>
      <c r="AB29" s="41">
        <v>0</v>
      </c>
      <c r="AC29" s="143">
        <v>0</v>
      </c>
      <c r="AD29" s="179" t="s">
        <v>5137</v>
      </c>
      <c r="AE29" s="179" t="s">
        <v>5044</v>
      </c>
      <c r="AF29" s="17"/>
    </row>
    <row r="30" spans="1:32" ht="12.75" customHeight="1" x14ac:dyDescent="0.35">
      <c r="A30" s="28" t="s">
        <v>2011</v>
      </c>
      <c r="B30" s="69"/>
      <c r="C30" s="17"/>
      <c r="D30" s="17"/>
      <c r="E30" s="17"/>
      <c r="F30" s="17"/>
      <c r="G30" s="17"/>
      <c r="H30" s="17"/>
      <c r="I30" s="17" t="s">
        <v>2017</v>
      </c>
      <c r="J30" s="17" t="s">
        <v>2024</v>
      </c>
      <c r="K30" s="21">
        <v>1</v>
      </c>
      <c r="L30" s="41" t="str">
        <f>TRIM(Calculations!C717)</f>
        <v>Capitalized development costs</v>
      </c>
      <c r="M30" s="61" t="s">
        <v>2025</v>
      </c>
      <c r="N30" s="21"/>
      <c r="O30" s="21"/>
      <c r="P30" s="17"/>
      <c r="Q30" s="17"/>
      <c r="R30" s="17"/>
      <c r="S30" s="17"/>
      <c r="T30" s="17"/>
      <c r="U30" s="17"/>
      <c r="V30" s="41"/>
      <c r="W30" s="41">
        <v>1</v>
      </c>
      <c r="X30" s="41">
        <f t="shared" ca="1" si="0"/>
        <v>4</v>
      </c>
      <c r="Y30" s="41">
        <v>0</v>
      </c>
      <c r="Z30" s="41">
        <v>0</v>
      </c>
      <c r="AA30" s="41"/>
      <c r="AB30" s="41">
        <v>0</v>
      </c>
      <c r="AC30" s="143">
        <v>0</v>
      </c>
      <c r="AD30" s="179" t="s">
        <v>5138</v>
      </c>
      <c r="AE30" s="179" t="s">
        <v>5040</v>
      </c>
      <c r="AF30" s="17"/>
    </row>
    <row r="31" spans="1:32" ht="12.75" customHeight="1" x14ac:dyDescent="0.35">
      <c r="A31" s="73">
        <f>IF(WACCTotalCapital&lt;&gt;0,((WACCCostOfDebt/100)*(1-WACCTaxRatio/100)*(WACCDebt/WACCTotalCapital)+(WACCReturnOnEquity/100)*(WACCEquity/WACCTotalCapital))*100,0)</f>
        <v>0</v>
      </c>
      <c r="B31" s="69"/>
      <c r="C31" s="17"/>
      <c r="D31" s="17"/>
      <c r="E31" s="17"/>
      <c r="F31" s="20" t="s">
        <v>2026</v>
      </c>
      <c r="G31" s="21">
        <v>2</v>
      </c>
      <c r="H31" s="17"/>
      <c r="I31" s="21">
        <v>0</v>
      </c>
      <c r="J31" s="17" t="s">
        <v>2028</v>
      </c>
      <c r="K31" s="21">
        <v>1</v>
      </c>
      <c r="L31" s="41" t="str">
        <f>TRIM(Calculations!C721)</f>
        <v>Goodwill</v>
      </c>
      <c r="M31" s="61" t="s">
        <v>2029</v>
      </c>
      <c r="N31" s="21"/>
      <c r="O31" s="21"/>
      <c r="P31" s="17"/>
      <c r="Q31" s="28"/>
      <c r="R31" s="28"/>
      <c r="S31" s="17"/>
      <c r="T31" s="17"/>
      <c r="U31" s="17"/>
      <c r="V31" s="41"/>
      <c r="W31" s="41">
        <v>1</v>
      </c>
      <c r="X31" s="41">
        <f t="shared" ca="1" si="0"/>
        <v>4</v>
      </c>
      <c r="Y31" s="41">
        <v>0</v>
      </c>
      <c r="Z31" s="41">
        <v>0</v>
      </c>
      <c r="AA31" s="41"/>
      <c r="AB31" s="41">
        <v>0</v>
      </c>
      <c r="AC31" s="143">
        <v>0</v>
      </c>
      <c r="AD31" s="178" t="s">
        <v>5138</v>
      </c>
      <c r="AE31" s="178" t="s">
        <v>5045</v>
      </c>
      <c r="AF31" s="17"/>
    </row>
    <row r="32" spans="1:32" ht="12.75" customHeight="1" x14ac:dyDescent="0.35">
      <c r="A32" s="28" t="s">
        <v>2015</v>
      </c>
      <c r="B32" s="69"/>
      <c r="C32" s="17"/>
      <c r="D32" s="17"/>
      <c r="E32" s="17"/>
      <c r="F32" s="17"/>
      <c r="G32" s="17"/>
      <c r="H32" s="17"/>
      <c r="I32" s="17" t="s">
        <v>2021</v>
      </c>
      <c r="J32" s="17" t="s">
        <v>2031</v>
      </c>
      <c r="K32" s="21">
        <v>1</v>
      </c>
      <c r="L32" s="41" t="str">
        <f>TRIM(Calculations!C725)</f>
        <v>Other intangible assets</v>
      </c>
      <c r="M32" s="61" t="s">
        <v>2032</v>
      </c>
      <c r="N32" s="21"/>
      <c r="O32" s="21"/>
      <c r="P32" s="17"/>
      <c r="Q32" s="17"/>
      <c r="R32" s="17"/>
      <c r="S32" s="17"/>
      <c r="T32" s="17"/>
      <c r="U32" s="17"/>
      <c r="V32" s="41"/>
      <c r="W32" s="41">
        <v>1</v>
      </c>
      <c r="X32" s="41">
        <f t="shared" ca="1" si="0"/>
        <v>4</v>
      </c>
      <c r="Y32" s="41">
        <v>0</v>
      </c>
      <c r="Z32" s="41">
        <v>0</v>
      </c>
      <c r="AA32" s="41"/>
      <c r="AB32" s="41">
        <v>0</v>
      </c>
      <c r="AC32" s="143">
        <v>0</v>
      </c>
      <c r="AD32" s="61" t="s">
        <v>5311</v>
      </c>
      <c r="AE32" s="1211" t="s">
        <v>697</v>
      </c>
      <c r="AF32" s="17"/>
    </row>
    <row r="33" spans="1:32" ht="12.75" customHeight="1" x14ac:dyDescent="0.35">
      <c r="A33" s="38">
        <f>DiscYear</f>
        <v>2.75</v>
      </c>
      <c r="B33" s="69"/>
      <c r="C33" s="17"/>
      <c r="D33" s="17"/>
      <c r="E33" s="17"/>
      <c r="F33" s="17"/>
      <c r="G33" s="17"/>
      <c r="H33" s="17"/>
      <c r="I33" s="21">
        <v>1</v>
      </c>
      <c r="J33" s="17" t="s">
        <v>2034</v>
      </c>
      <c r="K33" s="21">
        <v>1</v>
      </c>
      <c r="L33" s="41" t="str">
        <f>TRIM(Calculations!C730)</f>
        <v>Machinery and equipment</v>
      </c>
      <c r="M33" s="61" t="s">
        <v>2035</v>
      </c>
      <c r="N33" s="21"/>
      <c r="O33" s="21"/>
      <c r="P33" s="17"/>
      <c r="Q33" s="17"/>
      <c r="R33" s="17"/>
      <c r="S33" s="17"/>
      <c r="T33" s="17"/>
      <c r="U33" s="17"/>
      <c r="V33" s="41"/>
      <c r="W33" s="41">
        <v>1</v>
      </c>
      <c r="X33" s="41">
        <f t="shared" ca="1" si="0"/>
        <v>4</v>
      </c>
      <c r="Y33" s="41">
        <v>0</v>
      </c>
      <c r="Z33" s="41">
        <v>0</v>
      </c>
      <c r="AA33" s="41"/>
      <c r="AB33" s="41">
        <v>0</v>
      </c>
      <c r="AC33" s="143">
        <v>0</v>
      </c>
      <c r="AD33" s="17"/>
      <c r="AE33" s="1212" t="s">
        <v>5022</v>
      </c>
      <c r="AF33" s="17"/>
    </row>
    <row r="34" spans="1:32" ht="12.75" customHeight="1" x14ac:dyDescent="0.35">
      <c r="A34" s="28" t="s">
        <v>2020</v>
      </c>
      <c r="B34" s="69"/>
      <c r="C34" s="17"/>
      <c r="D34" s="17"/>
      <c r="E34" s="17"/>
      <c r="F34" s="20" t="s">
        <v>2037</v>
      </c>
      <c r="G34" s="21">
        <v>0</v>
      </c>
      <c r="H34" s="17"/>
      <c r="I34" s="17" t="s">
        <v>2027</v>
      </c>
      <c r="J34" s="17" t="s">
        <v>2038</v>
      </c>
      <c r="K34" s="21">
        <v>1</v>
      </c>
      <c r="L34" s="41" t="str">
        <f>TRIM(Calculations!C734)</f>
        <v>Buildings and structures</v>
      </c>
      <c r="M34" s="61" t="s">
        <v>2039</v>
      </c>
      <c r="N34" s="21"/>
      <c r="O34" s="21"/>
      <c r="P34" s="17"/>
      <c r="Q34" s="17"/>
      <c r="R34" s="17"/>
      <c r="S34" s="17"/>
      <c r="T34" s="17"/>
      <c r="U34" s="17"/>
      <c r="V34" s="41"/>
      <c r="W34" s="41">
        <v>1</v>
      </c>
      <c r="X34" s="41">
        <f t="shared" ca="1" si="0"/>
        <v>4</v>
      </c>
      <c r="Y34" s="41">
        <v>0</v>
      </c>
      <c r="Z34" s="41">
        <v>0</v>
      </c>
      <c r="AA34" s="41"/>
      <c r="AB34" s="41">
        <v>0</v>
      </c>
      <c r="AC34" s="143">
        <v>0</v>
      </c>
      <c r="AD34" s="17"/>
      <c r="AE34" s="1212" t="s">
        <v>5023</v>
      </c>
      <c r="AF34" s="17"/>
    </row>
    <row r="35" spans="1:32" ht="12.75" customHeight="1" x14ac:dyDescent="0.35">
      <c r="A35" s="38">
        <f>(1+WACCPreTax/100)^(1/12)-1</f>
        <v>2.2632796417700884E-3</v>
      </c>
      <c r="B35" s="69"/>
      <c r="C35" s="17"/>
      <c r="D35" s="17"/>
      <c r="E35" s="17"/>
      <c r="F35" s="20" t="s">
        <v>2040</v>
      </c>
      <c r="G35" s="21">
        <v>1</v>
      </c>
      <c r="H35" s="17"/>
      <c r="I35" s="21" t="b">
        <v>0</v>
      </c>
      <c r="J35" s="17" t="s">
        <v>2042</v>
      </c>
      <c r="K35" s="21">
        <v>1</v>
      </c>
      <c r="L35" s="41" t="str">
        <f>TRIM(Calculations!C738)</f>
        <v>Land and water</v>
      </c>
      <c r="M35" s="61" t="s">
        <v>2043</v>
      </c>
      <c r="N35" s="21"/>
      <c r="O35" s="21"/>
      <c r="P35" s="17"/>
      <c r="Q35" s="17"/>
      <c r="R35" s="17"/>
      <c r="S35" s="17"/>
      <c r="T35" s="17"/>
      <c r="U35" s="17"/>
      <c r="V35" s="41"/>
      <c r="W35" s="41">
        <v>1</v>
      </c>
      <c r="X35" s="41">
        <f t="shared" ca="1" si="0"/>
        <v>4</v>
      </c>
      <c r="Y35" s="41">
        <v>0</v>
      </c>
      <c r="Z35" s="41">
        <v>0</v>
      </c>
      <c r="AA35" s="41"/>
      <c r="AB35" s="41">
        <v>0</v>
      </c>
      <c r="AC35" s="143">
        <v>0</v>
      </c>
      <c r="AD35" s="17"/>
      <c r="AE35" s="1212" t="s">
        <v>5024</v>
      </c>
      <c r="AF35" s="17"/>
    </row>
    <row r="36" spans="1:32" ht="12.75" customHeight="1" x14ac:dyDescent="0.35">
      <c r="A36" s="17"/>
      <c r="B36" s="69"/>
      <c r="C36" s="17"/>
      <c r="D36" s="17"/>
      <c r="E36" s="17"/>
      <c r="F36" s="20" t="s">
        <v>2044</v>
      </c>
      <c r="G36" s="21">
        <v>2</v>
      </c>
      <c r="H36" s="17"/>
      <c r="I36" s="17" t="s">
        <v>2033</v>
      </c>
      <c r="J36" s="17" t="s">
        <v>2045</v>
      </c>
      <c r="K36" s="21">
        <v>1</v>
      </c>
      <c r="L36" s="41" t="str">
        <f>TRIM(Calculations!C742)</f>
        <v>Prepayments and construction in progress</v>
      </c>
      <c r="M36" s="61" t="s">
        <v>2046</v>
      </c>
      <c r="N36" s="21"/>
      <c r="O36" s="21"/>
      <c r="P36" s="17"/>
      <c r="Q36" s="17"/>
      <c r="R36" s="17"/>
      <c r="S36" s="17"/>
      <c r="T36" s="17"/>
      <c r="U36" s="17"/>
      <c r="V36" s="41"/>
      <c r="W36" s="41">
        <v>1</v>
      </c>
      <c r="X36" s="41">
        <f t="shared" ca="1" si="0"/>
        <v>4</v>
      </c>
      <c r="Y36" s="41">
        <v>0</v>
      </c>
      <c r="Z36" s="41">
        <v>0</v>
      </c>
      <c r="AA36" s="41"/>
      <c r="AB36" s="41">
        <v>0</v>
      </c>
      <c r="AC36" s="143">
        <v>0</v>
      </c>
      <c r="AD36" s="17"/>
      <c r="AE36" s="1212" t="s">
        <v>5025</v>
      </c>
      <c r="AF36" s="17"/>
    </row>
    <row r="37" spans="1:32" ht="12.75" customHeight="1" x14ac:dyDescent="0.35">
      <c r="A37" s="21" t="s">
        <v>2030</v>
      </c>
      <c r="B37" s="69"/>
      <c r="C37" s="17"/>
      <c r="D37" s="17"/>
      <c r="E37" s="17"/>
      <c r="F37" s="20" t="s">
        <v>2047</v>
      </c>
      <c r="G37" s="21">
        <v>0</v>
      </c>
      <c r="H37" s="17"/>
      <c r="I37" s="21" t="b">
        <v>0</v>
      </c>
      <c r="J37" s="17" t="s">
        <v>2049</v>
      </c>
      <c r="K37" s="21">
        <v>1</v>
      </c>
      <c r="L37" s="41" t="str">
        <f>TRIM(Calculations!C746)</f>
        <v>Other tangible assets</v>
      </c>
      <c r="M37" s="61" t="s">
        <v>2050</v>
      </c>
      <c r="N37" s="21"/>
      <c r="O37" s="21"/>
      <c r="P37" s="17"/>
      <c r="Q37" s="17"/>
      <c r="R37" s="17"/>
      <c r="S37" s="17"/>
      <c r="T37" s="17"/>
      <c r="U37" s="17"/>
      <c r="V37" s="41"/>
      <c r="W37" s="41">
        <v>1</v>
      </c>
      <c r="X37" s="41">
        <f t="shared" ca="1" si="0"/>
        <v>4</v>
      </c>
      <c r="Y37" s="41">
        <v>0</v>
      </c>
      <c r="Z37" s="41">
        <v>0</v>
      </c>
      <c r="AA37" s="41"/>
      <c r="AB37" s="41">
        <v>0</v>
      </c>
      <c r="AC37" s="143">
        <v>0</v>
      </c>
      <c r="AD37" s="17"/>
      <c r="AE37" s="1212" t="s">
        <v>712</v>
      </c>
      <c r="AF37" s="17"/>
    </row>
    <row r="38" spans="1:32" ht="12.75" customHeight="1" x14ac:dyDescent="0.35">
      <c r="A38" s="21">
        <v>1</v>
      </c>
      <c r="B38" s="69"/>
      <c r="C38" s="17"/>
      <c r="D38" s="17"/>
      <c r="E38" s="17"/>
      <c r="F38" s="20" t="s">
        <v>2051</v>
      </c>
      <c r="G38" s="21">
        <v>1</v>
      </c>
      <c r="H38" s="17"/>
      <c r="I38" s="17" t="s">
        <v>2041</v>
      </c>
      <c r="J38" s="17" t="s">
        <v>2053</v>
      </c>
      <c r="K38" s="21">
        <v>1</v>
      </c>
      <c r="L38" s="41" t="str">
        <f>TRIM(Calculations!C751)</f>
        <v>Investments in associated companies</v>
      </c>
      <c r="M38" s="61" t="s">
        <v>2054</v>
      </c>
      <c r="N38" s="21"/>
      <c r="O38" s="21"/>
      <c r="P38" s="17"/>
      <c r="Q38" s="17"/>
      <c r="R38" s="17"/>
      <c r="S38" s="17"/>
      <c r="T38" s="17"/>
      <c r="U38" s="17"/>
      <c r="V38" s="41"/>
      <c r="W38" s="41">
        <v>1</v>
      </c>
      <c r="X38" s="41">
        <f t="shared" ca="1" si="0"/>
        <v>4</v>
      </c>
      <c r="Y38" s="41">
        <v>0</v>
      </c>
      <c r="Z38" s="41">
        <v>0</v>
      </c>
      <c r="AA38" s="41"/>
      <c r="AB38" s="41">
        <v>0</v>
      </c>
      <c r="AC38" s="143">
        <v>0</v>
      </c>
      <c r="AD38" s="17"/>
      <c r="AE38" s="1212" t="s">
        <v>4957</v>
      </c>
      <c r="AF38" s="17"/>
    </row>
    <row r="39" spans="1:32" ht="12.75" customHeight="1" x14ac:dyDescent="0.35">
      <c r="A39" s="118" t="s">
        <v>2036</v>
      </c>
      <c r="B39" s="69"/>
      <c r="C39" s="17"/>
      <c r="D39" s="17"/>
      <c r="E39" s="17"/>
      <c r="F39" s="20" t="s">
        <v>2055</v>
      </c>
      <c r="G39" s="21">
        <v>1</v>
      </c>
      <c r="H39" s="17"/>
      <c r="I39" s="21" t="b">
        <v>0</v>
      </c>
      <c r="J39" s="17" t="s">
        <v>2057</v>
      </c>
      <c r="K39" s="21">
        <v>1</v>
      </c>
      <c r="L39" s="41" t="str">
        <f>TRIM(Calculations!C755)</f>
        <v>Deferred tax assets</v>
      </c>
      <c r="M39" s="61" t="s">
        <v>2058</v>
      </c>
      <c r="N39" s="21"/>
      <c r="O39" s="21"/>
      <c r="P39" s="17"/>
      <c r="Q39" s="17"/>
      <c r="R39" s="17"/>
      <c r="S39" s="17"/>
      <c r="T39" s="17"/>
      <c r="U39" s="17"/>
      <c r="V39" s="41"/>
      <c r="W39" s="41">
        <v>1</v>
      </c>
      <c r="X39" s="41">
        <f t="shared" ca="1" si="0"/>
        <v>4</v>
      </c>
      <c r="Y39" s="41">
        <v>0</v>
      </c>
      <c r="Z39" s="41">
        <v>0</v>
      </c>
      <c r="AA39" s="41"/>
      <c r="AB39" s="41">
        <v>0</v>
      </c>
      <c r="AC39" s="143">
        <v>0</v>
      </c>
      <c r="AD39" s="17"/>
      <c r="AE39" s="1212" t="s">
        <v>4960</v>
      </c>
      <c r="AF39" s="17"/>
    </row>
    <row r="40" spans="1:32" ht="12.75" customHeight="1" x14ac:dyDescent="0.35">
      <c r="A40" s="156" t="s">
        <v>6270</v>
      </c>
      <c r="B40" s="69"/>
      <c r="C40" s="17"/>
      <c r="D40" s="17"/>
      <c r="E40" s="17"/>
      <c r="F40" s="20" t="s">
        <v>2059</v>
      </c>
      <c r="G40" s="21">
        <f>COUNTIF(FinYearsR,"&lt;&gt;""""")</f>
        <v>6</v>
      </c>
      <c r="H40" s="17"/>
      <c r="I40" s="17" t="s">
        <v>2048</v>
      </c>
      <c r="J40" s="17" t="s">
        <v>2060</v>
      </c>
      <c r="K40" s="21">
        <v>1</v>
      </c>
      <c r="L40" s="41" t="str">
        <f>TRIM(Calculations!C759)</f>
        <v>Long-term loans receivable</v>
      </c>
      <c r="M40" s="61" t="s">
        <v>2061</v>
      </c>
      <c r="N40" s="21"/>
      <c r="O40" s="21"/>
      <c r="P40" s="17"/>
      <c r="Q40" s="17"/>
      <c r="R40" s="17"/>
      <c r="S40" s="17"/>
      <c r="T40" s="17"/>
      <c r="U40" s="17"/>
      <c r="V40" s="41"/>
      <c r="W40" s="41">
        <v>1</v>
      </c>
      <c r="X40" s="41">
        <f t="shared" ca="1" si="0"/>
        <v>4</v>
      </c>
      <c r="Y40" s="41">
        <v>0</v>
      </c>
      <c r="Z40" s="41">
        <v>0</v>
      </c>
      <c r="AA40" s="41"/>
      <c r="AB40" s="41">
        <v>0</v>
      </c>
      <c r="AC40" s="143">
        <v>0</v>
      </c>
      <c r="AD40" s="17"/>
      <c r="AE40" s="1212" t="s">
        <v>4963</v>
      </c>
      <c r="AF40" s="17"/>
    </row>
    <row r="41" spans="1:32" ht="12.75" customHeight="1" x14ac:dyDescent="0.35">
      <c r="A41" s="156" t="s">
        <v>6272</v>
      </c>
      <c r="B41" s="69"/>
      <c r="C41" s="17"/>
      <c r="D41" s="17"/>
      <c r="E41" s="17"/>
      <c r="F41" s="20" t="s">
        <v>2062</v>
      </c>
      <c r="G41" s="21">
        <f>G40</f>
        <v>6</v>
      </c>
      <c r="H41" s="17"/>
      <c r="I41" s="21" t="s">
        <v>2052</v>
      </c>
      <c r="J41" s="17" t="s">
        <v>2063</v>
      </c>
      <c r="K41" s="21">
        <v>1</v>
      </c>
      <c r="L41" s="47" t="str">
        <f>TRIM(Calculations!C763)</f>
        <v>Other investments</v>
      </c>
      <c r="M41" s="61" t="s">
        <v>2064</v>
      </c>
      <c r="N41" s="21"/>
      <c r="O41" s="21"/>
      <c r="P41" s="17"/>
      <c r="Q41" s="17"/>
      <c r="R41" s="17"/>
      <c r="S41" s="17"/>
      <c r="T41" s="17"/>
      <c r="U41" s="17"/>
      <c r="V41" s="41"/>
      <c r="W41" s="41">
        <v>1</v>
      </c>
      <c r="X41" s="41">
        <f t="shared" ca="1" si="0"/>
        <v>4</v>
      </c>
      <c r="Y41" s="41">
        <v>0</v>
      </c>
      <c r="Z41" s="41">
        <v>0</v>
      </c>
      <c r="AA41" s="41"/>
      <c r="AB41" s="41">
        <v>0</v>
      </c>
      <c r="AC41" s="143">
        <v>0</v>
      </c>
      <c r="AD41" s="17"/>
      <c r="AE41" s="1212" t="s">
        <v>5008</v>
      </c>
      <c r="AF41" s="17"/>
    </row>
    <row r="42" spans="1:32" ht="12.75" customHeight="1" x14ac:dyDescent="0.35">
      <c r="A42" s="156" t="s">
        <v>6274</v>
      </c>
      <c r="B42" s="17"/>
      <c r="C42" s="17"/>
      <c r="D42" s="17"/>
      <c r="E42" s="17"/>
      <c r="F42" s="20" t="s">
        <v>2065</v>
      </c>
      <c r="G42" s="74" t="str">
        <f>RIGHT(INDEX(FinYearsR,PerpetuityIndex),4)</f>
        <v>2024</v>
      </c>
      <c r="H42" s="17"/>
      <c r="I42" s="17" t="s">
        <v>2056</v>
      </c>
      <c r="J42" s="17"/>
      <c r="K42" s="17"/>
      <c r="L42" s="75" t="s">
        <v>2066</v>
      </c>
      <c r="M42" s="17"/>
      <c r="N42" s="17"/>
      <c r="O42" s="17"/>
      <c r="P42" s="17"/>
      <c r="Q42" s="17"/>
      <c r="R42" s="17"/>
      <c r="S42" s="17"/>
      <c r="T42" s="17"/>
      <c r="U42" s="17"/>
      <c r="V42" s="41"/>
      <c r="W42" s="41">
        <v>1</v>
      </c>
      <c r="X42" s="41">
        <f t="shared" ca="1" si="0"/>
        <v>4</v>
      </c>
      <c r="Y42" s="41">
        <v>0</v>
      </c>
      <c r="Z42" s="41">
        <v>0</v>
      </c>
      <c r="AA42" s="41"/>
      <c r="AB42" s="41">
        <v>0</v>
      </c>
      <c r="AC42" s="143">
        <v>0</v>
      </c>
      <c r="AD42" s="17"/>
      <c r="AE42" s="1212" t="s">
        <v>720</v>
      </c>
      <c r="AF42" s="17"/>
    </row>
    <row r="43" spans="1:32" ht="12.75" customHeight="1" x14ac:dyDescent="0.35">
      <c r="A43" s="156" t="s">
        <v>6276</v>
      </c>
      <c r="B43" s="17"/>
      <c r="C43" s="17"/>
      <c r="D43" s="17"/>
      <c r="E43" s="17"/>
      <c r="F43" s="20" t="s">
        <v>2067</v>
      </c>
      <c r="G43" s="21">
        <v>2</v>
      </c>
      <c r="H43" s="17"/>
      <c r="I43" s="35" t="s">
        <v>76</v>
      </c>
      <c r="J43" s="35" t="s">
        <v>2068</v>
      </c>
      <c r="K43" s="21">
        <v>1</v>
      </c>
      <c r="L43" s="75">
        <v>1</v>
      </c>
      <c r="M43" s="76" t="s">
        <v>2069</v>
      </c>
      <c r="N43" s="21">
        <v>1</v>
      </c>
      <c r="O43" s="77" t="s">
        <v>2070</v>
      </c>
      <c r="P43" s="17"/>
      <c r="Q43" s="17"/>
      <c r="R43" s="17"/>
      <c r="S43" s="17"/>
      <c r="T43" s="17"/>
      <c r="U43" s="17"/>
      <c r="V43" s="41"/>
      <c r="W43" s="41">
        <v>1</v>
      </c>
      <c r="X43" s="41">
        <f t="shared" ca="1" si="0"/>
        <v>4</v>
      </c>
      <c r="Y43" s="41">
        <v>0</v>
      </c>
      <c r="Z43" s="41">
        <v>0</v>
      </c>
      <c r="AA43" s="41"/>
      <c r="AB43" s="41">
        <v>0</v>
      </c>
      <c r="AC43" s="143">
        <v>0</v>
      </c>
      <c r="AD43" s="17"/>
      <c r="AE43" s="1212" t="s">
        <v>5035</v>
      </c>
      <c r="AF43" s="17"/>
    </row>
    <row r="44" spans="1:32" ht="12.75" customHeight="1" x14ac:dyDescent="0.35">
      <c r="A44" s="156" t="s">
        <v>6278</v>
      </c>
      <c r="B44" s="17"/>
      <c r="C44" s="17"/>
      <c r="D44" s="17"/>
      <c r="E44" s="17"/>
      <c r="F44" s="20" t="s">
        <v>2071</v>
      </c>
      <c r="G44" s="21">
        <v>1</v>
      </c>
      <c r="H44" s="17"/>
      <c r="I44" s="41" t="s">
        <v>89</v>
      </c>
      <c r="J44" s="41" t="s">
        <v>2072</v>
      </c>
      <c r="K44" s="21">
        <v>2</v>
      </c>
      <c r="L44" s="75">
        <v>2</v>
      </c>
      <c r="M44" s="78" t="s">
        <v>2073</v>
      </c>
      <c r="N44" s="21">
        <v>1</v>
      </c>
      <c r="O44" s="35">
        <f>ROW(Calculations!$E484)</f>
        <v>484</v>
      </c>
      <c r="P44" s="17"/>
      <c r="Q44" s="17"/>
      <c r="R44" s="17"/>
      <c r="S44" s="17"/>
      <c r="T44" s="17"/>
      <c r="U44" s="17"/>
      <c r="V44" s="41"/>
      <c r="W44" s="41">
        <v>1</v>
      </c>
      <c r="X44" s="41">
        <f t="shared" ca="1" si="0"/>
        <v>4</v>
      </c>
      <c r="Y44" s="41">
        <v>0</v>
      </c>
      <c r="Z44" s="41">
        <v>0</v>
      </c>
      <c r="AA44" s="41"/>
      <c r="AB44" s="41">
        <v>0</v>
      </c>
      <c r="AC44" s="143">
        <v>0</v>
      </c>
      <c r="AD44" s="17"/>
      <c r="AE44" s="1212" t="s">
        <v>5037</v>
      </c>
      <c r="AF44" s="17"/>
    </row>
    <row r="45" spans="1:32" ht="12.75" customHeight="1" x14ac:dyDescent="0.35">
      <c r="A45" s="69" t="s">
        <v>6280</v>
      </c>
      <c r="B45" s="17"/>
      <c r="C45" s="17"/>
      <c r="D45" s="17"/>
      <c r="E45" s="17"/>
      <c r="F45" s="20" t="s">
        <v>2074</v>
      </c>
      <c r="G45" s="21"/>
      <c r="H45" s="17"/>
      <c r="I45" s="41" t="s">
        <v>99</v>
      </c>
      <c r="J45" s="41" t="s">
        <v>2075</v>
      </c>
      <c r="K45" s="21">
        <v>3</v>
      </c>
      <c r="L45" s="75">
        <v>3</v>
      </c>
      <c r="M45" s="78" t="s">
        <v>2076</v>
      </c>
      <c r="N45" s="21">
        <v>1</v>
      </c>
      <c r="O45" s="41">
        <f>ROW(Calculations!$E485)</f>
        <v>485</v>
      </c>
      <c r="P45" s="17"/>
      <c r="Q45" s="17"/>
      <c r="R45" s="17"/>
      <c r="S45" s="17"/>
      <c r="T45" s="17"/>
      <c r="U45" s="17"/>
      <c r="V45" s="47"/>
      <c r="W45" s="47">
        <v>1</v>
      </c>
      <c r="X45" s="47">
        <f t="shared" ca="1" si="0"/>
        <v>4</v>
      </c>
      <c r="Y45" s="47">
        <v>0</v>
      </c>
      <c r="Z45" s="47">
        <v>0</v>
      </c>
      <c r="AA45" s="47"/>
      <c r="AB45" s="47">
        <v>0</v>
      </c>
      <c r="AC45" s="144">
        <v>0</v>
      </c>
      <c r="AD45" s="17"/>
      <c r="AE45" s="1212" t="s">
        <v>5039</v>
      </c>
      <c r="AF45" s="17"/>
    </row>
    <row r="46" spans="1:32" ht="12.75" customHeight="1" x14ac:dyDescent="0.35">
      <c r="A46" s="17"/>
      <c r="B46" s="17"/>
      <c r="C46" s="17"/>
      <c r="D46" s="17"/>
      <c r="E46" s="17"/>
      <c r="F46" s="20" t="s">
        <v>2077</v>
      </c>
      <c r="G46" s="21">
        <f>G41</f>
        <v>6</v>
      </c>
      <c r="H46" s="17"/>
      <c r="I46" s="41" t="s">
        <v>109</v>
      </c>
      <c r="J46" s="41" t="s">
        <v>2078</v>
      </c>
      <c r="K46" s="21">
        <v>4</v>
      </c>
      <c r="L46" s="75">
        <v>4</v>
      </c>
      <c r="M46" s="78" t="s">
        <v>2079</v>
      </c>
      <c r="N46" s="21">
        <v>1</v>
      </c>
      <c r="O46" s="41">
        <f>ROW(Calculations!$E490)</f>
        <v>490</v>
      </c>
      <c r="P46" s="17"/>
      <c r="Q46" s="17"/>
      <c r="R46" s="17"/>
      <c r="S46" s="17"/>
      <c r="T46" s="17"/>
      <c r="U46" s="17"/>
      <c r="V46" s="35"/>
      <c r="W46" s="35">
        <f t="shared" ref="W46:AB55" si="1">W16</f>
        <v>1</v>
      </c>
      <c r="X46" s="35">
        <f t="shared" ca="1" si="0"/>
        <v>4</v>
      </c>
      <c r="Y46" s="35">
        <f t="shared" si="1"/>
        <v>0</v>
      </c>
      <c r="Z46" s="35">
        <f t="shared" si="1"/>
        <v>0</v>
      </c>
      <c r="AA46" s="35">
        <f t="shared" si="1"/>
        <v>0</v>
      </c>
      <c r="AB46" s="35">
        <f t="shared" si="1"/>
        <v>0</v>
      </c>
      <c r="AC46" s="145">
        <v>0</v>
      </c>
      <c r="AD46" s="17"/>
      <c r="AE46" s="1212" t="s">
        <v>5041</v>
      </c>
      <c r="AF46" s="17"/>
    </row>
    <row r="47" spans="1:32" ht="12.75" customHeight="1" x14ac:dyDescent="0.35">
      <c r="A47" s="17"/>
      <c r="B47" s="17"/>
      <c r="C47" s="17"/>
      <c r="D47" s="17"/>
      <c r="E47" s="17"/>
      <c r="F47" s="20" t="s">
        <v>2080</v>
      </c>
      <c r="G47" s="74" t="str">
        <f>RIGHT(INDEX(FinYearsR,PerpetuityIndexEquity),4)</f>
        <v>2024</v>
      </c>
      <c r="H47" s="17"/>
      <c r="I47" s="41" t="s">
        <v>123</v>
      </c>
      <c r="J47" s="41" t="s">
        <v>2081</v>
      </c>
      <c r="K47" s="21">
        <v>5</v>
      </c>
      <c r="L47" s="75">
        <v>5</v>
      </c>
      <c r="M47" s="78" t="s">
        <v>2082</v>
      </c>
      <c r="N47" s="21">
        <v>1</v>
      </c>
      <c r="O47" s="41">
        <f>ROW(Calculations!$E491)</f>
        <v>491</v>
      </c>
      <c r="P47" s="17"/>
      <c r="Q47" s="17"/>
      <c r="R47" s="17"/>
      <c r="S47" s="17"/>
      <c r="T47" s="17"/>
      <c r="U47" s="17"/>
      <c r="V47" s="41"/>
      <c r="W47" s="41">
        <f t="shared" si="1"/>
        <v>1</v>
      </c>
      <c r="X47" s="41">
        <f t="shared" ca="1" si="0"/>
        <v>4</v>
      </c>
      <c r="Y47" s="41">
        <f t="shared" si="1"/>
        <v>0</v>
      </c>
      <c r="Z47" s="41">
        <f t="shared" si="1"/>
        <v>0</v>
      </c>
      <c r="AA47" s="41">
        <f t="shared" si="1"/>
        <v>0</v>
      </c>
      <c r="AB47" s="41">
        <f t="shared" si="1"/>
        <v>0</v>
      </c>
      <c r="AC47" s="143">
        <v>0</v>
      </c>
      <c r="AD47" s="17"/>
      <c r="AE47" s="1213" t="s">
        <v>931</v>
      </c>
      <c r="AF47" s="17"/>
    </row>
    <row r="48" spans="1:32" ht="12.75" customHeight="1" x14ac:dyDescent="0.35">
      <c r="A48" s="17"/>
      <c r="B48" s="17"/>
      <c r="C48" s="17"/>
      <c r="D48" s="17"/>
      <c r="E48" s="17"/>
      <c r="F48" s="20" t="s">
        <v>2083</v>
      </c>
      <c r="G48" s="21">
        <v>2</v>
      </c>
      <c r="H48" s="17"/>
      <c r="I48" s="41" t="s">
        <v>140</v>
      </c>
      <c r="J48" s="47" t="s">
        <v>2084</v>
      </c>
      <c r="K48" s="21">
        <v>6</v>
      </c>
      <c r="L48" s="75">
        <v>6</v>
      </c>
      <c r="M48" s="80" t="s">
        <v>2085</v>
      </c>
      <c r="N48" s="21">
        <v>1</v>
      </c>
      <c r="O48" s="41">
        <f>ROW(Calculations!$E1014)</f>
        <v>1014</v>
      </c>
      <c r="P48" s="17"/>
      <c r="Q48" s="17"/>
      <c r="R48" s="17"/>
      <c r="S48" s="17"/>
      <c r="T48" s="17"/>
      <c r="U48" s="17"/>
      <c r="V48" s="41"/>
      <c r="W48" s="41">
        <f t="shared" si="1"/>
        <v>1</v>
      </c>
      <c r="X48" s="41">
        <f t="shared" ca="1" si="0"/>
        <v>4</v>
      </c>
      <c r="Y48" s="41">
        <f t="shared" si="1"/>
        <v>0</v>
      </c>
      <c r="Z48" s="41">
        <f t="shared" si="1"/>
        <v>0</v>
      </c>
      <c r="AA48" s="41">
        <f t="shared" si="1"/>
        <v>0</v>
      </c>
      <c r="AB48" s="41">
        <f t="shared" si="1"/>
        <v>0</v>
      </c>
      <c r="AC48" s="143">
        <v>0</v>
      </c>
      <c r="AD48" s="17"/>
      <c r="AE48" s="1213" t="s">
        <v>932</v>
      </c>
      <c r="AF48" s="17"/>
    </row>
    <row r="49" spans="1:32" ht="12.75" customHeight="1" x14ac:dyDescent="0.35">
      <c r="A49" s="70"/>
      <c r="B49" s="17"/>
      <c r="C49" s="17"/>
      <c r="D49" s="17"/>
      <c r="E49" s="17"/>
      <c r="F49" s="20" t="s">
        <v>2086</v>
      </c>
      <c r="G49" s="21">
        <f>G44</f>
        <v>1</v>
      </c>
      <c r="H49" s="17"/>
      <c r="I49" s="41" t="s">
        <v>150</v>
      </c>
      <c r="J49" s="35" t="s">
        <v>2087</v>
      </c>
      <c r="K49" s="21">
        <v>1</v>
      </c>
      <c r="L49" s="75">
        <v>1</v>
      </c>
      <c r="M49" s="187" t="s">
        <v>5101</v>
      </c>
      <c r="N49" s="170">
        <v>1</v>
      </c>
      <c r="O49" s="41">
        <f>ROW(Calculations!$E1015)</f>
        <v>1015</v>
      </c>
      <c r="P49" s="17"/>
      <c r="Q49" s="17"/>
      <c r="R49" s="17"/>
      <c r="S49" s="17"/>
      <c r="T49" s="17"/>
      <c r="U49" s="17"/>
      <c r="V49" s="41"/>
      <c r="W49" s="41">
        <f t="shared" si="1"/>
        <v>1</v>
      </c>
      <c r="X49" s="41">
        <f t="shared" ca="1" si="0"/>
        <v>4</v>
      </c>
      <c r="Y49" s="41">
        <f t="shared" si="1"/>
        <v>0</v>
      </c>
      <c r="Z49" s="41">
        <f t="shared" si="1"/>
        <v>0</v>
      </c>
      <c r="AA49" s="41">
        <f t="shared" si="1"/>
        <v>0</v>
      </c>
      <c r="AB49" s="41">
        <f t="shared" si="1"/>
        <v>0</v>
      </c>
      <c r="AC49" s="143">
        <v>0</v>
      </c>
      <c r="AD49" s="17"/>
      <c r="AE49" s="1214" t="s">
        <v>995</v>
      </c>
      <c r="AF49" s="17"/>
    </row>
    <row r="50" spans="1:32" ht="12.75" customHeight="1" x14ac:dyDescent="0.35">
      <c r="A50" s="17"/>
      <c r="B50" s="17"/>
      <c r="C50" s="17"/>
      <c r="D50" s="17"/>
      <c r="E50" s="17"/>
      <c r="F50" s="20" t="s">
        <v>2089</v>
      </c>
      <c r="G50" s="35">
        <v>1</v>
      </c>
      <c r="H50" s="17"/>
      <c r="I50" s="41" t="s">
        <v>160</v>
      </c>
      <c r="J50" s="41" t="s">
        <v>2090</v>
      </c>
      <c r="K50" s="21">
        <v>2</v>
      </c>
      <c r="L50" s="75">
        <v>2</v>
      </c>
      <c r="M50" s="187" t="s">
        <v>5102</v>
      </c>
      <c r="N50" s="170">
        <v>1</v>
      </c>
      <c r="O50" s="41">
        <f>ROW(Calculations!$E843)</f>
        <v>843</v>
      </c>
      <c r="P50" s="17"/>
      <c r="Q50" s="17"/>
      <c r="R50" s="17"/>
      <c r="S50" s="17"/>
      <c r="T50" s="17"/>
      <c r="U50" s="17"/>
      <c r="V50" s="41"/>
      <c r="W50" s="41">
        <f t="shared" si="1"/>
        <v>1</v>
      </c>
      <c r="X50" s="41">
        <f t="shared" ca="1" si="0"/>
        <v>4</v>
      </c>
      <c r="Y50" s="41">
        <f t="shared" si="1"/>
        <v>0</v>
      </c>
      <c r="Z50" s="41">
        <f t="shared" si="1"/>
        <v>0</v>
      </c>
      <c r="AA50" s="41">
        <f t="shared" si="1"/>
        <v>0</v>
      </c>
      <c r="AB50" s="41">
        <f t="shared" si="1"/>
        <v>0</v>
      </c>
      <c r="AC50" s="143">
        <v>0</v>
      </c>
      <c r="AD50" s="17"/>
      <c r="AE50" s="17"/>
      <c r="AF50" s="17"/>
    </row>
    <row r="51" spans="1:32" ht="12.75" customHeight="1" x14ac:dyDescent="0.35">
      <c r="A51" s="17"/>
      <c r="B51" s="17"/>
      <c r="C51" s="17"/>
      <c r="D51" s="17"/>
      <c r="E51" s="17"/>
      <c r="F51" s="20" t="s">
        <v>2092</v>
      </c>
      <c r="G51" s="21">
        <v>0</v>
      </c>
      <c r="H51" s="17"/>
      <c r="I51" s="41" t="s">
        <v>170</v>
      </c>
      <c r="J51" s="41" t="s">
        <v>2093</v>
      </c>
      <c r="K51" s="21">
        <v>3</v>
      </c>
      <c r="L51" s="75">
        <v>3</v>
      </c>
      <c r="M51" s="187" t="s">
        <v>5103</v>
      </c>
      <c r="N51" s="170">
        <v>1</v>
      </c>
      <c r="O51" s="41">
        <f>ROW(Calculations!$E844)</f>
        <v>844</v>
      </c>
      <c r="P51" s="17"/>
      <c r="Q51" s="17"/>
      <c r="R51" s="17"/>
      <c r="S51" s="17"/>
      <c r="T51" s="17"/>
      <c r="U51" s="17"/>
      <c r="V51" s="41"/>
      <c r="W51" s="41">
        <f t="shared" ref="W51:W54" si="2">W21</f>
        <v>1</v>
      </c>
      <c r="X51" s="41">
        <f t="shared" ca="1" si="0"/>
        <v>4</v>
      </c>
      <c r="Y51" s="41">
        <f t="shared" ref="Y51:AB54" si="3">Y21</f>
        <v>0</v>
      </c>
      <c r="Z51" s="41">
        <f t="shared" si="3"/>
        <v>0</v>
      </c>
      <c r="AA51" s="41">
        <f t="shared" si="3"/>
        <v>0</v>
      </c>
      <c r="AB51" s="41">
        <f t="shared" si="3"/>
        <v>0</v>
      </c>
      <c r="AC51" s="143">
        <v>0</v>
      </c>
      <c r="AD51" s="17"/>
      <c r="AE51" s="17"/>
      <c r="AF51" s="17"/>
    </row>
    <row r="52" spans="1:32" ht="12.75" customHeight="1" x14ac:dyDescent="0.35">
      <c r="A52" s="70"/>
      <c r="B52" s="17"/>
      <c r="C52" s="17"/>
      <c r="D52" s="17"/>
      <c r="E52" s="17"/>
      <c r="F52" s="20" t="s">
        <v>2095</v>
      </c>
      <c r="G52" s="21">
        <v>0</v>
      </c>
      <c r="H52" s="17"/>
      <c r="I52" s="41" t="s">
        <v>182</v>
      </c>
      <c r="J52" s="41" t="s">
        <v>2096</v>
      </c>
      <c r="K52" s="21">
        <v>4</v>
      </c>
      <c r="L52" s="75">
        <v>4</v>
      </c>
      <c r="M52" s="187" t="s">
        <v>5104</v>
      </c>
      <c r="N52" s="170">
        <v>1</v>
      </c>
      <c r="O52" s="41">
        <f>ROW(Calculations!$E845)</f>
        <v>845</v>
      </c>
      <c r="P52" s="17"/>
      <c r="Q52" s="17"/>
      <c r="R52" s="17"/>
      <c r="S52" s="17"/>
      <c r="T52" s="17"/>
      <c r="U52" s="17"/>
      <c r="V52" s="41"/>
      <c r="W52" s="41">
        <f t="shared" si="2"/>
        <v>1</v>
      </c>
      <c r="X52" s="41">
        <f t="shared" ca="1" si="0"/>
        <v>4</v>
      </c>
      <c r="Y52" s="41">
        <f t="shared" si="3"/>
        <v>0</v>
      </c>
      <c r="Z52" s="41">
        <f t="shared" si="3"/>
        <v>0</v>
      </c>
      <c r="AA52" s="41">
        <f t="shared" si="3"/>
        <v>0</v>
      </c>
      <c r="AB52" s="41">
        <f t="shared" si="3"/>
        <v>0</v>
      </c>
      <c r="AC52" s="143">
        <v>0</v>
      </c>
      <c r="AD52" s="17"/>
      <c r="AE52" s="17"/>
      <c r="AF52" s="17"/>
    </row>
    <row r="53" spans="1:32" ht="12.75" customHeight="1" x14ac:dyDescent="0.35">
      <c r="A53" s="17"/>
      <c r="B53" s="17"/>
      <c r="C53" s="17"/>
      <c r="D53" s="17"/>
      <c r="E53" s="17"/>
      <c r="F53" s="20" t="s">
        <v>2098</v>
      </c>
      <c r="G53" s="21">
        <v>0</v>
      </c>
      <c r="H53" s="17"/>
      <c r="I53" s="41" t="s">
        <v>192</v>
      </c>
      <c r="J53" s="41" t="s">
        <v>2099</v>
      </c>
      <c r="K53" s="21">
        <v>5</v>
      </c>
      <c r="L53" s="75">
        <v>5</v>
      </c>
      <c r="M53" s="188" t="s">
        <v>5105</v>
      </c>
      <c r="N53" s="170">
        <v>1</v>
      </c>
      <c r="O53" s="41">
        <f>ROW(Calculations!$E846)</f>
        <v>846</v>
      </c>
      <c r="P53" s="17"/>
      <c r="Q53" s="17"/>
      <c r="R53" s="17"/>
      <c r="S53" s="17"/>
      <c r="T53" s="17"/>
      <c r="U53" s="17"/>
      <c r="V53" s="41"/>
      <c r="W53" s="41">
        <f t="shared" si="2"/>
        <v>1</v>
      </c>
      <c r="X53" s="41">
        <f t="shared" ca="1" si="0"/>
        <v>4</v>
      </c>
      <c r="Y53" s="41">
        <f t="shared" si="3"/>
        <v>0</v>
      </c>
      <c r="Z53" s="41">
        <f t="shared" si="3"/>
        <v>0</v>
      </c>
      <c r="AA53" s="41">
        <f t="shared" si="3"/>
        <v>0</v>
      </c>
      <c r="AB53" s="41">
        <f t="shared" si="3"/>
        <v>0</v>
      </c>
      <c r="AC53" s="143">
        <v>0</v>
      </c>
      <c r="AD53" s="17"/>
      <c r="AE53" s="17"/>
      <c r="AF53" s="17"/>
    </row>
    <row r="54" spans="1:32" ht="12.75" customHeight="1" x14ac:dyDescent="0.35">
      <c r="A54" s="17"/>
      <c r="B54" s="17"/>
      <c r="C54" s="17"/>
      <c r="D54" s="17"/>
      <c r="E54" s="17"/>
      <c r="F54" s="20" t="s">
        <v>2101</v>
      </c>
      <c r="G54" s="21">
        <v>0</v>
      </c>
      <c r="H54" s="17"/>
      <c r="I54" s="41" t="s">
        <v>202</v>
      </c>
      <c r="J54" s="47" t="s">
        <v>2102</v>
      </c>
      <c r="K54" s="21">
        <v>6</v>
      </c>
      <c r="L54" s="75">
        <v>6</v>
      </c>
      <c r="M54" s="79" t="s">
        <v>2088</v>
      </c>
      <c r="N54" s="21" t="str">
        <f>INDEX(FinYearsR,FinYearRIndex01)</f>
        <v>12/2019</v>
      </c>
      <c r="O54" s="41">
        <f>ROW(Calculations!$E847)</f>
        <v>847</v>
      </c>
      <c r="P54" s="17"/>
      <c r="Q54" s="17"/>
      <c r="R54" s="17"/>
      <c r="S54" s="17"/>
      <c r="T54" s="17"/>
      <c r="U54" s="17"/>
      <c r="V54" s="41"/>
      <c r="W54" s="41">
        <f t="shared" si="2"/>
        <v>1</v>
      </c>
      <c r="X54" s="41">
        <f t="shared" ca="1" si="0"/>
        <v>4</v>
      </c>
      <c r="Y54" s="41">
        <f t="shared" si="3"/>
        <v>0</v>
      </c>
      <c r="Z54" s="41">
        <f t="shared" si="3"/>
        <v>0</v>
      </c>
      <c r="AA54" s="41">
        <f t="shared" si="3"/>
        <v>0</v>
      </c>
      <c r="AB54" s="41">
        <f t="shared" si="3"/>
        <v>0</v>
      </c>
      <c r="AC54" s="143">
        <v>0</v>
      </c>
      <c r="AD54" s="17"/>
      <c r="AE54" s="17"/>
      <c r="AF54" s="17"/>
    </row>
    <row r="55" spans="1:32" ht="12.75" customHeight="1" x14ac:dyDescent="0.35">
      <c r="A55" s="17"/>
      <c r="B55" s="17"/>
      <c r="C55" s="17"/>
      <c r="D55" s="17"/>
      <c r="E55" s="17"/>
      <c r="F55" s="20" t="s">
        <v>2104</v>
      </c>
      <c r="G55" s="21">
        <v>0</v>
      </c>
      <c r="H55" s="17"/>
      <c r="I55" s="41" t="s">
        <v>212</v>
      </c>
      <c r="J55" s="35" t="s">
        <v>2105</v>
      </c>
      <c r="K55" s="21">
        <v>1</v>
      </c>
      <c r="L55" s="75">
        <v>1</v>
      </c>
      <c r="M55" s="80" t="s">
        <v>2091</v>
      </c>
      <c r="N55" s="21" t="str">
        <f>INDEX(FinYearsR,FinYearRIndex02)</f>
        <v>12/2019</v>
      </c>
      <c r="O55" s="41">
        <f>ROW(Calculations!$E848)</f>
        <v>848</v>
      </c>
      <c r="P55" s="17"/>
      <c r="Q55" s="17"/>
      <c r="R55" s="17"/>
      <c r="S55" s="17"/>
      <c r="T55" s="17"/>
      <c r="U55" s="17"/>
      <c r="V55" s="41"/>
      <c r="W55" s="41">
        <f t="shared" si="1"/>
        <v>1</v>
      </c>
      <c r="X55" s="41">
        <f t="shared" ca="1" si="0"/>
        <v>4</v>
      </c>
      <c r="Y55" s="41">
        <f t="shared" si="1"/>
        <v>0</v>
      </c>
      <c r="Z55" s="41">
        <f t="shared" si="1"/>
        <v>0</v>
      </c>
      <c r="AA55" s="41">
        <f t="shared" si="1"/>
        <v>0</v>
      </c>
      <c r="AB55" s="41">
        <f t="shared" si="1"/>
        <v>0</v>
      </c>
      <c r="AC55" s="143">
        <v>0</v>
      </c>
      <c r="AD55" s="17"/>
      <c r="AE55" s="17"/>
      <c r="AF55" s="17"/>
    </row>
    <row r="56" spans="1:32" ht="12.75" customHeight="1" x14ac:dyDescent="0.35">
      <c r="A56" s="17"/>
      <c r="B56" s="17"/>
      <c r="C56" s="17"/>
      <c r="D56" s="17"/>
      <c r="E56" s="17"/>
      <c r="F56" s="20" t="s">
        <v>2107</v>
      </c>
      <c r="G56" s="21">
        <v>0</v>
      </c>
      <c r="H56" s="17"/>
      <c r="I56" s="41" t="s">
        <v>222</v>
      </c>
      <c r="J56" s="41" t="s">
        <v>2108</v>
      </c>
      <c r="K56" s="21">
        <v>2</v>
      </c>
      <c r="L56" s="75">
        <v>2</v>
      </c>
      <c r="M56" s="80" t="s">
        <v>2094</v>
      </c>
      <c r="N56" s="21" t="str">
        <f>INDEX(FinYearsR,FinYearRIndex03)</f>
        <v>12/2019</v>
      </c>
      <c r="O56" s="41">
        <f>ROW(Calculations!$E849)</f>
        <v>849</v>
      </c>
      <c r="P56" s="17"/>
      <c r="Q56" s="17"/>
      <c r="R56" s="17"/>
      <c r="S56" s="17"/>
      <c r="T56" s="17"/>
      <c r="U56" s="17"/>
      <c r="V56" s="41"/>
      <c r="W56" s="41">
        <f t="shared" ref="W56:AB65" si="4">W26</f>
        <v>1</v>
      </c>
      <c r="X56" s="41">
        <f t="shared" ca="1" si="0"/>
        <v>4</v>
      </c>
      <c r="Y56" s="41">
        <f t="shared" si="4"/>
        <v>0</v>
      </c>
      <c r="Z56" s="41">
        <f t="shared" si="4"/>
        <v>0</v>
      </c>
      <c r="AA56" s="41">
        <f t="shared" si="4"/>
        <v>0</v>
      </c>
      <c r="AB56" s="41">
        <f t="shared" si="4"/>
        <v>0</v>
      </c>
      <c r="AC56" s="143">
        <v>0</v>
      </c>
      <c r="AD56" s="17"/>
      <c r="AE56" s="17"/>
      <c r="AF56" s="17"/>
    </row>
    <row r="57" spans="1:32" ht="12.75" customHeight="1" x14ac:dyDescent="0.35">
      <c r="A57" s="17"/>
      <c r="B57" s="17"/>
      <c r="C57" s="17"/>
      <c r="D57" s="17"/>
      <c r="E57" s="17"/>
      <c r="F57" s="20" t="s">
        <v>2110</v>
      </c>
      <c r="G57" s="21">
        <v>1</v>
      </c>
      <c r="H57" s="17"/>
      <c r="I57" s="41" t="s">
        <v>232</v>
      </c>
      <c r="J57" s="41" t="s">
        <v>2111</v>
      </c>
      <c r="K57" s="21">
        <v>3</v>
      </c>
      <c r="L57" s="75">
        <v>3</v>
      </c>
      <c r="M57" s="80" t="s">
        <v>2097</v>
      </c>
      <c r="N57" s="21" t="str">
        <f>INDEX(FinYearsR,FinYearRIndex04)</f>
        <v>12/2019</v>
      </c>
      <c r="O57" s="41">
        <f>ROW(Calculations!$E850)</f>
        <v>850</v>
      </c>
      <c r="P57" s="17"/>
      <c r="Q57" s="17"/>
      <c r="R57" s="17"/>
      <c r="S57" s="17"/>
      <c r="T57" s="17"/>
      <c r="U57" s="17"/>
      <c r="V57" s="41"/>
      <c r="W57" s="41">
        <f t="shared" si="4"/>
        <v>1</v>
      </c>
      <c r="X57" s="41">
        <f t="shared" ca="1" si="0"/>
        <v>4</v>
      </c>
      <c r="Y57" s="41">
        <f t="shared" si="4"/>
        <v>0</v>
      </c>
      <c r="Z57" s="41">
        <f t="shared" si="4"/>
        <v>0</v>
      </c>
      <c r="AA57" s="41">
        <f t="shared" si="4"/>
        <v>0</v>
      </c>
      <c r="AB57" s="41">
        <f t="shared" si="4"/>
        <v>0</v>
      </c>
      <c r="AC57" s="143">
        <v>0</v>
      </c>
      <c r="AD57" s="17"/>
      <c r="AE57" s="17"/>
      <c r="AF57" s="17"/>
    </row>
    <row r="58" spans="1:32" ht="12.75" customHeight="1" x14ac:dyDescent="0.35">
      <c r="A58" s="17"/>
      <c r="B58" s="17"/>
      <c r="C58" s="17"/>
      <c r="D58" s="17"/>
      <c r="E58" s="17"/>
      <c r="F58" s="161" t="s">
        <v>2113</v>
      </c>
      <c r="G58" s="127">
        <v>0</v>
      </c>
      <c r="H58" s="17"/>
      <c r="I58" s="41" t="s">
        <v>242</v>
      </c>
      <c r="J58" s="41" t="s">
        <v>2114</v>
      </c>
      <c r="K58" s="21">
        <v>4</v>
      </c>
      <c r="L58" s="75">
        <v>4</v>
      </c>
      <c r="M58" s="80" t="s">
        <v>2100</v>
      </c>
      <c r="N58" s="21" t="str">
        <f>INDEX(FinYearsR,FinYearRIndex05)</f>
        <v>12/2019</v>
      </c>
      <c r="O58" s="41">
        <f>ROW(Calculations!$E851)</f>
        <v>851</v>
      </c>
      <c r="P58" s="17"/>
      <c r="Q58" s="17"/>
      <c r="R58" s="17"/>
      <c r="S58" s="17"/>
      <c r="T58" s="17"/>
      <c r="U58" s="17"/>
      <c r="V58" s="41"/>
      <c r="W58" s="41">
        <f t="shared" si="4"/>
        <v>1</v>
      </c>
      <c r="X58" s="41">
        <f t="shared" ca="1" si="0"/>
        <v>4</v>
      </c>
      <c r="Y58" s="41">
        <f t="shared" si="4"/>
        <v>0</v>
      </c>
      <c r="Z58" s="41">
        <f t="shared" si="4"/>
        <v>0</v>
      </c>
      <c r="AA58" s="41">
        <f t="shared" si="4"/>
        <v>0</v>
      </c>
      <c r="AB58" s="41">
        <f t="shared" si="4"/>
        <v>0</v>
      </c>
      <c r="AC58" s="143">
        <v>0</v>
      </c>
      <c r="AD58" s="17"/>
      <c r="AE58" s="17"/>
      <c r="AF58" s="17"/>
    </row>
    <row r="59" spans="1:32" ht="12.75" customHeight="1" x14ac:dyDescent="0.35">
      <c r="A59" s="17"/>
      <c r="B59" s="17"/>
      <c r="C59" s="17"/>
      <c r="D59" s="17"/>
      <c r="E59" s="17"/>
      <c r="F59" s="162" t="s">
        <v>2116</v>
      </c>
      <c r="G59" s="81" t="s">
        <v>2117</v>
      </c>
      <c r="H59" s="17"/>
      <c r="I59" s="41" t="s">
        <v>252</v>
      </c>
      <c r="J59" s="41" t="s">
        <v>2118</v>
      </c>
      <c r="K59" s="21">
        <v>5</v>
      </c>
      <c r="L59" s="75">
        <v>5</v>
      </c>
      <c r="M59" s="80" t="s">
        <v>2103</v>
      </c>
      <c r="N59" s="21" t="str">
        <f t="shared" ref="N59" si="5">INDEX(FinYearsR,FinYearRIndex06)</f>
        <v>12/2019</v>
      </c>
      <c r="O59" s="41">
        <f>ROW(Calculations!$E852)</f>
        <v>852</v>
      </c>
      <c r="P59" s="17"/>
      <c r="Q59" s="17"/>
      <c r="R59" s="17"/>
      <c r="S59" s="17"/>
      <c r="T59" s="17"/>
      <c r="U59" s="17"/>
      <c r="V59" s="41"/>
      <c r="W59" s="41">
        <f t="shared" si="4"/>
        <v>1</v>
      </c>
      <c r="X59" s="41">
        <f t="shared" ca="1" si="0"/>
        <v>4</v>
      </c>
      <c r="Y59" s="41">
        <f t="shared" si="4"/>
        <v>0</v>
      </c>
      <c r="Z59" s="41">
        <f t="shared" si="4"/>
        <v>0</v>
      </c>
      <c r="AA59" s="41">
        <f t="shared" si="4"/>
        <v>0</v>
      </c>
      <c r="AB59" s="41">
        <f t="shared" si="4"/>
        <v>0</v>
      </c>
      <c r="AC59" s="143">
        <v>0</v>
      </c>
      <c r="AD59" s="17"/>
      <c r="AE59" s="17"/>
      <c r="AF59" s="17"/>
    </row>
    <row r="60" spans="1:32" ht="12.75" customHeight="1" x14ac:dyDescent="0.35">
      <c r="A60" s="17"/>
      <c r="B60" s="17"/>
      <c r="C60" s="17"/>
      <c r="D60" s="17"/>
      <c r="E60" s="17"/>
      <c r="F60" s="162" t="s">
        <v>2120</v>
      </c>
      <c r="G60" s="82" t="s">
        <v>2117</v>
      </c>
      <c r="H60" s="17"/>
      <c r="I60" s="41" t="s">
        <v>262</v>
      </c>
      <c r="J60" s="47" t="s">
        <v>2121</v>
      </c>
      <c r="K60" s="21">
        <v>6</v>
      </c>
      <c r="L60" s="75">
        <v>6</v>
      </c>
      <c r="M60" s="187" t="s">
        <v>5106</v>
      </c>
      <c r="N60" s="170" t="str">
        <f>INDEX(FinYearsR,FinYearRIndex07)</f>
        <v>12/2019</v>
      </c>
      <c r="O60" s="41">
        <f>ROW(Calculations!$E853)</f>
        <v>853</v>
      </c>
      <c r="P60" s="17"/>
      <c r="Q60" s="17"/>
      <c r="R60" s="17"/>
      <c r="S60" s="17"/>
      <c r="T60" s="17"/>
      <c r="U60" s="17"/>
      <c r="V60" s="41"/>
      <c r="W60" s="41">
        <f t="shared" si="4"/>
        <v>1</v>
      </c>
      <c r="X60" s="41">
        <f t="shared" ca="1" si="0"/>
        <v>4</v>
      </c>
      <c r="Y60" s="41">
        <f t="shared" si="4"/>
        <v>0</v>
      </c>
      <c r="Z60" s="41">
        <f t="shared" si="4"/>
        <v>0</v>
      </c>
      <c r="AA60" s="41">
        <f t="shared" si="4"/>
        <v>0</v>
      </c>
      <c r="AB60" s="41">
        <f t="shared" si="4"/>
        <v>0</v>
      </c>
      <c r="AC60" s="143">
        <v>0</v>
      </c>
      <c r="AD60" s="17"/>
      <c r="AE60" s="17"/>
      <c r="AF60" s="17"/>
    </row>
    <row r="61" spans="1:32" ht="12.75" customHeight="1" x14ac:dyDescent="0.35">
      <c r="A61" s="70"/>
      <c r="B61" s="17"/>
      <c r="C61" s="17"/>
      <c r="D61" s="17"/>
      <c r="E61" s="17"/>
      <c r="F61" s="162" t="s">
        <v>2123</v>
      </c>
      <c r="G61" s="82" t="s">
        <v>2117</v>
      </c>
      <c r="H61" s="17"/>
      <c r="I61" s="41" t="s">
        <v>272</v>
      </c>
      <c r="J61" s="35" t="s">
        <v>2124</v>
      </c>
      <c r="K61" s="21">
        <v>1</v>
      </c>
      <c r="L61" s="75">
        <v>1</v>
      </c>
      <c r="M61" s="187" t="s">
        <v>5107</v>
      </c>
      <c r="N61" s="170" t="str">
        <f>INDEX(FinYearsR,FinYearRIndex08)</f>
        <v>12/2019</v>
      </c>
      <c r="O61" s="41">
        <f>ROW(Calculations!$E854)</f>
        <v>854</v>
      </c>
      <c r="P61" s="17"/>
      <c r="Q61" s="17"/>
      <c r="R61" s="17"/>
      <c r="S61" s="17"/>
      <c r="T61" s="17"/>
      <c r="U61" s="17"/>
      <c r="V61" s="41"/>
      <c r="W61" s="41">
        <f t="shared" si="4"/>
        <v>1</v>
      </c>
      <c r="X61" s="41">
        <f t="shared" ca="1" si="0"/>
        <v>4</v>
      </c>
      <c r="Y61" s="41">
        <f t="shared" si="4"/>
        <v>0</v>
      </c>
      <c r="Z61" s="41">
        <f t="shared" si="4"/>
        <v>0</v>
      </c>
      <c r="AA61" s="41">
        <f t="shared" si="4"/>
        <v>0</v>
      </c>
      <c r="AB61" s="41">
        <f t="shared" si="4"/>
        <v>0</v>
      </c>
      <c r="AC61" s="143">
        <v>0</v>
      </c>
      <c r="AD61" s="17"/>
      <c r="AE61" s="17"/>
      <c r="AF61" s="17"/>
    </row>
    <row r="62" spans="1:32" ht="12.75" customHeight="1" x14ac:dyDescent="0.35">
      <c r="A62" s="17"/>
      <c r="B62" s="17"/>
      <c r="C62" s="17"/>
      <c r="D62" s="17"/>
      <c r="E62" s="17"/>
      <c r="F62" s="162" t="s">
        <v>2125</v>
      </c>
      <c r="G62" s="82" t="s">
        <v>2117</v>
      </c>
      <c r="H62" s="17"/>
      <c r="I62" s="41" t="s">
        <v>282</v>
      </c>
      <c r="J62" s="41" t="s">
        <v>2126</v>
      </c>
      <c r="K62" s="21">
        <v>2</v>
      </c>
      <c r="L62" s="75">
        <v>2</v>
      </c>
      <c r="M62" s="187" t="s">
        <v>5108</v>
      </c>
      <c r="N62" s="170" t="str">
        <f>INDEX(FinYearsR,FinYearRIndex09)</f>
        <v>12/2019</v>
      </c>
      <c r="O62" s="41">
        <f>ROW(Calculations!$E855)</f>
        <v>855</v>
      </c>
      <c r="P62" s="17"/>
      <c r="Q62" s="17"/>
      <c r="R62" s="17"/>
      <c r="S62" s="17"/>
      <c r="T62" s="17"/>
      <c r="U62" s="17"/>
      <c r="V62" s="41"/>
      <c r="W62" s="41">
        <f t="shared" si="4"/>
        <v>1</v>
      </c>
      <c r="X62" s="41">
        <f t="shared" ca="1" si="0"/>
        <v>4</v>
      </c>
      <c r="Y62" s="41">
        <f t="shared" si="4"/>
        <v>0</v>
      </c>
      <c r="Z62" s="41">
        <f t="shared" si="4"/>
        <v>0</v>
      </c>
      <c r="AA62" s="41">
        <f t="shared" si="4"/>
        <v>0</v>
      </c>
      <c r="AB62" s="41">
        <f t="shared" si="4"/>
        <v>0</v>
      </c>
      <c r="AC62" s="143">
        <v>0</v>
      </c>
      <c r="AD62" s="17"/>
      <c r="AE62" s="17"/>
      <c r="AF62" s="17"/>
    </row>
    <row r="63" spans="1:32" ht="12.75" customHeight="1" x14ac:dyDescent="0.35">
      <c r="A63" s="17"/>
      <c r="B63" s="17"/>
      <c r="C63" s="17"/>
      <c r="D63" s="17"/>
      <c r="E63" s="17"/>
      <c r="F63" s="162" t="s">
        <v>2127</v>
      </c>
      <c r="G63" s="82" t="s">
        <v>2117</v>
      </c>
      <c r="H63" s="17"/>
      <c r="I63" s="41" t="s">
        <v>292</v>
      </c>
      <c r="J63" s="41" t="s">
        <v>2128</v>
      </c>
      <c r="K63" s="21">
        <v>3</v>
      </c>
      <c r="L63" s="75">
        <v>3</v>
      </c>
      <c r="M63" s="187" t="s">
        <v>5109</v>
      </c>
      <c r="N63" s="170" t="str">
        <f>INDEX(FinYearsR,FinYearRIndex10)</f>
        <v>12/2019</v>
      </c>
      <c r="O63" s="41">
        <f>ROW(Calculations!$E856)</f>
        <v>856</v>
      </c>
      <c r="P63" s="17"/>
      <c r="Q63" s="17"/>
      <c r="R63" s="17"/>
      <c r="S63" s="17"/>
      <c r="T63" s="17"/>
      <c r="U63" s="17"/>
      <c r="V63" s="41"/>
      <c r="W63" s="41">
        <f t="shared" si="4"/>
        <v>1</v>
      </c>
      <c r="X63" s="41">
        <f t="shared" ca="1" si="0"/>
        <v>4</v>
      </c>
      <c r="Y63" s="41">
        <f t="shared" si="4"/>
        <v>0</v>
      </c>
      <c r="Z63" s="41">
        <f t="shared" si="4"/>
        <v>0</v>
      </c>
      <c r="AA63" s="41">
        <f t="shared" si="4"/>
        <v>0</v>
      </c>
      <c r="AB63" s="41">
        <f t="shared" si="4"/>
        <v>0</v>
      </c>
      <c r="AC63" s="143">
        <v>0</v>
      </c>
      <c r="AD63" s="17"/>
      <c r="AE63" s="17"/>
      <c r="AF63" s="17"/>
    </row>
    <row r="64" spans="1:32" ht="12.75" customHeight="1" x14ac:dyDescent="0.35">
      <c r="A64" s="70"/>
      <c r="B64" s="17"/>
      <c r="C64" s="17"/>
      <c r="D64" s="17"/>
      <c r="E64" s="17"/>
      <c r="F64" s="162" t="s">
        <v>2129</v>
      </c>
      <c r="G64" s="82" t="s">
        <v>2117</v>
      </c>
      <c r="H64" s="17"/>
      <c r="I64" s="41" t="s">
        <v>302</v>
      </c>
      <c r="J64" s="41" t="s">
        <v>2130</v>
      </c>
      <c r="K64" s="21">
        <v>4</v>
      </c>
      <c r="L64" s="75">
        <v>4</v>
      </c>
      <c r="M64" s="189" t="s">
        <v>5110</v>
      </c>
      <c r="N64" s="170" t="str">
        <f>INDEX(FinYearsR,FinYearRIndex11)</f>
        <v>12/2019</v>
      </c>
      <c r="O64" s="41">
        <f>ROW(Calculations!$E857)</f>
        <v>857</v>
      </c>
      <c r="P64" s="17"/>
      <c r="Q64" s="17"/>
      <c r="R64" s="17"/>
      <c r="S64" s="17"/>
      <c r="T64" s="17"/>
      <c r="U64" s="17"/>
      <c r="V64" s="41"/>
      <c r="W64" s="41">
        <f t="shared" si="4"/>
        <v>1</v>
      </c>
      <c r="X64" s="41">
        <f t="shared" ca="1" si="0"/>
        <v>4</v>
      </c>
      <c r="Y64" s="41">
        <f t="shared" si="4"/>
        <v>0</v>
      </c>
      <c r="Z64" s="41">
        <f t="shared" si="4"/>
        <v>0</v>
      </c>
      <c r="AA64" s="41">
        <f t="shared" si="4"/>
        <v>0</v>
      </c>
      <c r="AB64" s="41">
        <f t="shared" si="4"/>
        <v>0</v>
      </c>
      <c r="AC64" s="143">
        <v>0</v>
      </c>
      <c r="AD64" s="17"/>
      <c r="AE64" s="17"/>
      <c r="AF64" s="17"/>
    </row>
    <row r="65" spans="1:32" ht="12.75" customHeight="1" x14ac:dyDescent="0.35">
      <c r="A65" s="17"/>
      <c r="B65" s="17"/>
      <c r="C65" s="17"/>
      <c r="D65" s="17"/>
      <c r="E65" s="17"/>
      <c r="F65" s="20" t="s">
        <v>2131</v>
      </c>
      <c r="G65" s="21"/>
      <c r="H65" s="17"/>
      <c r="I65" s="41" t="s">
        <v>312</v>
      </c>
      <c r="J65" s="41" t="s">
        <v>2132</v>
      </c>
      <c r="K65" s="21">
        <v>5</v>
      </c>
      <c r="L65" s="75">
        <v>5</v>
      </c>
      <c r="M65" s="76" t="s">
        <v>2106</v>
      </c>
      <c r="N65" s="21">
        <f>IF(ISNA(MATCH(FinYearR01,ColHeadersR,0)),IF(ISNA(C2),IF(ISNA(C3),IF(ISNA(C4),IF(ISNA(C5),C6,C5),C4),C3),C2),MATCH(FinYearR01,ColHeadersR,0))+C1</f>
        <v>8</v>
      </c>
      <c r="O65" s="41">
        <f>ROW(Calculations!$E858)</f>
        <v>858</v>
      </c>
      <c r="P65" s="17"/>
      <c r="Q65" s="17"/>
      <c r="R65" s="17"/>
      <c r="S65" s="17"/>
      <c r="T65" s="17"/>
      <c r="U65" s="17"/>
      <c r="V65" s="41"/>
      <c r="W65" s="41">
        <f t="shared" si="4"/>
        <v>1</v>
      </c>
      <c r="X65" s="41">
        <f t="shared" ca="1" si="0"/>
        <v>4</v>
      </c>
      <c r="Y65" s="41">
        <f t="shared" si="4"/>
        <v>0</v>
      </c>
      <c r="Z65" s="41">
        <f t="shared" si="4"/>
        <v>0</v>
      </c>
      <c r="AA65" s="41">
        <f t="shared" si="4"/>
        <v>0</v>
      </c>
      <c r="AB65" s="41">
        <f t="shared" si="4"/>
        <v>0</v>
      </c>
      <c r="AC65" s="143">
        <v>0</v>
      </c>
      <c r="AD65" s="17"/>
      <c r="AE65" s="17"/>
      <c r="AF65" s="17"/>
    </row>
    <row r="66" spans="1:32" ht="12.75" customHeight="1" x14ac:dyDescent="0.35">
      <c r="A66" s="17"/>
      <c r="B66" s="17"/>
      <c r="C66" s="17"/>
      <c r="D66" s="17"/>
      <c r="E66" s="17"/>
      <c r="F66" s="20" t="s">
        <v>2133</v>
      </c>
      <c r="G66" s="21"/>
      <c r="H66" s="17"/>
      <c r="I66" s="41" t="s">
        <v>322</v>
      </c>
      <c r="J66" s="47" t="s">
        <v>2134</v>
      </c>
      <c r="K66" s="21">
        <v>6</v>
      </c>
      <c r="L66" s="75">
        <v>6</v>
      </c>
      <c r="M66" s="78" t="s">
        <v>2109</v>
      </c>
      <c r="N66" s="21">
        <f>IF(ISNA(MATCH(FinYearR02,ColHeadersR,0)),IF(ISNA(C2),IF(ISNA(C3),IF(ISNA(C4),IF(ISNA(C5),C6,C5),C4),C3),C2),MATCH(FinYearR02,ColHeadersR,0))+C1</f>
        <v>8</v>
      </c>
      <c r="O66" s="41">
        <f>ROW(Calculations!$E859)</f>
        <v>859</v>
      </c>
      <c r="P66" s="17"/>
      <c r="Q66" s="17"/>
      <c r="R66" s="17"/>
      <c r="S66" s="17"/>
      <c r="T66" s="17"/>
      <c r="U66" s="17"/>
      <c r="V66" s="41"/>
      <c r="W66" s="41">
        <f t="shared" ref="W66:AB75" si="6">W36</f>
        <v>1</v>
      </c>
      <c r="X66" s="41">
        <f t="shared" ca="1" si="0"/>
        <v>4</v>
      </c>
      <c r="Y66" s="41">
        <f t="shared" si="6"/>
        <v>0</v>
      </c>
      <c r="Z66" s="41">
        <f t="shared" si="6"/>
        <v>0</v>
      </c>
      <c r="AA66" s="41">
        <f t="shared" si="6"/>
        <v>0</v>
      </c>
      <c r="AB66" s="41">
        <f t="shared" si="6"/>
        <v>0</v>
      </c>
      <c r="AC66" s="143">
        <v>0</v>
      </c>
      <c r="AD66" s="17"/>
      <c r="AE66" s="17"/>
      <c r="AF66" s="17"/>
    </row>
    <row r="67" spans="1:32" ht="12.75" customHeight="1" x14ac:dyDescent="0.35">
      <c r="A67" s="17"/>
      <c r="B67" s="17"/>
      <c r="C67" s="17"/>
      <c r="D67" s="17"/>
      <c r="E67" s="17"/>
      <c r="F67" s="20" t="s">
        <v>2135</v>
      </c>
      <c r="G67" s="21"/>
      <c r="H67" s="17"/>
      <c r="I67" s="41" t="s">
        <v>332</v>
      </c>
      <c r="J67" s="35" t="s">
        <v>2136</v>
      </c>
      <c r="K67" s="21">
        <v>1</v>
      </c>
      <c r="L67" s="75">
        <v>1</v>
      </c>
      <c r="M67" s="78" t="s">
        <v>2112</v>
      </c>
      <c r="N67" s="21">
        <f>IF(ISNA(MATCH(FinYearR03,ColHeadersR,0)),IF(ISNA(C2),IF(ISNA(C3),IF(ISNA(C4),IF(ISNA(C5),C6,C5),C4),C3),C2),MATCH(FinYearR03,ColHeadersR,0))+C1</f>
        <v>8</v>
      </c>
      <c r="O67" s="41">
        <f>ROW(Calculations!$E860)</f>
        <v>860</v>
      </c>
      <c r="P67" s="17"/>
      <c r="Q67" s="17"/>
      <c r="R67" s="17"/>
      <c r="S67" s="17"/>
      <c r="T67" s="17"/>
      <c r="U67" s="17"/>
      <c r="V67" s="41"/>
      <c r="W67" s="41">
        <f t="shared" si="6"/>
        <v>1</v>
      </c>
      <c r="X67" s="41">
        <f t="shared" ca="1" si="0"/>
        <v>4</v>
      </c>
      <c r="Y67" s="41">
        <f t="shared" si="6"/>
        <v>0</v>
      </c>
      <c r="Z67" s="41">
        <f t="shared" si="6"/>
        <v>0</v>
      </c>
      <c r="AA67" s="41">
        <f t="shared" si="6"/>
        <v>0</v>
      </c>
      <c r="AB67" s="41">
        <f t="shared" si="6"/>
        <v>0</v>
      </c>
      <c r="AC67" s="143">
        <v>0</v>
      </c>
      <c r="AD67" s="17"/>
      <c r="AE67" s="17"/>
      <c r="AF67" s="17"/>
    </row>
    <row r="68" spans="1:32" ht="12.75" customHeight="1" x14ac:dyDescent="0.35">
      <c r="A68" s="17"/>
      <c r="B68" s="17"/>
      <c r="C68" s="17"/>
      <c r="D68" s="17"/>
      <c r="E68" s="17"/>
      <c r="F68" s="20" t="s">
        <v>2137</v>
      </c>
      <c r="G68" s="21">
        <v>1</v>
      </c>
      <c r="H68" s="17"/>
      <c r="I68" s="41" t="s">
        <v>342</v>
      </c>
      <c r="J68" s="41" t="s">
        <v>2138</v>
      </c>
      <c r="K68" s="21">
        <v>2</v>
      </c>
      <c r="L68" s="75">
        <v>2</v>
      </c>
      <c r="M68" s="78" t="s">
        <v>2115</v>
      </c>
      <c r="N68" s="21">
        <f>IF(ISNA(MATCH(FinYearR04,ColHeadersR,0)),IF(ISNA(C2),IF(ISNA(C3),IF(ISNA(C4),IF(ISNA(C5),C6,C5),C4),C3),C2),MATCH(FinYearR04,ColHeadersR,0))+C1</f>
        <v>8</v>
      </c>
      <c r="O68" s="41">
        <f>ROW(Calculations!$E861)</f>
        <v>861</v>
      </c>
      <c r="P68" s="17"/>
      <c r="Q68" s="17"/>
      <c r="R68" s="17"/>
      <c r="S68" s="17"/>
      <c r="T68" s="17"/>
      <c r="U68" s="17"/>
      <c r="V68" s="41"/>
      <c r="W68" s="41">
        <f t="shared" si="6"/>
        <v>1</v>
      </c>
      <c r="X68" s="41">
        <f t="shared" ca="1" si="0"/>
        <v>4</v>
      </c>
      <c r="Y68" s="41">
        <f t="shared" si="6"/>
        <v>0</v>
      </c>
      <c r="Z68" s="41">
        <f t="shared" si="6"/>
        <v>0</v>
      </c>
      <c r="AA68" s="41">
        <f t="shared" si="6"/>
        <v>0</v>
      </c>
      <c r="AB68" s="41">
        <f t="shared" si="6"/>
        <v>0</v>
      </c>
      <c r="AC68" s="143">
        <v>0</v>
      </c>
      <c r="AD68" s="17"/>
      <c r="AE68" s="17"/>
      <c r="AF68" s="17"/>
    </row>
    <row r="69" spans="1:32" ht="12.75" customHeight="1" x14ac:dyDescent="0.35">
      <c r="A69" s="17"/>
      <c r="B69" s="17"/>
      <c r="C69" s="17"/>
      <c r="D69" s="17"/>
      <c r="E69" s="17"/>
      <c r="F69" s="20" t="s">
        <v>2139</v>
      </c>
      <c r="G69" s="1228">
        <f>G68</f>
        <v>1</v>
      </c>
      <c r="H69" s="17"/>
      <c r="I69" s="41" t="s">
        <v>352</v>
      </c>
      <c r="J69" s="41" t="s">
        <v>2140</v>
      </c>
      <c r="K69" s="21">
        <v>3</v>
      </c>
      <c r="L69" s="75">
        <v>3</v>
      </c>
      <c r="M69" s="78" t="s">
        <v>2119</v>
      </c>
      <c r="N69" s="21">
        <f>IF(ISNA(MATCH(FinYearR05,ColHeadersR,0)),IF(ISNA(C2),IF(ISNA(C3),IF(ISNA(C4),IF(ISNA(C5),C6,C5),C4),C3),C2),MATCH(FinYearR05,ColHeadersR,0))+C1</f>
        <v>8</v>
      </c>
      <c r="O69" s="41">
        <f>ROW(Calculations!$E862)</f>
        <v>862</v>
      </c>
      <c r="P69" s="17"/>
      <c r="Q69" s="17"/>
      <c r="R69" s="17"/>
      <c r="S69" s="17"/>
      <c r="T69" s="17"/>
      <c r="U69" s="17"/>
      <c r="V69" s="41"/>
      <c r="W69" s="41">
        <f t="shared" si="6"/>
        <v>1</v>
      </c>
      <c r="X69" s="41">
        <f t="shared" ca="1" si="0"/>
        <v>4</v>
      </c>
      <c r="Y69" s="41">
        <f t="shared" si="6"/>
        <v>0</v>
      </c>
      <c r="Z69" s="41">
        <f t="shared" si="6"/>
        <v>0</v>
      </c>
      <c r="AA69" s="41">
        <f t="shared" si="6"/>
        <v>0</v>
      </c>
      <c r="AB69" s="41">
        <f t="shared" si="6"/>
        <v>0</v>
      </c>
      <c r="AC69" s="143">
        <v>0</v>
      </c>
      <c r="AD69" s="17"/>
      <c r="AE69" s="17"/>
      <c r="AF69" s="17"/>
    </row>
    <row r="70" spans="1:32" ht="12.75" customHeight="1" x14ac:dyDescent="0.35">
      <c r="A70" s="17"/>
      <c r="B70" s="17"/>
      <c r="C70" s="17"/>
      <c r="D70" s="17"/>
      <c r="E70" s="17"/>
      <c r="F70" s="83" t="s">
        <v>2141</v>
      </c>
      <c r="G70" s="21">
        <v>0</v>
      </c>
      <c r="H70" s="17"/>
      <c r="I70" s="41" t="s">
        <v>362</v>
      </c>
      <c r="J70" s="41" t="s">
        <v>2142</v>
      </c>
      <c r="K70" s="21">
        <v>4</v>
      </c>
      <c r="L70" s="75">
        <v>4</v>
      </c>
      <c r="M70" s="80" t="s">
        <v>2122</v>
      </c>
      <c r="N70" s="21">
        <f>IF(ISNA(MATCH(FinYearR06,ColHeadersR,0)),IF(ISNA(C2),IF(ISNA(C3),IF(ISNA(C4),IF(ISNA(C5),C6,C5),C4),C3),C2),MATCH(FinYearR06,ColHeadersR,0))+C1</f>
        <v>8</v>
      </c>
      <c r="O70" s="41">
        <f>ROW(Calculations!$E863)</f>
        <v>863</v>
      </c>
      <c r="P70" s="17"/>
      <c r="Q70" s="17"/>
      <c r="R70" s="17"/>
      <c r="S70" s="17"/>
      <c r="T70" s="17"/>
      <c r="U70" s="17"/>
      <c r="V70" s="41"/>
      <c r="W70" s="41">
        <f t="shared" si="6"/>
        <v>1</v>
      </c>
      <c r="X70" s="41">
        <f t="shared" ca="1" si="0"/>
        <v>4</v>
      </c>
      <c r="Y70" s="41">
        <f t="shared" si="6"/>
        <v>0</v>
      </c>
      <c r="Z70" s="41">
        <f t="shared" si="6"/>
        <v>0</v>
      </c>
      <c r="AA70" s="41">
        <f t="shared" si="6"/>
        <v>0</v>
      </c>
      <c r="AB70" s="41">
        <f t="shared" si="6"/>
        <v>0</v>
      </c>
      <c r="AC70" s="143">
        <v>0</v>
      </c>
      <c r="AD70" s="17"/>
      <c r="AE70" s="17"/>
      <c r="AF70" s="17"/>
    </row>
    <row r="71" spans="1:32" ht="12.75" customHeight="1" x14ac:dyDescent="0.35">
      <c r="A71" s="17"/>
      <c r="B71" s="17"/>
      <c r="C71" s="17"/>
      <c r="D71" s="17"/>
      <c r="E71" s="17"/>
      <c r="F71" s="83" t="s">
        <v>2143</v>
      </c>
      <c r="G71" s="21">
        <v>0</v>
      </c>
      <c r="H71" s="17"/>
      <c r="I71" s="41" t="s">
        <v>372</v>
      </c>
      <c r="J71" s="41" t="s">
        <v>2144</v>
      </c>
      <c r="K71" s="21">
        <v>5</v>
      </c>
      <c r="L71" s="75">
        <v>5</v>
      </c>
      <c r="M71" s="187" t="s">
        <v>5111</v>
      </c>
      <c r="N71" s="170">
        <f>IF(ISNA(MATCH(FinYearR07,ColHeadersR,0)),IF(ISNA(C2),IF(ISNA(C3),IF(ISNA(C4),IF(ISNA(C5),C6,C5),C4),C3),C2),MATCH(FinYearR07,ColHeadersR,0))+C1</f>
        <v>8</v>
      </c>
      <c r="O71" s="41">
        <f>ROW(Calculations!$E864)</f>
        <v>864</v>
      </c>
      <c r="P71" s="17"/>
      <c r="Q71" s="17"/>
      <c r="R71" s="17"/>
      <c r="S71" s="17"/>
      <c r="T71" s="17"/>
      <c r="U71" s="17"/>
      <c r="V71" s="41"/>
      <c r="W71" s="41">
        <f t="shared" si="6"/>
        <v>1</v>
      </c>
      <c r="X71" s="41">
        <f t="shared" ca="1" si="0"/>
        <v>4</v>
      </c>
      <c r="Y71" s="41">
        <f t="shared" si="6"/>
        <v>0</v>
      </c>
      <c r="Z71" s="41">
        <f t="shared" si="6"/>
        <v>0</v>
      </c>
      <c r="AA71" s="41">
        <f t="shared" si="6"/>
        <v>0</v>
      </c>
      <c r="AB71" s="41">
        <f t="shared" si="6"/>
        <v>0</v>
      </c>
      <c r="AC71" s="143">
        <v>0</v>
      </c>
      <c r="AD71" s="17"/>
      <c r="AE71" s="17"/>
      <c r="AF71" s="17"/>
    </row>
    <row r="72" spans="1:32" ht="12.75" customHeight="1" x14ac:dyDescent="0.35">
      <c r="A72" s="17"/>
      <c r="B72" s="17"/>
      <c r="C72" s="17"/>
      <c r="D72" s="17"/>
      <c r="E72" s="17"/>
      <c r="F72" s="20" t="s">
        <v>2145</v>
      </c>
      <c r="G72" s="21"/>
      <c r="H72" s="17"/>
      <c r="I72" s="47" t="s">
        <v>382</v>
      </c>
      <c r="J72" s="47" t="s">
        <v>2146</v>
      </c>
      <c r="K72" s="21">
        <v>6</v>
      </c>
      <c r="L72" s="75">
        <v>6</v>
      </c>
      <c r="M72" s="187" t="s">
        <v>5112</v>
      </c>
      <c r="N72" s="170">
        <f>IF(ISNA(MATCH(FinYearR08,ColHeadersR,0)),IF(ISNA(C2),IF(ISNA(C3),IF(ISNA(C4),IF(ISNA(C5),C6,C5),C4),C3),C2),MATCH(FinYearR08,ColHeadersR,0))+C1</f>
        <v>8</v>
      </c>
      <c r="O72" s="41">
        <f>ROW(Calculations!$E865)</f>
        <v>865</v>
      </c>
      <c r="P72" s="17"/>
      <c r="Q72" s="17"/>
      <c r="R72" s="17"/>
      <c r="S72" s="17"/>
      <c r="T72" s="17"/>
      <c r="U72" s="17"/>
      <c r="V72" s="41"/>
      <c r="W72" s="41">
        <f t="shared" si="6"/>
        <v>1</v>
      </c>
      <c r="X72" s="41">
        <f t="shared" ca="1" si="0"/>
        <v>4</v>
      </c>
      <c r="Y72" s="41">
        <f t="shared" si="6"/>
        <v>0</v>
      </c>
      <c r="Z72" s="41">
        <f t="shared" si="6"/>
        <v>0</v>
      </c>
      <c r="AA72" s="41">
        <f t="shared" si="6"/>
        <v>0</v>
      </c>
      <c r="AB72" s="41">
        <f t="shared" si="6"/>
        <v>0</v>
      </c>
      <c r="AC72" s="143">
        <v>0</v>
      </c>
      <c r="AD72" s="17"/>
      <c r="AE72" s="17"/>
      <c r="AF72" s="17"/>
    </row>
    <row r="73" spans="1:32" ht="12.75" customHeight="1" x14ac:dyDescent="0.35">
      <c r="A73" s="70"/>
      <c r="B73" s="17"/>
      <c r="C73" s="17"/>
      <c r="D73" s="17"/>
      <c r="E73" s="17"/>
      <c r="F73" s="20" t="s">
        <v>2147</v>
      </c>
      <c r="G73" s="33"/>
      <c r="H73" s="17"/>
      <c r="I73" s="17"/>
      <c r="J73" s="35" t="s">
        <v>2148</v>
      </c>
      <c r="K73" s="21">
        <v>1</v>
      </c>
      <c r="L73" s="75">
        <v>1</v>
      </c>
      <c r="M73" s="187" t="s">
        <v>5113</v>
      </c>
      <c r="N73" s="170">
        <f>IF(ISNA(MATCH(FinYearR09,ColHeadersR,0)),IF(ISNA(C2),IF(ISNA(C3),IF(ISNA(C4),IF(ISNA(C5),C6,C5),C4),C3),C2),MATCH(FinYearR09,ColHeadersR,0))+C1</f>
        <v>8</v>
      </c>
      <c r="O73" s="41">
        <f>ROW(Calculations!$E866)</f>
        <v>866</v>
      </c>
      <c r="P73" s="17"/>
      <c r="Q73" s="17"/>
      <c r="R73" s="17"/>
      <c r="S73" s="17"/>
      <c r="T73" s="17"/>
      <c r="U73" s="17"/>
      <c r="V73" s="41"/>
      <c r="W73" s="41">
        <f t="shared" si="6"/>
        <v>1</v>
      </c>
      <c r="X73" s="41">
        <f t="shared" ca="1" si="0"/>
        <v>4</v>
      </c>
      <c r="Y73" s="41">
        <f t="shared" si="6"/>
        <v>0</v>
      </c>
      <c r="Z73" s="41">
        <f t="shared" si="6"/>
        <v>0</v>
      </c>
      <c r="AA73" s="41">
        <f t="shared" si="6"/>
        <v>0</v>
      </c>
      <c r="AB73" s="41">
        <f t="shared" si="6"/>
        <v>0</v>
      </c>
      <c r="AC73" s="143">
        <v>0</v>
      </c>
      <c r="AD73" s="17"/>
      <c r="AE73" s="17"/>
      <c r="AF73" s="17"/>
    </row>
    <row r="74" spans="1:32" ht="12.75" customHeight="1" x14ac:dyDescent="0.35">
      <c r="A74" s="17"/>
      <c r="B74" s="17"/>
      <c r="C74" s="17"/>
      <c r="D74" s="17"/>
      <c r="E74" s="17"/>
      <c r="F74" s="163" t="s">
        <v>2149</v>
      </c>
      <c r="G74" s="28" t="e">
        <f>IF(PeriodType=1,IRR(Calculations!$G$1213:$N$1213),NA())</f>
        <v>#N/A</v>
      </c>
      <c r="H74" s="17"/>
      <c r="I74" s="17" t="s">
        <v>5337</v>
      </c>
      <c r="J74" s="41" t="s">
        <v>2150</v>
      </c>
      <c r="K74" s="21">
        <v>2</v>
      </c>
      <c r="L74" s="75">
        <v>2</v>
      </c>
      <c r="M74" s="187" t="s">
        <v>5114</v>
      </c>
      <c r="N74" s="170">
        <f>IF(ISNA(MATCH(FinYearR10,ColHeadersR,0)),IF(ISNA(C2),IF(ISNA(C3),IF(ISNA(C4),IF(ISNA(C5),C6,C5),C4),C3),C2),MATCH(FinYearR10,ColHeadersR,0))+C1</f>
        <v>8</v>
      </c>
      <c r="O74" s="47">
        <f>ROW(Calculations!$E902)</f>
        <v>902</v>
      </c>
      <c r="P74" s="17"/>
      <c r="Q74" s="17"/>
      <c r="R74" s="17"/>
      <c r="S74" s="17"/>
      <c r="T74" s="17"/>
      <c r="U74" s="17"/>
      <c r="V74" s="41"/>
      <c r="W74" s="41">
        <f t="shared" si="6"/>
        <v>1</v>
      </c>
      <c r="X74" s="41">
        <f t="shared" ca="1" si="0"/>
        <v>4</v>
      </c>
      <c r="Y74" s="41">
        <f t="shared" si="6"/>
        <v>0</v>
      </c>
      <c r="Z74" s="41">
        <f t="shared" si="6"/>
        <v>0</v>
      </c>
      <c r="AA74" s="41">
        <f t="shared" si="6"/>
        <v>0</v>
      </c>
      <c r="AB74" s="41">
        <f t="shared" si="6"/>
        <v>0</v>
      </c>
      <c r="AC74" s="143">
        <v>0</v>
      </c>
      <c r="AD74" s="17"/>
      <c r="AE74" s="17"/>
      <c r="AF74" s="17"/>
    </row>
    <row r="75" spans="1:32" ht="12.75" customHeight="1" x14ac:dyDescent="0.35">
      <c r="A75" s="17"/>
      <c r="B75" s="17"/>
      <c r="C75" s="17"/>
      <c r="D75" s="17"/>
      <c r="E75" s="17"/>
      <c r="F75" s="84" t="s">
        <v>2151</v>
      </c>
      <c r="G75" s="85">
        <f ca="1">IF(ISNA(G98),IF(ISERROR($G$74),IF(ISERROR($K$91),"-",$K$91),$G$74),OFFSET(G75,G98,0))</f>
        <v>0.45335946086278023</v>
      </c>
      <c r="H75" s="17"/>
      <c r="I75" s="1229" t="b">
        <v>0</v>
      </c>
      <c r="J75" s="41" t="s">
        <v>2152</v>
      </c>
      <c r="K75" s="21">
        <v>3</v>
      </c>
      <c r="L75" s="75">
        <v>3</v>
      </c>
      <c r="M75" s="189" t="s">
        <v>5115</v>
      </c>
      <c r="N75" s="170">
        <f>IF(ISNA(MATCH(FinYearR11,ColHeadersR,0)),IF(ISNA(C2),IF(ISNA(C3),IF(ISNA(C4),IF(ISNA(C5),C6,C5),C4),C3),C2),MATCH(FinYearR11,ColHeadersR,0))+C1</f>
        <v>8</v>
      </c>
      <c r="O75" s="17"/>
      <c r="P75" s="17"/>
      <c r="Q75" s="17"/>
      <c r="R75" s="17"/>
      <c r="S75" s="17"/>
      <c r="T75" s="17"/>
      <c r="U75" s="17"/>
      <c r="V75" s="47"/>
      <c r="W75" s="47">
        <f t="shared" si="6"/>
        <v>1</v>
      </c>
      <c r="X75" s="47">
        <f t="shared" ca="1" si="0"/>
        <v>4</v>
      </c>
      <c r="Y75" s="47">
        <f t="shared" si="6"/>
        <v>0</v>
      </c>
      <c r="Z75" s="47">
        <f t="shared" si="6"/>
        <v>0</v>
      </c>
      <c r="AA75" s="47">
        <f t="shared" si="6"/>
        <v>0</v>
      </c>
      <c r="AB75" s="47">
        <f t="shared" si="6"/>
        <v>0</v>
      </c>
      <c r="AC75" s="144">
        <v>0</v>
      </c>
      <c r="AD75" s="17"/>
      <c r="AE75" s="17"/>
      <c r="AF75" s="17"/>
    </row>
    <row r="76" spans="1:32" ht="12.75" customHeight="1" x14ac:dyDescent="0.35">
      <c r="A76" s="70"/>
      <c r="B76" s="17"/>
      <c r="C76" s="17"/>
      <c r="D76" s="17"/>
      <c r="E76" s="17"/>
      <c r="F76" s="29">
        <f>F77*0.5</f>
        <v>1.1316398208850442E-3</v>
      </c>
      <c r="G76" s="86">
        <f t="shared" ref="G76:G97" ca="1" si="7">(1+IRR(IrrCashFlow,$F76))^12-1</f>
        <v>0.45335946086278023</v>
      </c>
      <c r="H76" s="17"/>
      <c r="I76" s="64" t="s">
        <v>5338</v>
      </c>
      <c r="J76" s="41" t="s">
        <v>2153</v>
      </c>
      <c r="K76" s="21">
        <v>4</v>
      </c>
      <c r="L76" s="75">
        <v>4</v>
      </c>
      <c r="O76" s="167" t="s">
        <v>5085</v>
      </c>
      <c r="P76" s="17"/>
      <c r="Q76" s="17"/>
      <c r="R76" s="17"/>
      <c r="S76" s="17"/>
      <c r="T76" s="17"/>
      <c r="U76" s="17"/>
      <c r="V76" s="17"/>
      <c r="W76" s="17"/>
      <c r="X76" s="17"/>
      <c r="Y76" s="17"/>
      <c r="Z76" s="17"/>
      <c r="AA76" s="17"/>
      <c r="AB76" s="17"/>
      <c r="AC76" s="17"/>
      <c r="AD76" s="17"/>
      <c r="AE76" s="17"/>
      <c r="AF76" s="17"/>
    </row>
    <row r="77" spans="1:32" ht="12.75" customHeight="1" x14ac:dyDescent="0.35">
      <c r="A77" s="17"/>
      <c r="B77" s="17"/>
      <c r="C77" s="17"/>
      <c r="D77" s="17"/>
      <c r="E77" s="17"/>
      <c r="F77" s="36">
        <f>DiscMonth</f>
        <v>2.2632796417700884E-3</v>
      </c>
      <c r="G77" s="87">
        <f t="shared" ca="1" si="7"/>
        <v>0.45335946086278023</v>
      </c>
      <c r="H77" s="17"/>
      <c r="I77" s="1230"/>
      <c r="J77" s="41" t="s">
        <v>2154</v>
      </c>
      <c r="K77" s="21">
        <v>5</v>
      </c>
      <c r="L77" s="75">
        <v>5</v>
      </c>
      <c r="O77" s="186" t="s">
        <v>5086</v>
      </c>
      <c r="P77" s="17"/>
      <c r="Q77" s="17"/>
      <c r="R77" s="17"/>
      <c r="S77" s="17"/>
      <c r="T77" s="17"/>
      <c r="U77" s="17"/>
      <c r="V77" s="119" t="s">
        <v>2155</v>
      </c>
      <c r="W77" s="17" t="s">
        <v>2156</v>
      </c>
      <c r="X77" s="17" t="str">
        <f ca="1">OFFSET($V$77,PerpetuityIndexEquity,0)</f>
        <v>5 years</v>
      </c>
      <c r="Y77" s="17"/>
      <c r="Z77" s="120" t="s">
        <v>2157</v>
      </c>
      <c r="AA77" s="17"/>
      <c r="AB77" s="120" t="s">
        <v>2158</v>
      </c>
      <c r="AC77" s="17"/>
      <c r="AD77" s="17"/>
      <c r="AE77" s="17"/>
      <c r="AF77" s="17"/>
    </row>
    <row r="78" spans="1:32" ht="12.75" customHeight="1" x14ac:dyDescent="0.35">
      <c r="A78" s="17"/>
      <c r="B78" s="17"/>
      <c r="C78" s="17"/>
      <c r="D78" s="17"/>
      <c r="E78" s="17"/>
      <c r="F78" s="36">
        <f>F77*1.5</f>
        <v>3.3949194626551327E-3</v>
      </c>
      <c r="G78" s="87">
        <f t="shared" ca="1" si="7"/>
        <v>0.45335946086278023</v>
      </c>
      <c r="H78" s="17"/>
      <c r="I78" s="17"/>
      <c r="J78" s="47" t="s">
        <v>2159</v>
      </c>
      <c r="K78" s="21">
        <v>6</v>
      </c>
      <c r="L78" s="75">
        <v>6</v>
      </c>
      <c r="O78" s="179" t="s">
        <v>5087</v>
      </c>
      <c r="P78" s="17"/>
      <c r="Q78" s="17"/>
      <c r="R78" s="17"/>
      <c r="S78" s="17"/>
      <c r="T78" s="17"/>
      <c r="U78" s="17"/>
      <c r="V78" s="128" t="str">
        <f ca="1">PROPER(SpecsTxt!E2)</f>
        <v>Perpetual</v>
      </c>
      <c r="W78" s="17"/>
      <c r="X78" s="17">
        <v>0</v>
      </c>
      <c r="Y78" s="17"/>
      <c r="Z78" s="121">
        <f>SUM(Z79:Z178)</f>
        <v>0</v>
      </c>
      <c r="AA78" s="17"/>
      <c r="AB78" s="121">
        <f>SUM(AB79:AB178)</f>
        <v>0</v>
      </c>
      <c r="AC78" s="88">
        <f>SUM(AC79:AC178)</f>
        <v>0</v>
      </c>
      <c r="AD78" s="89">
        <f>SUM(AD79:AD178)</f>
        <v>0</v>
      </c>
      <c r="AE78" s="89">
        <f>SUM(AE79:AE178)</f>
        <v>0</v>
      </c>
      <c r="AF78" s="89">
        <f>SUM(AF79:AF178)</f>
        <v>0</v>
      </c>
    </row>
    <row r="79" spans="1:32" ht="12.75" customHeight="1" x14ac:dyDescent="0.35">
      <c r="A79" s="17"/>
      <c r="B79" s="17"/>
      <c r="C79" s="17"/>
      <c r="D79" s="17"/>
      <c r="E79" s="17"/>
      <c r="F79" s="36">
        <f>-F76</f>
        <v>-1.1316398208850442E-3</v>
      </c>
      <c r="G79" s="87">
        <f t="shared" ca="1" si="7"/>
        <v>0.45335946086278023</v>
      </c>
      <c r="H79" s="17"/>
      <c r="I79" s="17"/>
      <c r="J79" s="17"/>
      <c r="K79" s="17"/>
      <c r="L79" s="17"/>
      <c r="O79" s="179" t="s">
        <v>5088</v>
      </c>
      <c r="P79" s="17"/>
      <c r="Q79" s="17"/>
      <c r="R79" s="17"/>
      <c r="S79" s="17"/>
      <c r="T79" s="17"/>
      <c r="U79" s="17"/>
      <c r="V79" s="129" t="str">
        <f t="shared" ref="V79:V110" si="8">W79&amp;" "&amp;X79</f>
        <v>1 year</v>
      </c>
      <c r="W79" s="17">
        <v>1</v>
      </c>
      <c r="X79" s="17" t="str">
        <f>IF(Language&lt;&gt;5,""&amp;'Basic Values'!$B$5,"rok")</f>
        <v>year</v>
      </c>
      <c r="Y79" s="17">
        <f t="shared" ref="Y79:Y110" si="9">IF($W79&lt;=PerpetuityLimitation-1,$W79,0)</f>
        <v>0</v>
      </c>
      <c r="Z79" s="70">
        <f>IF(Y79&lt;&gt;0,(PerpetuityBaseValue*IF(PerpetuityGrowing=2,(1+Result!$G$28/100)^Specs!W79,1))/(1+DiscYear/100)^$W79,0)</f>
        <v>0</v>
      </c>
      <c r="AA79" s="17">
        <f t="shared" ref="AA79:AA110" si="10">IF($W79&lt;=PerpetuityLimitationEquity-1,$W79,0)</f>
        <v>0</v>
      </c>
      <c r="AB79" s="70">
        <f>IF(AA79&lt;&gt;0,(PerpetuityBaseValueEquity*IF(PerpetuityGrowing=2,1+Result!$G$108/100,1))/(1+DiscYearEquity/100)^$W79,0)</f>
        <v>0</v>
      </c>
      <c r="AC79" s="70">
        <f>IF(Y79&lt;&gt;0,(PerpetuityBaseValue*IF(PerpetuityGrowing=2,(1+Result!$G$28/100)^Specs!W79,1))/(1+Calculations!$D$1051)^$W79,0)</f>
        <v>0</v>
      </c>
      <c r="AD79" s="70">
        <f>IF(Y79&lt;&gt;0,(PerpetuityBaseValue*IF(PerpetuityGrowing=2,(1+Result!$G$28/100)^Specs!W79,1))/(1+Calculations!$D$1052)^$W79,0)</f>
        <v>0</v>
      </c>
      <c r="AE79" s="70">
        <f>IF(Y79&lt;&gt;0,(PerpetuityBaseValue*IF(PerpetuityGrowing=2,(1+Result!$G$28/100)^Specs!W79,1))/(1+Calculations!$D$1054)^$W79,0)</f>
        <v>0</v>
      </c>
      <c r="AF79" s="70">
        <f>IF(Y79&lt;&gt;0,(PerpetuityBaseValue*IF(PerpetuityGrowing=2,(1+Result!$G$28/100)^Specs!W79,1))/(1+Calculations!$D$1055)^$W79,0)</f>
        <v>0</v>
      </c>
    </row>
    <row r="80" spans="1:32" ht="12.75" customHeight="1" x14ac:dyDescent="0.35">
      <c r="A80" s="17"/>
      <c r="B80" s="17"/>
      <c r="C80" s="17"/>
      <c r="D80" s="17"/>
      <c r="E80" s="17"/>
      <c r="F80" s="36">
        <f>-F77</f>
        <v>-2.2632796417700884E-3</v>
      </c>
      <c r="G80" s="87">
        <f t="shared" ca="1" si="7"/>
        <v>0.45335946086278023</v>
      </c>
      <c r="H80" s="17"/>
      <c r="I80" s="17"/>
      <c r="J80" s="17"/>
      <c r="K80" s="17"/>
      <c r="L80" s="17"/>
      <c r="O80" s="179" t="s">
        <v>5089</v>
      </c>
      <c r="P80" s="17"/>
      <c r="Q80" s="17"/>
      <c r="R80" s="17"/>
      <c r="S80" s="17"/>
      <c r="T80" s="17"/>
      <c r="U80" s="17"/>
      <c r="V80" s="129" t="str">
        <f t="shared" si="8"/>
        <v>2 years</v>
      </c>
      <c r="W80" s="17">
        <v>2</v>
      </c>
      <c r="X80" s="17" t="str">
        <f>IF(Language&lt;&gt;5,'Basic Values'!$B$9,IF(W80&lt;5,"lata","lat"))</f>
        <v>years</v>
      </c>
      <c r="Y80" s="17">
        <f t="shared" si="9"/>
        <v>0</v>
      </c>
      <c r="Z80" s="70">
        <f>IF(Y80&lt;&gt;0,(PerpetuityBaseValue*IF(PerpetuityGrowing=2,(1+Result!$G$28/100)^Specs!W80,1))/(1+DiscYear/100)^$W80,0)</f>
        <v>0</v>
      </c>
      <c r="AA80" s="17">
        <f t="shared" si="10"/>
        <v>0</v>
      </c>
      <c r="AB80" s="70">
        <f>IF(AA80&lt;&gt;0,(PerpetuityBaseValueEquity*IF(PerpetuityGrowing=2,1+Result!$G$108/100,1))/(1+DiscYearEquity/100)^$W80,0)</f>
        <v>0</v>
      </c>
      <c r="AC80" s="70">
        <f>IF(Y80&lt;&gt;0,(PerpetuityBaseValue*IF(PerpetuityGrowing=2,(1+Result!$G$28/100)^Specs!W80,1))/(1+Calculations!$D$1051)^$W80,0)</f>
        <v>0</v>
      </c>
      <c r="AD80" s="70">
        <f>IF(Y80&lt;&gt;0,(PerpetuityBaseValue*IF(PerpetuityGrowing=2,(1+Result!$G$28/100)^Specs!W80,1))/(1+Calculations!$D$1052)^$W80,0)</f>
        <v>0</v>
      </c>
      <c r="AE80" s="70">
        <f>IF(Y80&lt;&gt;0,(PerpetuityBaseValue*IF(PerpetuityGrowing=2,(1+Result!$G$28/100)^Specs!W80,1))/(1+Calculations!$D$1054)^$W80,0)</f>
        <v>0</v>
      </c>
      <c r="AF80" s="70">
        <f>IF(Y80&lt;&gt;0,(PerpetuityBaseValue*IF(PerpetuityGrowing=2,(1+Result!$G$28/100)^Specs!W80,1))/(1+Calculations!$D$1055)^$W80,0)</f>
        <v>0</v>
      </c>
    </row>
    <row r="81" spans="1:32" ht="12.75" customHeight="1" x14ac:dyDescent="0.35">
      <c r="A81" s="17"/>
      <c r="B81" s="17"/>
      <c r="C81" s="17"/>
      <c r="D81" s="17"/>
      <c r="E81" s="17"/>
      <c r="F81" s="36">
        <f>-F78</f>
        <v>-3.3949194626551327E-3</v>
      </c>
      <c r="G81" s="87">
        <f t="shared" ca="1" si="7"/>
        <v>0.45335946086278023</v>
      </c>
      <c r="H81" s="17"/>
      <c r="I81" s="17"/>
      <c r="J81" s="17"/>
      <c r="K81" s="17"/>
      <c r="L81" s="17"/>
      <c r="O81" s="179" t="s">
        <v>5090</v>
      </c>
      <c r="P81" s="17"/>
      <c r="Q81" s="17"/>
      <c r="R81" s="17"/>
      <c r="S81" s="17"/>
      <c r="T81" s="17"/>
      <c r="U81" s="17"/>
      <c r="V81" s="129" t="str">
        <f t="shared" si="8"/>
        <v>3 years</v>
      </c>
      <c r="W81" s="17">
        <v>3</v>
      </c>
      <c r="X81" s="17" t="str">
        <f>IF(Language&lt;&gt;5,'Basic Values'!$B$9,IF(W81&lt;5,"lata","lat"))</f>
        <v>years</v>
      </c>
      <c r="Y81" s="17">
        <f t="shared" si="9"/>
        <v>0</v>
      </c>
      <c r="Z81" s="70">
        <f>IF(Y81&lt;&gt;0,(PerpetuityBaseValue*IF(PerpetuityGrowing=2,(1+Result!$G$28/100)^Specs!W81,1))/(1+DiscYear/100)^$W81,0)</f>
        <v>0</v>
      </c>
      <c r="AA81" s="17">
        <f t="shared" si="10"/>
        <v>0</v>
      </c>
      <c r="AB81" s="70">
        <f>IF(AA81&lt;&gt;0,(PerpetuityBaseValueEquity*IF(PerpetuityGrowing=2,1+Result!$G$108/100,1))/(1+DiscYearEquity/100)^$W81,0)</f>
        <v>0</v>
      </c>
      <c r="AC81" s="70">
        <f>IF(Y81&lt;&gt;0,(PerpetuityBaseValue*IF(PerpetuityGrowing=2,(1+Result!$G$28/100)^Specs!W81,1))/(1+Calculations!$D$1051)^$W81,0)</f>
        <v>0</v>
      </c>
      <c r="AD81" s="70">
        <f>IF(Y81&lt;&gt;0,(PerpetuityBaseValue*IF(PerpetuityGrowing=2,(1+Result!$G$28/100)^Specs!W81,1))/(1+Calculations!$D$1052)^$W81,0)</f>
        <v>0</v>
      </c>
      <c r="AE81" s="70">
        <f>IF(Y81&lt;&gt;0,(PerpetuityBaseValue*IF(PerpetuityGrowing=2,(1+Result!$G$28/100)^Specs!W81,1))/(1+Calculations!$D$1054)^$W81,0)</f>
        <v>0</v>
      </c>
      <c r="AF81" s="70">
        <f>IF(Y81&lt;&gt;0,(PerpetuityBaseValue*IF(PerpetuityGrowing=2,(1+Result!$G$28/100)^Specs!W81,1))/(1+Calculations!$D$1055)^$W81,0)</f>
        <v>0</v>
      </c>
    </row>
    <row r="82" spans="1:32" ht="12.75" customHeight="1" x14ac:dyDescent="0.35">
      <c r="A82" s="17"/>
      <c r="B82" s="17"/>
      <c r="C82" s="17"/>
      <c r="D82" s="17"/>
      <c r="E82" s="17"/>
      <c r="F82" s="90">
        <v>-1</v>
      </c>
      <c r="G82" s="1240">
        <f ca="1">G84</f>
        <v>0.45335946086278023</v>
      </c>
      <c r="H82" s="17"/>
      <c r="I82" s="17"/>
      <c r="J82" s="17"/>
      <c r="K82" s="17"/>
      <c r="L82" s="17"/>
      <c r="M82" s="169" t="s">
        <v>4975</v>
      </c>
      <c r="N82" s="170">
        <v>1</v>
      </c>
      <c r="O82" s="179" t="s">
        <v>5091</v>
      </c>
      <c r="P82" s="17"/>
      <c r="Q82" s="17"/>
      <c r="R82" s="17"/>
      <c r="S82" s="17"/>
      <c r="T82" s="17"/>
      <c r="U82" s="17"/>
      <c r="V82" s="129" t="str">
        <f t="shared" si="8"/>
        <v>4 years</v>
      </c>
      <c r="W82" s="17">
        <v>4</v>
      </c>
      <c r="X82" s="17" t="str">
        <f>IF(Language&lt;&gt;5,'Basic Values'!$B$9,IF(W82&lt;5,"lata","lat"))</f>
        <v>years</v>
      </c>
      <c r="Y82" s="17">
        <f t="shared" si="9"/>
        <v>0</v>
      </c>
      <c r="Z82" s="70">
        <f>IF(Y82&lt;&gt;0,(PerpetuityBaseValue*IF(PerpetuityGrowing=2,(1+Result!$G$28/100)^Specs!W82,1))/(1+DiscYear/100)^$W82,0)</f>
        <v>0</v>
      </c>
      <c r="AA82" s="17">
        <f t="shared" si="10"/>
        <v>0</v>
      </c>
      <c r="AB82" s="70">
        <f>IF(AA82&lt;&gt;0,(PerpetuityBaseValueEquity*IF(PerpetuityGrowing=2,1+Result!$G$108/100,1))/(1+DiscYearEquity/100)^$W82,0)</f>
        <v>0</v>
      </c>
      <c r="AC82" s="70">
        <f>IF(Y82&lt;&gt;0,(PerpetuityBaseValue*IF(PerpetuityGrowing=2,(1+Result!$G$28/100)^Specs!W82,1))/(1+Calculations!$D$1051)^$W82,0)</f>
        <v>0</v>
      </c>
      <c r="AD82" s="70">
        <f>IF(Y82&lt;&gt;0,(PerpetuityBaseValue*IF(PerpetuityGrowing=2,(1+Result!$G$28/100)^Specs!W82,1))/(1+Calculations!$D$1052)^$W82,0)</f>
        <v>0</v>
      </c>
      <c r="AE82" s="70">
        <f>IF(Y82&lt;&gt;0,(PerpetuityBaseValue*IF(PerpetuityGrowing=2,(1+Result!$G$28/100)^Specs!W82,1))/(1+Calculations!$D$1054)^$W82,0)</f>
        <v>0</v>
      </c>
      <c r="AF82" s="70">
        <f>IF(Y82&lt;&gt;0,(PerpetuityBaseValue*IF(PerpetuityGrowing=2,(1+Result!$G$28/100)^Specs!W82,1))/(1+Calculations!$D$1055)^$W82,0)</f>
        <v>0</v>
      </c>
    </row>
    <row r="83" spans="1:32" ht="12.75" customHeight="1" x14ac:dyDescent="0.35">
      <c r="A83" s="17"/>
      <c r="B83" s="17"/>
      <c r="C83" s="17"/>
      <c r="D83" s="17"/>
      <c r="E83" s="17"/>
      <c r="F83" s="92">
        <v>-9.5462094216042792E-2</v>
      </c>
      <c r="G83" s="93">
        <f t="shared" ca="1" si="7"/>
        <v>0.45335946086278023</v>
      </c>
      <c r="H83" s="17"/>
      <c r="I83" s="17"/>
      <c r="J83" s="17">
        <v>12</v>
      </c>
      <c r="K83" s="17">
        <f>MATCH(Specs!J83,Calculations!$G$17:$N$17,0)</f>
        <v>3</v>
      </c>
      <c r="L83" s="17"/>
      <c r="M83" s="171" t="s">
        <v>4976</v>
      </c>
      <c r="N83" s="170">
        <v>2</v>
      </c>
      <c r="O83" s="179" t="s">
        <v>5092</v>
      </c>
      <c r="P83" s="17"/>
      <c r="Q83" s="17"/>
      <c r="R83" s="17"/>
      <c r="S83" s="17"/>
      <c r="T83" s="17"/>
      <c r="U83" s="17"/>
      <c r="V83" s="129" t="str">
        <f t="shared" si="8"/>
        <v>5 years</v>
      </c>
      <c r="W83" s="17">
        <v>5</v>
      </c>
      <c r="X83" s="17" t="str">
        <f>IF(Language&lt;&gt;5,'Basic Values'!$B$9,IF(W83&lt;5,"lata","lat"))</f>
        <v>years</v>
      </c>
      <c r="Y83" s="17">
        <f t="shared" si="9"/>
        <v>0</v>
      </c>
      <c r="Z83" s="70">
        <f>IF(Y83&lt;&gt;0,(PerpetuityBaseValue*IF(PerpetuityGrowing=2,(1+Result!$G$28/100)^Specs!W83,1))/(1+DiscYear/100)^$W83,0)</f>
        <v>0</v>
      </c>
      <c r="AA83" s="17">
        <f t="shared" si="10"/>
        <v>0</v>
      </c>
      <c r="AB83" s="70">
        <f>IF(AA83&lt;&gt;0,(PerpetuityBaseValueEquity*IF(PerpetuityGrowing=2,1+Result!$G$108/100,1))/(1+DiscYearEquity/100)^$W83,0)</f>
        <v>0</v>
      </c>
      <c r="AC83" s="70">
        <f>IF(Y83&lt;&gt;0,(PerpetuityBaseValue*IF(PerpetuityGrowing=2,(1+Result!$G$28/100)^Specs!W83,1))/(1+Calculations!$D$1051)^$W83,0)</f>
        <v>0</v>
      </c>
      <c r="AD83" s="70">
        <f>IF(Y83&lt;&gt;0,(PerpetuityBaseValue*IF(PerpetuityGrowing=2,(1+Result!$G$28/100)^Specs!W83,1))/(1+Calculations!$D$1052)^$W83,0)</f>
        <v>0</v>
      </c>
      <c r="AE83" s="70">
        <f>IF(Y83&lt;&gt;0,(PerpetuityBaseValue*IF(PerpetuityGrowing=2,(1+Result!$G$28/100)^Specs!W83,1))/(1+Calculations!$D$1054)^$W83,0)</f>
        <v>0</v>
      </c>
      <c r="AF83" s="70">
        <f>IF(Y83&lt;&gt;0,(PerpetuityBaseValue*IF(PerpetuityGrowing=2,(1+Result!$G$28/100)^Specs!W83,1))/(1+Calculations!$D$1055)^$W83,0)</f>
        <v>0</v>
      </c>
    </row>
    <row r="84" spans="1:32" ht="12.75" customHeight="1" x14ac:dyDescent="0.35">
      <c r="A84" s="17"/>
      <c r="B84" s="17"/>
      <c r="C84" s="17"/>
      <c r="D84" s="17"/>
      <c r="E84" s="17"/>
      <c r="F84" s="92">
        <v>-4.1675471372851991E-2</v>
      </c>
      <c r="G84" s="1239">
        <f ca="1">G86</f>
        <v>0.45335946086278023</v>
      </c>
      <c r="H84" s="17"/>
      <c r="I84" s="17"/>
      <c r="J84" s="17">
        <v>6</v>
      </c>
      <c r="K84" s="17" t="e">
        <f ca="1">MATCH(Specs!J84,Calculations!$G$17:$N$17,0)</f>
        <v>#N/A</v>
      </c>
      <c r="L84" s="17"/>
      <c r="M84" s="171" t="s">
        <v>4977</v>
      </c>
      <c r="N84" s="170">
        <v>3</v>
      </c>
      <c r="O84" s="178" t="s">
        <v>5093</v>
      </c>
      <c r="P84" s="17"/>
      <c r="Q84" s="17"/>
      <c r="R84" s="17"/>
      <c r="S84" s="17"/>
      <c r="T84" s="17"/>
      <c r="U84" s="17"/>
      <c r="V84" s="129" t="str">
        <f t="shared" si="8"/>
        <v>6 years</v>
      </c>
      <c r="W84" s="17">
        <v>6</v>
      </c>
      <c r="X84" s="17" t="str">
        <f>IF(Language&lt;&gt;5,'Basic Values'!$B$9,IF(W84&lt;5,"lata","lat"))</f>
        <v>years</v>
      </c>
      <c r="Y84" s="17">
        <f t="shared" si="9"/>
        <v>0</v>
      </c>
      <c r="Z84" s="70">
        <f>IF(Y84&lt;&gt;0,(PerpetuityBaseValue*IF(PerpetuityGrowing=2,(1+Result!$G$28/100)^Specs!W84,1))/(1+DiscYear/100)^$W84,0)</f>
        <v>0</v>
      </c>
      <c r="AA84" s="17">
        <f t="shared" si="10"/>
        <v>0</v>
      </c>
      <c r="AB84" s="70">
        <f>IF(AA84&lt;&gt;0,(PerpetuityBaseValueEquity*IF(PerpetuityGrowing=2,1+Result!$G$108/100,1))/(1+DiscYearEquity/100)^$W84,0)</f>
        <v>0</v>
      </c>
      <c r="AC84" s="70">
        <f>IF(Y84&lt;&gt;0,(PerpetuityBaseValue*IF(PerpetuityGrowing=2,(1+Result!$G$28/100)^Specs!W84,1))/(1+Calculations!$D$1051)^$W84,0)</f>
        <v>0</v>
      </c>
      <c r="AD84" s="70">
        <f>IF(Y84&lt;&gt;0,(PerpetuityBaseValue*IF(PerpetuityGrowing=2,(1+Result!$G$28/100)^Specs!W84,1))/(1+Calculations!$D$1052)^$W84,0)</f>
        <v>0</v>
      </c>
      <c r="AE84" s="70">
        <f>IF(Y84&lt;&gt;0,(PerpetuityBaseValue*IF(PerpetuityGrowing=2,(1+Result!$G$28/100)^Specs!W84,1))/(1+Calculations!$D$1054)^$W84,0)</f>
        <v>0</v>
      </c>
      <c r="AF84" s="70">
        <f>IF(Y84&lt;&gt;0,(PerpetuityBaseValue*IF(PerpetuityGrowing=2,(1+Result!$G$28/100)^Specs!W84,1))/(1+Calculations!$D$1055)^$W84,0)</f>
        <v>0</v>
      </c>
    </row>
    <row r="85" spans="1:32" ht="12.75" customHeight="1" x14ac:dyDescent="0.35">
      <c r="A85" s="70"/>
      <c r="B85" s="17"/>
      <c r="C85" s="17"/>
      <c r="D85" s="17"/>
      <c r="E85" s="17"/>
      <c r="F85" s="92">
        <v>-2.9285530376777613E-2</v>
      </c>
      <c r="G85" s="93">
        <f t="shared" ca="1" si="7"/>
        <v>0.45335946086278023</v>
      </c>
      <c r="H85" s="17"/>
      <c r="I85" s="17"/>
      <c r="J85" s="17">
        <v>4</v>
      </c>
      <c r="K85" s="17">
        <f>MATCH(Specs!J85,Calculations!$G$17:$N$17,0)</f>
        <v>2</v>
      </c>
      <c r="L85" s="17"/>
      <c r="M85" s="171" t="s">
        <v>4978</v>
      </c>
      <c r="N85" s="170">
        <v>4</v>
      </c>
      <c r="O85" s="186" t="s">
        <v>5094</v>
      </c>
      <c r="P85" s="17"/>
      <c r="Q85" s="17"/>
      <c r="R85" s="17"/>
      <c r="S85" s="17"/>
      <c r="T85" s="17"/>
      <c r="U85" s="17"/>
      <c r="V85" s="129" t="str">
        <f t="shared" si="8"/>
        <v>7 years</v>
      </c>
      <c r="W85" s="17">
        <v>7</v>
      </c>
      <c r="X85" s="17" t="str">
        <f>IF(Language&lt;&gt;5,'Basic Values'!$B$9,IF(W85&lt;5,"lata","lat"))</f>
        <v>years</v>
      </c>
      <c r="Y85" s="17">
        <f t="shared" si="9"/>
        <v>0</v>
      </c>
      <c r="Z85" s="70">
        <f>IF(Y85&lt;&gt;0,(PerpetuityBaseValue*IF(PerpetuityGrowing=2,(1+Result!$G$28/100)^Specs!W85,1))/(1+DiscYear/100)^$W85,0)</f>
        <v>0</v>
      </c>
      <c r="AA85" s="17">
        <f t="shared" si="10"/>
        <v>0</v>
      </c>
      <c r="AB85" s="70">
        <f>IF(AA85&lt;&gt;0,(PerpetuityBaseValueEquity*IF(PerpetuityGrowing=2,1+Result!$G$108/100,1))/(1+DiscYearEquity/100)^$W85,0)</f>
        <v>0</v>
      </c>
      <c r="AC85" s="70">
        <f>IF(Y85&lt;&gt;0,(PerpetuityBaseValue*IF(PerpetuityGrowing=2,(1+Result!$G$28/100)^Specs!W85,1))/(1+Calculations!$D$1051)^$W85,0)</f>
        <v>0</v>
      </c>
      <c r="AD85" s="70">
        <f>IF(Y85&lt;&gt;0,(PerpetuityBaseValue*IF(PerpetuityGrowing=2,(1+Result!$G$28/100)^Specs!W85,1))/(1+Calculations!$D$1052)^$W85,0)</f>
        <v>0</v>
      </c>
      <c r="AE85" s="70">
        <f>IF(Y85&lt;&gt;0,(PerpetuityBaseValue*IF(PerpetuityGrowing=2,(1+Result!$G$28/100)^Specs!W85,1))/(1+Calculations!$D$1054)^$W85,0)</f>
        <v>0</v>
      </c>
      <c r="AF85" s="70">
        <f>IF(Y85&lt;&gt;0,(PerpetuityBaseValue*IF(PerpetuityGrowing=2,(1+Result!$G$28/100)^Specs!W85,1))/(1+Calculations!$D$1055)^$W85,0)</f>
        <v>0</v>
      </c>
    </row>
    <row r="86" spans="1:32" ht="12.75" customHeight="1" x14ac:dyDescent="0.35">
      <c r="A86" s="17"/>
      <c r="B86" s="17"/>
      <c r="C86" s="17"/>
      <c r="D86" s="17"/>
      <c r="E86" s="17"/>
      <c r="F86" s="92">
        <v>-1.8423470126248342E-2</v>
      </c>
      <c r="G86" s="1239">
        <f ca="1">G87</f>
        <v>0.45335946086278023</v>
      </c>
      <c r="H86" s="17"/>
      <c r="J86" s="17">
        <v>3</v>
      </c>
      <c r="K86" s="17" t="e">
        <f ca="1">MATCH(Specs!J86,Calculations!$G$17:$N$17,0)</f>
        <v>#N/A</v>
      </c>
      <c r="L86" s="17"/>
      <c r="M86" s="171" t="s">
        <v>4979</v>
      </c>
      <c r="N86" s="170">
        <v>5</v>
      </c>
      <c r="O86" s="179" t="s">
        <v>5095</v>
      </c>
      <c r="P86" s="17"/>
      <c r="Q86" s="17"/>
      <c r="R86" s="17"/>
      <c r="S86" s="17"/>
      <c r="T86" s="17"/>
      <c r="U86" s="17"/>
      <c r="V86" s="129" t="str">
        <f t="shared" si="8"/>
        <v>8 years</v>
      </c>
      <c r="W86" s="17">
        <v>8</v>
      </c>
      <c r="X86" s="17" t="str">
        <f>IF(Language&lt;&gt;5,'Basic Values'!$B$9,IF(W86&lt;5,"lata","lat"))</f>
        <v>years</v>
      </c>
      <c r="Y86" s="17">
        <f t="shared" si="9"/>
        <v>0</v>
      </c>
      <c r="Z86" s="70">
        <f>IF(Y86&lt;&gt;0,(PerpetuityBaseValue*IF(PerpetuityGrowing=2,(1+Result!$G$28/100)^Specs!W86,1))/(1+DiscYear/100)^$W86,0)</f>
        <v>0</v>
      </c>
      <c r="AA86" s="17">
        <f t="shared" si="10"/>
        <v>0</v>
      </c>
      <c r="AB86" s="70">
        <f>IF(AA86&lt;&gt;0,(PerpetuityBaseValueEquity*IF(PerpetuityGrowing=2,1+Result!$G$108/100,1))/(1+DiscYearEquity/100)^$W86,0)</f>
        <v>0</v>
      </c>
      <c r="AC86" s="70">
        <f>IF(Y86&lt;&gt;0,(PerpetuityBaseValue*IF(PerpetuityGrowing=2,(1+Result!$G$28/100)^Specs!W86,1))/(1+Calculations!$D$1051)^$W86,0)</f>
        <v>0</v>
      </c>
      <c r="AD86" s="70">
        <f>IF(Y86&lt;&gt;0,(PerpetuityBaseValue*IF(PerpetuityGrowing=2,(1+Result!$G$28/100)^Specs!W86,1))/(1+Calculations!$D$1052)^$W86,0)</f>
        <v>0</v>
      </c>
      <c r="AE86" s="70">
        <f>IF(Y86&lt;&gt;0,(PerpetuityBaseValue*IF(PerpetuityGrowing=2,(1+Result!$G$28/100)^Specs!W86,1))/(1+Calculations!$D$1054)^$W86,0)</f>
        <v>0</v>
      </c>
      <c r="AF86" s="70">
        <f>IF(Y86&lt;&gt;0,(PerpetuityBaseValue*IF(PerpetuityGrowing=2,(1+Result!$G$28/100)^Specs!W86,1))/(1+Calculations!$D$1055)^$W86,0)</f>
        <v>0</v>
      </c>
    </row>
    <row r="87" spans="1:32" ht="12.75" customHeight="1" x14ac:dyDescent="0.35">
      <c r="A87" s="17"/>
      <c r="B87" s="17"/>
      <c r="C87" s="17"/>
      <c r="D87" s="17"/>
      <c r="E87" s="17"/>
      <c r="F87" s="92">
        <v>-8.7416109546967213E-3</v>
      </c>
      <c r="G87" s="93">
        <f t="shared" ca="1" si="7"/>
        <v>0.45335946086278023</v>
      </c>
      <c r="H87" s="17"/>
      <c r="J87" s="17">
        <v>2</v>
      </c>
      <c r="K87" s="17" t="e">
        <f ca="1">MATCH(Specs!J87,Calculations!$G$17:$N$17,0)</f>
        <v>#N/A</v>
      </c>
      <c r="L87" s="17"/>
      <c r="M87" s="172" t="s">
        <v>4980</v>
      </c>
      <c r="N87" s="170">
        <v>6</v>
      </c>
      <c r="O87" s="179" t="s">
        <v>5096</v>
      </c>
      <c r="P87" s="17"/>
      <c r="Q87" s="17"/>
      <c r="R87" s="17"/>
      <c r="S87" s="17"/>
      <c r="T87" s="17"/>
      <c r="U87" s="17"/>
      <c r="V87" s="129" t="str">
        <f t="shared" si="8"/>
        <v>9 years</v>
      </c>
      <c r="W87" s="17">
        <v>9</v>
      </c>
      <c r="X87" s="17" t="str">
        <f>IF(Language&lt;&gt;5,'Basic Values'!$B$9,IF(W87&lt;5,"lata","lat"))</f>
        <v>years</v>
      </c>
      <c r="Y87" s="17">
        <f t="shared" si="9"/>
        <v>0</v>
      </c>
      <c r="Z87" s="70">
        <f>IF(Y87&lt;&gt;0,(PerpetuityBaseValue*IF(PerpetuityGrowing=2,(1+Result!$G$28/100)^Specs!W87,1))/(1+DiscYear/100)^$W87,0)</f>
        <v>0</v>
      </c>
      <c r="AA87" s="17">
        <f t="shared" si="10"/>
        <v>0</v>
      </c>
      <c r="AB87" s="70">
        <f>IF(AA87&lt;&gt;0,(PerpetuityBaseValueEquity*IF(PerpetuityGrowing=2,1+Result!$G$108/100,1))/(1+DiscYearEquity/100)^$W87,0)</f>
        <v>0</v>
      </c>
      <c r="AC87" s="70">
        <f>IF(Y87&lt;&gt;0,(PerpetuityBaseValue*IF(PerpetuityGrowing=2,(1+Result!$G$28/100)^Specs!W87,1))/(1+Calculations!$D$1051)^$W87,0)</f>
        <v>0</v>
      </c>
      <c r="AD87" s="70">
        <f>IF(Y87&lt;&gt;0,(PerpetuityBaseValue*IF(PerpetuityGrowing=2,(1+Result!$G$28/100)^Specs!W87,1))/(1+Calculations!$D$1052)^$W87,0)</f>
        <v>0</v>
      </c>
      <c r="AE87" s="70">
        <f>IF(Y87&lt;&gt;0,(PerpetuityBaseValue*IF(PerpetuityGrowing=2,(1+Result!$G$28/100)^Specs!W87,1))/(1+Calculations!$D$1054)^$W87,0)</f>
        <v>0</v>
      </c>
      <c r="AF87" s="70">
        <f>IF(Y87&lt;&gt;0,(PerpetuityBaseValue*IF(PerpetuityGrowing=2,(1+Result!$G$28/100)^Specs!W87,1))/(1+Calculations!$D$1055)^$W87,0)</f>
        <v>0</v>
      </c>
    </row>
    <row r="88" spans="1:32" ht="12.75" customHeight="1" x14ac:dyDescent="0.35">
      <c r="A88" s="17"/>
      <c r="B88" s="17"/>
      <c r="C88" s="17"/>
      <c r="D88" s="17"/>
      <c r="E88" s="17"/>
      <c r="F88" s="92">
        <v>-4.2653187775606449E-3</v>
      </c>
      <c r="G88" s="93">
        <f t="shared" ca="1" si="7"/>
        <v>0.45335946086278023</v>
      </c>
      <c r="H88" s="17"/>
      <c r="J88" s="17">
        <v>1</v>
      </c>
      <c r="K88" s="17" t="e">
        <f ca="1">MATCH(Specs!J88,Calculations!$G$17:$N$17,0)</f>
        <v>#N/A</v>
      </c>
      <c r="L88" s="17"/>
      <c r="M88" s="169" t="s">
        <v>4981</v>
      </c>
      <c r="N88" s="170">
        <v>1</v>
      </c>
      <c r="O88" s="179" t="s">
        <v>5097</v>
      </c>
      <c r="P88" s="17"/>
      <c r="Q88" s="17"/>
      <c r="R88" s="17"/>
      <c r="S88" s="17"/>
      <c r="T88" s="17"/>
      <c r="U88" s="17"/>
      <c r="V88" s="129" t="str">
        <f t="shared" si="8"/>
        <v>10 years</v>
      </c>
      <c r="W88" s="17">
        <v>10</v>
      </c>
      <c r="X88" s="17" t="str">
        <f>IF(Language&lt;&gt;5,'Basic Values'!$B$9,IF(W88&lt;5,"lata","lat"))</f>
        <v>years</v>
      </c>
      <c r="Y88" s="17">
        <f t="shared" si="9"/>
        <v>0</v>
      </c>
      <c r="Z88" s="70">
        <f>IF(Y88&lt;&gt;0,(PerpetuityBaseValue*IF(PerpetuityGrowing=2,(1+Result!$G$28/100)^Specs!W88,1))/(1+DiscYear/100)^$W88,0)</f>
        <v>0</v>
      </c>
      <c r="AA88" s="17">
        <f t="shared" si="10"/>
        <v>0</v>
      </c>
      <c r="AB88" s="70">
        <f>IF(AA88&lt;&gt;0,(PerpetuityBaseValueEquity*IF(PerpetuityGrowing=2,1+Result!$G$108/100,1))/(1+DiscYearEquity/100)^$W88,0)</f>
        <v>0</v>
      </c>
      <c r="AC88" s="70">
        <f>IF(Y88&lt;&gt;0,(PerpetuityBaseValue*IF(PerpetuityGrowing=2,(1+Result!$G$28/100)^Specs!W88,1))/(1+Calculations!$D$1051)^$W88,0)</f>
        <v>0</v>
      </c>
      <c r="AD88" s="70">
        <f>IF(Y88&lt;&gt;0,(PerpetuityBaseValue*IF(PerpetuityGrowing=2,(1+Result!$G$28/100)^Specs!W88,1))/(1+Calculations!$D$1052)^$W88,0)</f>
        <v>0</v>
      </c>
      <c r="AE88" s="70">
        <f>IF(Y88&lt;&gt;0,(PerpetuityBaseValue*IF(PerpetuityGrowing=2,(1+Result!$G$28/100)^Specs!W88,1))/(1+Calculations!$D$1054)^$W88,0)</f>
        <v>0</v>
      </c>
      <c r="AF88" s="70">
        <f>IF(Y88&lt;&gt;0,(PerpetuityBaseValue*IF(PerpetuityGrowing=2,(1+Result!$G$28/100)^Specs!W88,1))/(1+Calculations!$D$1055)^$W88,0)</f>
        <v>0</v>
      </c>
    </row>
    <row r="89" spans="1:32" ht="12.75" customHeight="1" x14ac:dyDescent="0.35">
      <c r="A89" s="17"/>
      <c r="B89" s="17"/>
      <c r="C89" s="17"/>
      <c r="D89" s="17"/>
      <c r="E89" s="17"/>
      <c r="F89" s="92">
        <v>1</v>
      </c>
      <c r="G89" s="93">
        <f t="shared" ca="1" si="7"/>
        <v>0.45335946086278023</v>
      </c>
      <c r="H89" s="17"/>
      <c r="J89" s="17"/>
      <c r="K89" s="17">
        <f ca="1">COUNT($K$83:$K$88)</f>
        <v>2</v>
      </c>
      <c r="L89" s="17"/>
      <c r="M89" s="171" t="s">
        <v>4982</v>
      </c>
      <c r="N89" s="170">
        <v>2</v>
      </c>
      <c r="O89" s="179" t="s">
        <v>5098</v>
      </c>
      <c r="P89" s="17"/>
      <c r="Q89" s="17"/>
      <c r="R89" s="17"/>
      <c r="S89" s="17"/>
      <c r="T89" s="17"/>
      <c r="U89" s="17"/>
      <c r="V89" s="129" t="str">
        <f t="shared" si="8"/>
        <v>11 years</v>
      </c>
      <c r="W89" s="17">
        <v>11</v>
      </c>
      <c r="X89" s="17" t="str">
        <f>IF(Language&lt;&gt;5,'Basic Values'!$B$9,IF(W89&lt;5,"lata","lat"))</f>
        <v>years</v>
      </c>
      <c r="Y89" s="17">
        <f t="shared" si="9"/>
        <v>0</v>
      </c>
      <c r="Z89" s="70">
        <f>IF(Y89&lt;&gt;0,(PerpetuityBaseValue*IF(PerpetuityGrowing=2,(1+Result!$G$28/100)^Specs!W89,1))/(1+DiscYear/100)^$W89,0)</f>
        <v>0</v>
      </c>
      <c r="AA89" s="17">
        <f t="shared" si="10"/>
        <v>0</v>
      </c>
      <c r="AB89" s="70">
        <f>IF(AA89&lt;&gt;0,(PerpetuityBaseValueEquity*IF(PerpetuityGrowing=2,1+Result!$G$108/100,1))/(1+DiscYearEquity/100)^$W89,0)</f>
        <v>0</v>
      </c>
      <c r="AC89" s="70">
        <f>IF(Y89&lt;&gt;0,(PerpetuityBaseValue*IF(PerpetuityGrowing=2,(1+Result!$G$28/100)^Specs!W89,1))/(1+Calculations!$D$1051)^$W89,0)</f>
        <v>0</v>
      </c>
      <c r="AD89" s="70">
        <f>IF(Y89&lt;&gt;0,(PerpetuityBaseValue*IF(PerpetuityGrowing=2,(1+Result!$G$28/100)^Specs!W89,1))/(1+Calculations!$D$1052)^$W89,0)</f>
        <v>0</v>
      </c>
      <c r="AE89" s="70">
        <f>IF(Y89&lt;&gt;0,(PerpetuityBaseValue*IF(PerpetuityGrowing=2,(1+Result!$G$28/100)^Specs!W89,1))/(1+Calculations!$D$1054)^$W89,0)</f>
        <v>0</v>
      </c>
      <c r="AF89" s="70">
        <f>IF(Y89&lt;&gt;0,(PerpetuityBaseValue*IF(PerpetuityGrowing=2,(1+Result!$G$28/100)^Specs!W89,1))/(1+Calculations!$D$1055)^$W89,0)</f>
        <v>0</v>
      </c>
    </row>
    <row r="90" spans="1:32" ht="12.75" customHeight="1" x14ac:dyDescent="0.35">
      <c r="A90" s="17"/>
      <c r="B90" s="17"/>
      <c r="C90" s="17"/>
      <c r="D90" s="17"/>
      <c r="E90" s="17"/>
      <c r="F90" s="92">
        <v>9.5872691135244326E-2</v>
      </c>
      <c r="G90" s="93">
        <f t="shared" ca="1" si="7"/>
        <v>0.45335946086278023</v>
      </c>
      <c r="H90" s="17"/>
      <c r="I90" s="17"/>
      <c r="J90" s="17"/>
      <c r="K90" s="17">
        <f ca="1">IF(K89=1,OFFSET(Calculations!$G$17,0,1),0)</f>
        <v>0</v>
      </c>
      <c r="L90" s="17"/>
      <c r="M90" s="171" t="s">
        <v>4983</v>
      </c>
      <c r="N90" s="170">
        <v>3</v>
      </c>
      <c r="O90" s="178" t="s">
        <v>5099</v>
      </c>
      <c r="P90" s="17"/>
      <c r="Q90" s="17"/>
      <c r="R90" s="17"/>
      <c r="S90" s="17"/>
      <c r="T90" s="17"/>
      <c r="U90" s="17"/>
      <c r="V90" s="129" t="str">
        <f t="shared" si="8"/>
        <v>12 years</v>
      </c>
      <c r="W90" s="17">
        <v>12</v>
      </c>
      <c r="X90" s="17" t="str">
        <f>IF(Language&lt;&gt;5,'Basic Values'!$B$9,IF(W90&lt;5,"lata","lat"))</f>
        <v>years</v>
      </c>
      <c r="Y90" s="17">
        <f t="shared" si="9"/>
        <v>0</v>
      </c>
      <c r="Z90" s="70">
        <f>IF(Y90&lt;&gt;0,(PerpetuityBaseValue*IF(PerpetuityGrowing=2,(1+Result!$G$28/100)^Specs!W90,1))/(1+DiscYear/100)^$W90,0)</f>
        <v>0</v>
      </c>
      <c r="AA90" s="17">
        <f t="shared" si="10"/>
        <v>0</v>
      </c>
      <c r="AB90" s="70">
        <f>IF(AA90&lt;&gt;0,(PerpetuityBaseValueEquity*IF(PerpetuityGrowing=2,1+Result!$G$108/100,1))/(1+DiscYearEquity/100)^$W90,0)</f>
        <v>0</v>
      </c>
      <c r="AC90" s="70">
        <f>IF(Y90&lt;&gt;0,(PerpetuityBaseValue*IF(PerpetuityGrowing=2,(1+Result!$G$28/100)^Specs!W90,1))/(1+Calculations!$D$1051)^$W90,0)</f>
        <v>0</v>
      </c>
      <c r="AD90" s="70">
        <f>IF(Y90&lt;&gt;0,(PerpetuityBaseValue*IF(PerpetuityGrowing=2,(1+Result!$G$28/100)^Specs!W90,1))/(1+Calculations!$D$1052)^$W90,0)</f>
        <v>0</v>
      </c>
      <c r="AE90" s="70">
        <f>IF(Y90&lt;&gt;0,(PerpetuityBaseValue*IF(PerpetuityGrowing=2,(1+Result!$G$28/100)^Specs!W90,1))/(1+Calculations!$D$1054)^$W90,0)</f>
        <v>0</v>
      </c>
      <c r="AF90" s="70">
        <f>IF(Y90&lt;&gt;0,(PerpetuityBaseValue*IF(PerpetuityGrowing=2,(1+Result!$G$28/100)^Specs!W90,1))/(1+Calculations!$D$1055)^$W90,0)</f>
        <v>0</v>
      </c>
    </row>
    <row r="91" spans="1:32" ht="12.75" customHeight="1" x14ac:dyDescent="0.35">
      <c r="A91" s="17"/>
      <c r="B91" s="17"/>
      <c r="C91" s="17"/>
      <c r="D91" s="17"/>
      <c r="E91" s="17"/>
      <c r="F91" s="92">
        <v>5.946309435929531E-2</v>
      </c>
      <c r="G91" s="1239">
        <f ca="1">G92</f>
        <v>0.45335946086278023</v>
      </c>
      <c r="H91" s="17"/>
      <c r="I91" s="17"/>
      <c r="J91" s="17"/>
      <c r="K91" s="17" t="e">
        <f ca="1">IF(K90&lt;&gt;0,(1+IRR(Calculations!$G$1213:$N$1213))^(12/K90)-1,NA())</f>
        <v>#N/A</v>
      </c>
      <c r="L91" s="17"/>
      <c r="M91" s="171" t="s">
        <v>4984</v>
      </c>
      <c r="N91" s="170">
        <v>4</v>
      </c>
      <c r="O91" s="17"/>
      <c r="P91" s="17"/>
      <c r="Q91" s="17"/>
      <c r="R91" s="17"/>
      <c r="S91" s="17"/>
      <c r="T91" s="17"/>
      <c r="U91" s="17"/>
      <c r="V91" s="129" t="str">
        <f t="shared" si="8"/>
        <v>13 years</v>
      </c>
      <c r="W91" s="17">
        <v>13</v>
      </c>
      <c r="X91" s="17" t="str">
        <f>IF(Language&lt;&gt;5,'Basic Values'!$B$9,IF(W91&lt;5,"lata","lat"))</f>
        <v>years</v>
      </c>
      <c r="Y91" s="17">
        <f t="shared" si="9"/>
        <v>0</v>
      </c>
      <c r="Z91" s="70">
        <f>IF(Y91&lt;&gt;0,(PerpetuityBaseValue*IF(PerpetuityGrowing=2,(1+Result!$G$28/100)^Specs!W91,1))/(1+DiscYear/100)^$W91,0)</f>
        <v>0</v>
      </c>
      <c r="AA91" s="17">
        <f t="shared" si="10"/>
        <v>0</v>
      </c>
      <c r="AB91" s="70">
        <f>IF(AA91&lt;&gt;0,(PerpetuityBaseValueEquity*IF(PerpetuityGrowing=2,1+Result!$G$108/100,1))/(1+DiscYearEquity/100)^$W91,0)</f>
        <v>0</v>
      </c>
      <c r="AC91" s="70">
        <f>IF(Y91&lt;&gt;0,(PerpetuityBaseValue*IF(PerpetuityGrowing=2,(1+Result!$G$28/100)^Specs!W91,1))/(1+Calculations!$D$1051)^$W91,0)</f>
        <v>0</v>
      </c>
      <c r="AD91" s="70">
        <f>IF(Y91&lt;&gt;0,(PerpetuityBaseValue*IF(PerpetuityGrowing=2,(1+Result!$G$28/100)^Specs!W91,1))/(1+Calculations!$D$1052)^$W91,0)</f>
        <v>0</v>
      </c>
      <c r="AE91" s="70">
        <f>IF(Y91&lt;&gt;0,(PerpetuityBaseValue*IF(PerpetuityGrowing=2,(1+Result!$G$28/100)^Specs!W91,1))/(1+Calculations!$D$1054)^$W91,0)</f>
        <v>0</v>
      </c>
      <c r="AF91" s="70">
        <f>IF(Y91&lt;&gt;0,(PerpetuityBaseValue*IF(PerpetuityGrowing=2,(1+Result!$G$28/100)^Specs!W91,1))/(1+Calculations!$D$1055)^$W91,0)</f>
        <v>0</v>
      </c>
    </row>
    <row r="92" spans="1:32" ht="12.75" customHeight="1" x14ac:dyDescent="0.35">
      <c r="A92" s="17"/>
      <c r="B92" s="17"/>
      <c r="C92" s="17"/>
      <c r="D92" s="17"/>
      <c r="E92" s="17"/>
      <c r="F92" s="92">
        <v>4.521125295294337E-2</v>
      </c>
      <c r="G92" s="93">
        <f t="shared" ca="1" si="7"/>
        <v>0.45335946086278023</v>
      </c>
      <c r="H92" s="17"/>
      <c r="I92"/>
      <c r="J92" s="17"/>
      <c r="K92" s="17"/>
      <c r="L92" s="17"/>
      <c r="M92" s="171" t="s">
        <v>4985</v>
      </c>
      <c r="N92" s="170">
        <v>5</v>
      </c>
      <c r="O92" s="167" t="s">
        <v>5100</v>
      </c>
      <c r="P92" s="17"/>
      <c r="Q92" s="17"/>
      <c r="R92" s="17"/>
      <c r="S92" s="17"/>
      <c r="T92" s="17"/>
      <c r="U92" s="17"/>
      <c r="V92" s="129" t="str">
        <f t="shared" si="8"/>
        <v>14 years</v>
      </c>
      <c r="W92" s="17">
        <v>14</v>
      </c>
      <c r="X92" s="17" t="str">
        <f>IF(Language&lt;&gt;5,'Basic Values'!$B$9,IF(W92&lt;5,"lata","lat"))</f>
        <v>years</v>
      </c>
      <c r="Y92" s="17">
        <f t="shared" si="9"/>
        <v>0</v>
      </c>
      <c r="Z92" s="70">
        <f>IF(Y92&lt;&gt;0,(PerpetuityBaseValue*IF(PerpetuityGrowing=2,(1+Result!$G$28/100)^Specs!W92,1))/(1+DiscYear/100)^$W92,0)</f>
        <v>0</v>
      </c>
      <c r="AA92" s="17">
        <f t="shared" si="10"/>
        <v>0</v>
      </c>
      <c r="AB92" s="70">
        <f>IF(AA92&lt;&gt;0,(PerpetuityBaseValueEquity*IF(PerpetuityGrowing=2,1+Result!$G$108/100,1))/(1+DiscYearEquity/100)^$W92,0)</f>
        <v>0</v>
      </c>
      <c r="AC92" s="70">
        <f>IF(Y92&lt;&gt;0,(PerpetuityBaseValue*IF(PerpetuityGrowing=2,(1+Result!$G$28/100)^Specs!W92,1))/(1+Calculations!$D$1051)^$W92,0)</f>
        <v>0</v>
      </c>
      <c r="AD92" s="70">
        <f>IF(Y92&lt;&gt;0,(PerpetuityBaseValue*IF(PerpetuityGrowing=2,(1+Result!$G$28/100)^Specs!W92,1))/(1+Calculations!$D$1052)^$W92,0)</f>
        <v>0</v>
      </c>
      <c r="AE92" s="70">
        <f>IF(Y92&lt;&gt;0,(PerpetuityBaseValue*IF(PerpetuityGrowing=2,(1+Result!$G$28/100)^Specs!W92,1))/(1+Calculations!$D$1054)^$W92,0)</f>
        <v>0</v>
      </c>
      <c r="AF92" s="70">
        <f>IF(Y92&lt;&gt;0,(PerpetuityBaseValue*IF(PerpetuityGrowing=2,(1+Result!$G$28/100)^Specs!W92,1))/(1+Calculations!$D$1055)^$W92,0)</f>
        <v>0</v>
      </c>
    </row>
    <row r="93" spans="1:32" ht="12.75" customHeight="1" x14ac:dyDescent="0.35">
      <c r="A93" s="17"/>
      <c r="B93" s="17"/>
      <c r="C93" s="17"/>
      <c r="D93" s="17"/>
      <c r="E93" s="17"/>
      <c r="F93" s="92">
        <v>2.8436155726361267E-2</v>
      </c>
      <c r="G93" s="1239">
        <f ca="1">G94</f>
        <v>0.45335946086278023</v>
      </c>
      <c r="H93" s="17"/>
      <c r="I93"/>
      <c r="J93" s="17"/>
      <c r="K93" s="17"/>
      <c r="L93" s="17"/>
      <c r="M93" s="172" t="s">
        <v>4986</v>
      </c>
      <c r="N93" s="170">
        <v>6</v>
      </c>
      <c r="O93" s="186" t="s">
        <v>5086</v>
      </c>
      <c r="P93" s="17"/>
      <c r="Q93" s="17"/>
      <c r="R93" s="17"/>
      <c r="S93" s="17"/>
      <c r="T93" s="17"/>
      <c r="U93" s="17"/>
      <c r="V93" s="129" t="str">
        <f t="shared" si="8"/>
        <v>15 years</v>
      </c>
      <c r="W93" s="17">
        <v>15</v>
      </c>
      <c r="X93" s="17" t="str">
        <f>IF(Language&lt;&gt;5,'Basic Values'!$B$9,IF(W93&lt;5,"lata","lat"))</f>
        <v>years</v>
      </c>
      <c r="Y93" s="17">
        <f t="shared" si="9"/>
        <v>0</v>
      </c>
      <c r="Z93" s="70">
        <f>IF(Y93&lt;&gt;0,(PerpetuityBaseValue*IF(PerpetuityGrowing=2,(1+Result!$G$28/100)^Specs!W93,1))/(1+DiscYear/100)^$W93,0)</f>
        <v>0</v>
      </c>
      <c r="AA93" s="17">
        <f t="shared" si="10"/>
        <v>0</v>
      </c>
      <c r="AB93" s="70">
        <f>IF(AA93&lt;&gt;0,(PerpetuityBaseValueEquity*IF(PerpetuityGrowing=2,1+Result!$G$108/100,1))/(1+DiscYearEquity/100)^$W93,0)</f>
        <v>0</v>
      </c>
      <c r="AC93" s="70">
        <f>IF(Y93&lt;&gt;0,(PerpetuityBaseValue*IF(PerpetuityGrowing=2,(1+Result!$G$28/100)^Specs!W93,1))/(1+Calculations!$D$1051)^$W93,0)</f>
        <v>0</v>
      </c>
      <c r="AD93" s="70">
        <f>IF(Y93&lt;&gt;0,(PerpetuityBaseValue*IF(PerpetuityGrowing=2,(1+Result!$G$28/100)^Specs!W93,1))/(1+Calculations!$D$1052)^$W93,0)</f>
        <v>0</v>
      </c>
      <c r="AE93" s="70">
        <f>IF(Y93&lt;&gt;0,(PerpetuityBaseValue*IF(PerpetuityGrowing=2,(1+Result!$G$28/100)^Specs!W93,1))/(1+Calculations!$D$1054)^$W93,0)</f>
        <v>0</v>
      </c>
      <c r="AF93" s="70">
        <f>IF(Y93&lt;&gt;0,(PerpetuityBaseValue*IF(PerpetuityGrowing=2,(1+Result!$G$28/100)^Specs!W93,1))/(1+Calculations!$D$1055)^$W93,0)</f>
        <v>0</v>
      </c>
    </row>
    <row r="94" spans="1:32" ht="12.75" customHeight="1" x14ac:dyDescent="0.35">
      <c r="A94" s="17"/>
      <c r="B94" s="17"/>
      <c r="C94" s="17"/>
      <c r="D94" s="17"/>
      <c r="E94" s="17"/>
      <c r="F94" s="92">
        <v>1.5309470499731193E-2</v>
      </c>
      <c r="G94" s="93">
        <f t="shared" ca="1" si="7"/>
        <v>0.45335946086278023</v>
      </c>
      <c r="H94" s="17"/>
      <c r="I94"/>
      <c r="J94" s="17"/>
      <c r="K94" s="17"/>
      <c r="L94" s="17"/>
      <c r="M94" s="169" t="s">
        <v>4987</v>
      </c>
      <c r="N94" s="170">
        <v>1</v>
      </c>
      <c r="O94" s="179" t="s">
        <v>5090</v>
      </c>
      <c r="P94" s="17"/>
      <c r="Q94" s="17"/>
      <c r="R94" s="17"/>
      <c r="S94" s="17"/>
      <c r="T94" s="17"/>
      <c r="U94" s="17"/>
      <c r="V94" s="129" t="str">
        <f t="shared" si="8"/>
        <v>16 years</v>
      </c>
      <c r="W94" s="17">
        <v>16</v>
      </c>
      <c r="X94" s="17" t="str">
        <f>IF(Language&lt;&gt;5,'Basic Values'!$B$9,IF(W94&lt;5,"lata","lat"))</f>
        <v>years</v>
      </c>
      <c r="Y94" s="17">
        <f t="shared" si="9"/>
        <v>0</v>
      </c>
      <c r="Z94" s="70">
        <f>IF(Y94&lt;&gt;0,(PerpetuityBaseValue*IF(PerpetuityGrowing=2,(1+Result!$G$28/100)^Specs!W94,1))/(1+DiscYear/100)^$W94,0)</f>
        <v>0</v>
      </c>
      <c r="AA94" s="17">
        <f t="shared" si="10"/>
        <v>0</v>
      </c>
      <c r="AB94" s="70">
        <f>IF(AA94&lt;&gt;0,(PerpetuityBaseValueEquity*IF(PerpetuityGrowing=2,1+Result!$G$108/100,1))/(1+DiscYearEquity/100)^$W94,0)</f>
        <v>0</v>
      </c>
      <c r="AC94" s="70">
        <f>IF(Y94&lt;&gt;0,(PerpetuityBaseValue*IF(PerpetuityGrowing=2,(1+Result!$G$28/100)^Specs!W94,1))/(1+Calculations!$D$1051)^$W94,0)</f>
        <v>0</v>
      </c>
      <c r="AD94" s="70">
        <f>IF(Y94&lt;&gt;0,(PerpetuityBaseValue*IF(PerpetuityGrowing=2,(1+Result!$G$28/100)^Specs!W94,1))/(1+Calculations!$D$1052)^$W94,0)</f>
        <v>0</v>
      </c>
      <c r="AE94" s="70">
        <f>IF(Y94&lt;&gt;0,(PerpetuityBaseValue*IF(PerpetuityGrowing=2,(1+Result!$G$28/100)^Specs!W94,1))/(1+Calculations!$D$1054)^$W94,0)</f>
        <v>0</v>
      </c>
      <c r="AF94" s="70">
        <f>IF(Y94&lt;&gt;0,(PerpetuityBaseValue*IF(PerpetuityGrowing=2,(1+Result!$G$28/100)^Specs!W94,1))/(1+Calculations!$D$1055)^$W94,0)</f>
        <v>0</v>
      </c>
    </row>
    <row r="95" spans="1:32" ht="12.75" customHeight="1" x14ac:dyDescent="0.35">
      <c r="A95" s="17"/>
      <c r="B95" s="17"/>
      <c r="C95" s="17"/>
      <c r="D95" s="17"/>
      <c r="E95" s="17"/>
      <c r="F95" s="92">
        <v>7.9741404289037643E-3</v>
      </c>
      <c r="G95" s="1239">
        <f ca="1">G96</f>
        <v>0.45335946086278023</v>
      </c>
      <c r="H95" s="17"/>
      <c r="I95"/>
      <c r="J95" s="17"/>
      <c r="K95" s="17"/>
      <c r="L95" s="17"/>
      <c r="M95" s="171" t="s">
        <v>4988</v>
      </c>
      <c r="N95" s="170">
        <v>2</v>
      </c>
      <c r="O95" s="179" t="s">
        <v>5091</v>
      </c>
      <c r="P95" s="17"/>
      <c r="Q95" s="17"/>
      <c r="R95" s="17"/>
      <c r="S95" s="17"/>
      <c r="T95" s="17"/>
      <c r="U95" s="17"/>
      <c r="V95" s="129" t="str">
        <f t="shared" si="8"/>
        <v>17 years</v>
      </c>
      <c r="W95" s="17">
        <v>17</v>
      </c>
      <c r="X95" s="17" t="str">
        <f>IF(Language&lt;&gt;5,'Basic Values'!$B$9,IF(W95&lt;5,"lata","lat"))</f>
        <v>years</v>
      </c>
      <c r="Y95" s="17">
        <f t="shared" si="9"/>
        <v>0</v>
      </c>
      <c r="Z95" s="70">
        <f>IF(Y95&lt;&gt;0,(PerpetuityBaseValue*IF(PerpetuityGrowing=2,(1+Result!$G$28/100)^Specs!W95,1))/(1+DiscYear/100)^$W95,0)</f>
        <v>0</v>
      </c>
      <c r="AA95" s="17">
        <f t="shared" si="10"/>
        <v>0</v>
      </c>
      <c r="AB95" s="70">
        <f>IF(AA95&lt;&gt;0,(PerpetuityBaseValueEquity*IF(PerpetuityGrowing=2,1+Result!$G$108/100,1))/(1+DiscYearEquity/100)^$W95,0)</f>
        <v>0</v>
      </c>
      <c r="AC95" s="70">
        <f>IF(Y95&lt;&gt;0,(PerpetuityBaseValue*IF(PerpetuityGrowing=2,(1+Result!$G$28/100)^Specs!W95,1))/(1+Calculations!$D$1051)^$W95,0)</f>
        <v>0</v>
      </c>
      <c r="AD95" s="70">
        <f>IF(Y95&lt;&gt;0,(PerpetuityBaseValue*IF(PerpetuityGrowing=2,(1+Result!$G$28/100)^Specs!W95,1))/(1+Calculations!$D$1052)^$W95,0)</f>
        <v>0</v>
      </c>
      <c r="AE95" s="70">
        <f>IF(Y95&lt;&gt;0,(PerpetuityBaseValue*IF(PerpetuityGrowing=2,(1+Result!$G$28/100)^Specs!W95,1))/(1+Calculations!$D$1054)^$W95,0)</f>
        <v>0</v>
      </c>
      <c r="AF95" s="70">
        <f>IF(Y95&lt;&gt;0,(PerpetuityBaseValue*IF(PerpetuityGrowing=2,(1+Result!$G$28/100)^Specs!W95,1))/(1+Calculations!$D$1055)^$W95,0)</f>
        <v>0</v>
      </c>
    </row>
    <row r="96" spans="1:32" ht="12.75" customHeight="1" x14ac:dyDescent="0.35">
      <c r="A96" s="17"/>
      <c r="B96" s="17"/>
      <c r="C96" s="17"/>
      <c r="D96" s="17"/>
      <c r="E96" s="17"/>
      <c r="F96" s="92">
        <v>4.0741237836483535E-3</v>
      </c>
      <c r="G96" s="93">
        <f t="shared" ca="1" si="7"/>
        <v>0.45335946086278023</v>
      </c>
      <c r="H96" s="17"/>
      <c r="I96"/>
      <c r="J96" s="17"/>
      <c r="K96" s="17"/>
      <c r="L96" s="17"/>
      <c r="M96" s="171" t="s">
        <v>4989</v>
      </c>
      <c r="N96" s="170">
        <v>3</v>
      </c>
      <c r="O96" s="179" t="s">
        <v>5092</v>
      </c>
      <c r="P96" s="17"/>
      <c r="Q96" s="17"/>
      <c r="R96" s="17"/>
      <c r="S96" s="17"/>
      <c r="T96" s="17"/>
      <c r="U96" s="17"/>
      <c r="V96" s="129" t="str">
        <f t="shared" si="8"/>
        <v>18 years</v>
      </c>
      <c r="W96" s="17">
        <v>18</v>
      </c>
      <c r="X96" s="17" t="str">
        <f>IF(Language&lt;&gt;5,'Basic Values'!$B$9,IF(W96&lt;5,"lata","lat"))</f>
        <v>years</v>
      </c>
      <c r="Y96" s="17">
        <f t="shared" si="9"/>
        <v>0</v>
      </c>
      <c r="Z96" s="70">
        <f>IF(Y96&lt;&gt;0,(PerpetuityBaseValue*IF(PerpetuityGrowing=2,(1+Result!$G$28/100)^Specs!W96,1))/(1+DiscYear/100)^$W96,0)</f>
        <v>0</v>
      </c>
      <c r="AA96" s="17">
        <f t="shared" si="10"/>
        <v>0</v>
      </c>
      <c r="AB96" s="70">
        <f>IF(AA96&lt;&gt;0,(PerpetuityBaseValueEquity*IF(PerpetuityGrowing=2,1+Result!$G$108/100,1))/(1+DiscYearEquity/100)^$W96,0)</f>
        <v>0</v>
      </c>
      <c r="AC96" s="70">
        <f>IF(Y96&lt;&gt;0,(PerpetuityBaseValue*IF(PerpetuityGrowing=2,(1+Result!$G$28/100)^Specs!W96,1))/(1+Calculations!$D$1051)^$W96,0)</f>
        <v>0</v>
      </c>
      <c r="AD96" s="70">
        <f>IF(Y96&lt;&gt;0,(PerpetuityBaseValue*IF(PerpetuityGrowing=2,(1+Result!$G$28/100)^Specs!W96,1))/(1+Calculations!$D$1052)^$W96,0)</f>
        <v>0</v>
      </c>
      <c r="AE96" s="70">
        <f>IF(Y96&lt;&gt;0,(PerpetuityBaseValue*IF(PerpetuityGrowing=2,(1+Result!$G$28/100)^Specs!W96,1))/(1+Calculations!$D$1054)^$W96,0)</f>
        <v>0</v>
      </c>
      <c r="AF96" s="70">
        <f>IF(Y96&lt;&gt;0,(PerpetuityBaseValue*IF(PerpetuityGrowing=2,(1+Result!$G$28/100)^Specs!W96,1))/(1+Calculations!$D$1055)^$W96,0)</f>
        <v>0</v>
      </c>
    </row>
    <row r="97" spans="1:32" ht="12.75" customHeight="1" x14ac:dyDescent="0.35">
      <c r="A97" s="17"/>
      <c r="B97" s="17"/>
      <c r="C97" s="17"/>
      <c r="D97" s="17"/>
      <c r="E97" s="17"/>
      <c r="F97" s="94">
        <v>2.0598362698427408E-3</v>
      </c>
      <c r="G97" s="95">
        <f t="shared" ca="1" si="7"/>
        <v>0.45335946086278023</v>
      </c>
      <c r="H97" s="17"/>
      <c r="I97"/>
      <c r="J97" s="17"/>
      <c r="K97" s="17"/>
      <c r="L97" s="17"/>
      <c r="M97" s="171" t="s">
        <v>4990</v>
      </c>
      <c r="N97" s="170">
        <v>4</v>
      </c>
      <c r="O97" s="178" t="s">
        <v>5093</v>
      </c>
      <c r="P97" s="17"/>
      <c r="Q97" s="17"/>
      <c r="R97" s="17"/>
      <c r="S97" s="17"/>
      <c r="T97" s="17"/>
      <c r="U97" s="17"/>
      <c r="V97" s="129" t="str">
        <f t="shared" si="8"/>
        <v>19 years</v>
      </c>
      <c r="W97" s="17">
        <v>19</v>
      </c>
      <c r="X97" s="17" t="str">
        <f>IF(Language&lt;&gt;5,'Basic Values'!$B$9,IF(W97&lt;5,"lata","lat"))</f>
        <v>years</v>
      </c>
      <c r="Y97" s="17">
        <f t="shared" si="9"/>
        <v>0</v>
      </c>
      <c r="Z97" s="70">
        <f>IF(Y97&lt;&gt;0,(PerpetuityBaseValue*IF(PerpetuityGrowing=2,(1+Result!$G$28/100)^Specs!W97,1))/(1+DiscYear/100)^$W97,0)</f>
        <v>0</v>
      </c>
      <c r="AA97" s="17">
        <f t="shared" si="10"/>
        <v>0</v>
      </c>
      <c r="AB97" s="70">
        <f>IF(AA97&lt;&gt;0,(PerpetuityBaseValueEquity*IF(PerpetuityGrowing=2,1+Result!$G$108/100,1))/(1+DiscYearEquity/100)^$W97,0)</f>
        <v>0</v>
      </c>
      <c r="AC97" s="70">
        <f>IF(Y97&lt;&gt;0,(PerpetuityBaseValue*IF(PerpetuityGrowing=2,(1+Result!$G$28/100)^Specs!W97,1))/(1+Calculations!$D$1051)^$W97,0)</f>
        <v>0</v>
      </c>
      <c r="AD97" s="70">
        <f>IF(Y97&lt;&gt;0,(PerpetuityBaseValue*IF(PerpetuityGrowing=2,(1+Result!$G$28/100)^Specs!W97,1))/(1+Calculations!$D$1052)^$W97,0)</f>
        <v>0</v>
      </c>
      <c r="AE97" s="70">
        <f>IF(Y97&lt;&gt;0,(PerpetuityBaseValue*IF(PerpetuityGrowing=2,(1+Result!$G$28/100)^Specs!W97,1))/(1+Calculations!$D$1054)^$W97,0)</f>
        <v>0</v>
      </c>
      <c r="AF97" s="70">
        <f>IF(Y97&lt;&gt;0,(PerpetuityBaseValue*IF(PerpetuityGrowing=2,(1+Result!$G$28/100)^Specs!W97,1))/(1+Calculations!$D$1055)^$W97,0)</f>
        <v>0</v>
      </c>
    </row>
    <row r="98" spans="1:32" ht="12.75" customHeight="1" x14ac:dyDescent="0.35">
      <c r="A98" s="17"/>
      <c r="B98" s="17"/>
      <c r="C98" s="17"/>
      <c r="D98" s="17"/>
      <c r="E98" s="17"/>
      <c r="F98" s="17"/>
      <c r="G98" s="21">
        <f ca="1">MATCH(1,G99:G120,0)</f>
        <v>1</v>
      </c>
      <c r="H98" s="17"/>
      <c r="I98"/>
      <c r="J98" s="17"/>
      <c r="K98" s="17"/>
      <c r="L98" s="17"/>
      <c r="M98" s="171" t="s">
        <v>4991</v>
      </c>
      <c r="N98" s="170">
        <v>5</v>
      </c>
      <c r="O98" s="186" t="s">
        <v>5094</v>
      </c>
      <c r="P98" s="17"/>
      <c r="Q98" s="17"/>
      <c r="R98" s="17"/>
      <c r="S98" s="17"/>
      <c r="T98" s="17"/>
      <c r="U98" s="17"/>
      <c r="V98" s="129" t="str">
        <f t="shared" si="8"/>
        <v>20 years</v>
      </c>
      <c r="W98" s="17">
        <v>20</v>
      </c>
      <c r="X98" s="17" t="str">
        <f>IF(Language&lt;&gt;5,'Basic Values'!$B$9,IF(W98&lt;5,"lata","lat"))</f>
        <v>years</v>
      </c>
      <c r="Y98" s="17">
        <f t="shared" si="9"/>
        <v>0</v>
      </c>
      <c r="Z98" s="70">
        <f>IF(Y98&lt;&gt;0,(PerpetuityBaseValue*IF(PerpetuityGrowing=2,(1+Result!$G$28/100)^Specs!W98,1))/(1+DiscYear/100)^$W98,0)</f>
        <v>0</v>
      </c>
      <c r="AA98" s="17">
        <f t="shared" si="10"/>
        <v>0</v>
      </c>
      <c r="AB98" s="70">
        <f>IF(AA98&lt;&gt;0,(PerpetuityBaseValueEquity*IF(PerpetuityGrowing=2,1+Result!$G$108/100,1))/(1+DiscYearEquity/100)^$W98,0)</f>
        <v>0</v>
      </c>
      <c r="AC98" s="70">
        <f>IF(Y98&lt;&gt;0,(PerpetuityBaseValue*IF(PerpetuityGrowing=2,(1+Result!$G$28/100)^Specs!W98,1))/(1+Calculations!$D$1051)^$W98,0)</f>
        <v>0</v>
      </c>
      <c r="AD98" s="70">
        <f>IF(Y98&lt;&gt;0,(PerpetuityBaseValue*IF(PerpetuityGrowing=2,(1+Result!$G$28/100)^Specs!W98,1))/(1+Calculations!$D$1052)^$W98,0)</f>
        <v>0</v>
      </c>
      <c r="AE98" s="70">
        <f>IF(Y98&lt;&gt;0,(PerpetuityBaseValue*IF(PerpetuityGrowing=2,(1+Result!$G$28/100)^Specs!W98,1))/(1+Calculations!$D$1054)^$W98,0)</f>
        <v>0</v>
      </c>
      <c r="AF98" s="70">
        <f>IF(Y98&lt;&gt;0,(PerpetuityBaseValue*IF(PerpetuityGrowing=2,(1+Result!$G$28/100)^Specs!W98,1))/(1+Calculations!$D$1055)^$W98,0)</f>
        <v>0</v>
      </c>
    </row>
    <row r="99" spans="1:32" ht="12.75" customHeight="1" x14ac:dyDescent="0.35">
      <c r="A99" s="17"/>
      <c r="B99" s="17"/>
      <c r="C99" s="17"/>
      <c r="D99" s="17"/>
      <c r="E99" s="17"/>
      <c r="F99" s="29">
        <f t="shared" ref="F99:F120" ca="1" si="11">IF(G99=1,G76,$G$75)</f>
        <v>0.45335946086278023</v>
      </c>
      <c r="G99" s="91">
        <f t="shared" ref="G99:G120" ca="1" si="12">IF(ISERROR(G76),0,1)</f>
        <v>1</v>
      </c>
      <c r="H99" s="17"/>
      <c r="I99"/>
      <c r="J99" s="17"/>
      <c r="K99" s="17"/>
      <c r="L99" s="17"/>
      <c r="M99" s="172" t="s">
        <v>4992</v>
      </c>
      <c r="N99" s="170">
        <v>6</v>
      </c>
      <c r="O99" s="179" t="s">
        <v>5098</v>
      </c>
      <c r="P99" s="17"/>
      <c r="Q99" s="17"/>
      <c r="R99" s="17"/>
      <c r="S99" s="17"/>
      <c r="T99" s="17"/>
      <c r="U99" s="17"/>
      <c r="V99" s="129" t="str">
        <f t="shared" si="8"/>
        <v>21 years</v>
      </c>
      <c r="W99" s="17">
        <v>21</v>
      </c>
      <c r="X99" s="17" t="str">
        <f>IF(Language&lt;&gt;5,'Basic Values'!$B$9,IF(W99&lt;5,"lata","lat"))</f>
        <v>years</v>
      </c>
      <c r="Y99" s="17">
        <f t="shared" si="9"/>
        <v>0</v>
      </c>
      <c r="Z99" s="70">
        <f>IF(Y99&lt;&gt;0,(PerpetuityBaseValue*IF(PerpetuityGrowing=2,(1+Result!$G$28/100)^Specs!W99,1))/(1+DiscYear/100)^$W99,0)</f>
        <v>0</v>
      </c>
      <c r="AA99" s="17">
        <f t="shared" si="10"/>
        <v>0</v>
      </c>
      <c r="AB99" s="70">
        <f>IF(AA99&lt;&gt;0,(PerpetuityBaseValueEquity*IF(PerpetuityGrowing=2,1+Result!$G$108/100,1))/(1+DiscYearEquity/100)^$W99,0)</f>
        <v>0</v>
      </c>
      <c r="AC99" s="70">
        <f>IF(Y99&lt;&gt;0,(PerpetuityBaseValue*IF(PerpetuityGrowing=2,(1+Result!$G$28/100)^Specs!W99,1))/(1+Calculations!$D$1051)^$W99,0)</f>
        <v>0</v>
      </c>
      <c r="AD99" s="70">
        <f>IF(Y99&lt;&gt;0,(PerpetuityBaseValue*IF(PerpetuityGrowing=2,(1+Result!$G$28/100)^Specs!W99,1))/(1+Calculations!$D$1052)^$W99,0)</f>
        <v>0</v>
      </c>
      <c r="AE99" s="70">
        <f>IF(Y99&lt;&gt;0,(PerpetuityBaseValue*IF(PerpetuityGrowing=2,(1+Result!$G$28/100)^Specs!W99,1))/(1+Calculations!$D$1054)^$W99,0)</f>
        <v>0</v>
      </c>
      <c r="AF99" s="70">
        <f>IF(Y99&lt;&gt;0,(PerpetuityBaseValue*IF(PerpetuityGrowing=2,(1+Result!$G$28/100)^Specs!W99,1))/(1+Calculations!$D$1055)^$W99,0)</f>
        <v>0</v>
      </c>
    </row>
    <row r="100" spans="1:32" ht="12.75" customHeight="1" x14ac:dyDescent="0.35">
      <c r="A100" s="17"/>
      <c r="B100" s="17"/>
      <c r="C100" s="17"/>
      <c r="D100" s="17"/>
      <c r="E100" s="17"/>
      <c r="F100" s="36">
        <f t="shared" ca="1" si="11"/>
        <v>0.45335946086278023</v>
      </c>
      <c r="G100" s="93">
        <f t="shared" ca="1" si="12"/>
        <v>1</v>
      </c>
      <c r="H100" s="17"/>
      <c r="I100"/>
      <c r="J100" s="17"/>
      <c r="K100" s="17"/>
      <c r="L100" s="17"/>
      <c r="M100" s="169" t="s">
        <v>4993</v>
      </c>
      <c r="N100" s="170">
        <v>1</v>
      </c>
      <c r="O100" s="178" t="s">
        <v>5099</v>
      </c>
      <c r="P100" s="17"/>
      <c r="Q100" s="17"/>
      <c r="R100" s="17"/>
      <c r="S100" s="17"/>
      <c r="T100" s="17"/>
      <c r="U100" s="17"/>
      <c r="V100" s="129" t="str">
        <f t="shared" si="8"/>
        <v>22 years</v>
      </c>
      <c r="W100" s="17">
        <v>22</v>
      </c>
      <c r="X100" s="17" t="str">
        <f>IF(Language&lt;&gt;5,'Basic Values'!$B$9,IF(W100&lt;5,"lata","lat"))</f>
        <v>years</v>
      </c>
      <c r="Y100" s="17">
        <f t="shared" si="9"/>
        <v>0</v>
      </c>
      <c r="Z100" s="70">
        <f>IF(Y100&lt;&gt;0,(PerpetuityBaseValue*IF(PerpetuityGrowing=2,(1+Result!$G$28/100)^Specs!W100,1))/(1+DiscYear/100)^$W100,0)</f>
        <v>0</v>
      </c>
      <c r="AA100" s="17">
        <f t="shared" si="10"/>
        <v>0</v>
      </c>
      <c r="AB100" s="70">
        <f>IF(AA100&lt;&gt;0,(PerpetuityBaseValueEquity*IF(PerpetuityGrowing=2,1+Result!$G$108/100,1))/(1+DiscYearEquity/100)^$W100,0)</f>
        <v>0</v>
      </c>
      <c r="AC100" s="70">
        <f>IF(Y100&lt;&gt;0,(PerpetuityBaseValue*IF(PerpetuityGrowing=2,(1+Result!$G$28/100)^Specs!W100,1))/(1+Calculations!$D$1051)^$W100,0)</f>
        <v>0</v>
      </c>
      <c r="AD100" s="70">
        <f>IF(Y100&lt;&gt;0,(PerpetuityBaseValue*IF(PerpetuityGrowing=2,(1+Result!$G$28/100)^Specs!W100,1))/(1+Calculations!$D$1052)^$W100,0)</f>
        <v>0</v>
      </c>
      <c r="AE100" s="70">
        <f>IF(Y100&lt;&gt;0,(PerpetuityBaseValue*IF(PerpetuityGrowing=2,(1+Result!$G$28/100)^Specs!W100,1))/(1+Calculations!$D$1054)^$W100,0)</f>
        <v>0</v>
      </c>
      <c r="AF100" s="70">
        <f>IF(Y100&lt;&gt;0,(PerpetuityBaseValue*IF(PerpetuityGrowing=2,(1+Result!$G$28/100)^Specs!W100,1))/(1+Calculations!$D$1055)^$W100,0)</f>
        <v>0</v>
      </c>
    </row>
    <row r="101" spans="1:32" ht="12.75" customHeight="1" x14ac:dyDescent="0.35">
      <c r="A101" s="17"/>
      <c r="B101" s="17"/>
      <c r="C101" s="17"/>
      <c r="D101" s="17"/>
      <c r="E101" s="17"/>
      <c r="F101" s="36">
        <f t="shared" ca="1" si="11"/>
        <v>0.45335946086278023</v>
      </c>
      <c r="G101" s="93">
        <f t="shared" ca="1" si="12"/>
        <v>1</v>
      </c>
      <c r="H101" s="17"/>
      <c r="I101"/>
      <c r="M101" s="171" t="s">
        <v>4994</v>
      </c>
      <c r="N101" s="170">
        <v>2</v>
      </c>
      <c r="O101" s="17"/>
      <c r="P101" s="17"/>
      <c r="Q101" s="17"/>
      <c r="R101" s="17"/>
      <c r="S101" s="17"/>
      <c r="T101" s="17"/>
      <c r="U101" s="17"/>
      <c r="V101" s="129" t="str">
        <f t="shared" si="8"/>
        <v>23 years</v>
      </c>
      <c r="W101" s="17">
        <v>23</v>
      </c>
      <c r="X101" s="17" t="str">
        <f>IF(Language&lt;&gt;5,'Basic Values'!$B$9,IF(W101&lt;5,"lata","lat"))</f>
        <v>years</v>
      </c>
      <c r="Y101" s="17">
        <f t="shared" si="9"/>
        <v>0</v>
      </c>
      <c r="Z101" s="70">
        <f>IF(Y101&lt;&gt;0,(PerpetuityBaseValue*IF(PerpetuityGrowing=2,(1+Result!$G$28/100)^Specs!W101,1))/(1+DiscYear/100)^$W101,0)</f>
        <v>0</v>
      </c>
      <c r="AA101" s="17">
        <f t="shared" si="10"/>
        <v>0</v>
      </c>
      <c r="AB101" s="70">
        <f>IF(AA101&lt;&gt;0,(PerpetuityBaseValueEquity*IF(PerpetuityGrowing=2,1+Result!$G$108/100,1))/(1+DiscYearEquity/100)^$W101,0)</f>
        <v>0</v>
      </c>
      <c r="AC101" s="70">
        <f>IF(Y101&lt;&gt;0,(PerpetuityBaseValue*IF(PerpetuityGrowing=2,(1+Result!$G$28/100)^Specs!W101,1))/(1+Calculations!$D$1051)^$W101,0)</f>
        <v>0</v>
      </c>
      <c r="AD101" s="70">
        <f>IF(Y101&lt;&gt;0,(PerpetuityBaseValue*IF(PerpetuityGrowing=2,(1+Result!$G$28/100)^Specs!W101,1))/(1+Calculations!$D$1052)^$W101,0)</f>
        <v>0</v>
      </c>
      <c r="AE101" s="70">
        <f>IF(Y101&lt;&gt;0,(PerpetuityBaseValue*IF(PerpetuityGrowing=2,(1+Result!$G$28/100)^Specs!W101,1))/(1+Calculations!$D$1054)^$W101,0)</f>
        <v>0</v>
      </c>
      <c r="AF101" s="70">
        <f>IF(Y101&lt;&gt;0,(PerpetuityBaseValue*IF(PerpetuityGrowing=2,(1+Result!$G$28/100)^Specs!W101,1))/(1+Calculations!$D$1055)^$W101,0)</f>
        <v>0</v>
      </c>
    </row>
    <row r="102" spans="1:32" ht="12.75" customHeight="1" x14ac:dyDescent="0.35">
      <c r="A102" s="17"/>
      <c r="B102" s="17"/>
      <c r="C102" s="17"/>
      <c r="D102" s="17"/>
      <c r="E102" s="17"/>
      <c r="F102" s="36">
        <f t="shared" ca="1" si="11"/>
        <v>0.45335946086278023</v>
      </c>
      <c r="G102" s="93">
        <f t="shared" ca="1" si="12"/>
        <v>1</v>
      </c>
      <c r="H102" s="17"/>
      <c r="M102" s="171" t="s">
        <v>4995</v>
      </c>
      <c r="N102" s="170">
        <v>3</v>
      </c>
      <c r="O102" s="17"/>
      <c r="P102" s="17"/>
      <c r="Q102" s="17"/>
      <c r="R102" s="17"/>
      <c r="S102" s="17"/>
      <c r="T102" s="17"/>
      <c r="U102" s="17"/>
      <c r="V102" s="129" t="str">
        <f t="shared" si="8"/>
        <v>24 years</v>
      </c>
      <c r="W102" s="17">
        <v>24</v>
      </c>
      <c r="X102" s="17" t="str">
        <f>IF(Language&lt;&gt;5,'Basic Values'!$B$9,IF(W102&lt;5,"lata","lat"))</f>
        <v>years</v>
      </c>
      <c r="Y102" s="17">
        <f t="shared" si="9"/>
        <v>0</v>
      </c>
      <c r="Z102" s="70">
        <f>IF(Y102&lt;&gt;0,(PerpetuityBaseValue*IF(PerpetuityGrowing=2,(1+Result!$G$28/100)^Specs!W102,1))/(1+DiscYear/100)^$W102,0)</f>
        <v>0</v>
      </c>
      <c r="AA102" s="17">
        <f t="shared" si="10"/>
        <v>0</v>
      </c>
      <c r="AB102" s="70">
        <f>IF(AA102&lt;&gt;0,(PerpetuityBaseValueEquity*IF(PerpetuityGrowing=2,1+Result!$G$108/100,1))/(1+DiscYearEquity/100)^$W102,0)</f>
        <v>0</v>
      </c>
      <c r="AC102" s="70">
        <f>IF(Y102&lt;&gt;0,(PerpetuityBaseValue*IF(PerpetuityGrowing=2,(1+Result!$G$28/100)^Specs!W102,1))/(1+Calculations!$D$1051)^$W102,0)</f>
        <v>0</v>
      </c>
      <c r="AD102" s="70">
        <f>IF(Y102&lt;&gt;0,(PerpetuityBaseValue*IF(PerpetuityGrowing=2,(1+Result!$G$28/100)^Specs!W102,1))/(1+Calculations!$D$1052)^$W102,0)</f>
        <v>0</v>
      </c>
      <c r="AE102" s="70">
        <f>IF(Y102&lt;&gt;0,(PerpetuityBaseValue*IF(PerpetuityGrowing=2,(1+Result!$G$28/100)^Specs!W102,1))/(1+Calculations!$D$1054)^$W102,0)</f>
        <v>0</v>
      </c>
      <c r="AF102" s="70">
        <f>IF(Y102&lt;&gt;0,(PerpetuityBaseValue*IF(PerpetuityGrowing=2,(1+Result!$G$28/100)^Specs!W102,1))/(1+Calculations!$D$1055)^$W102,0)</f>
        <v>0</v>
      </c>
    </row>
    <row r="103" spans="1:32" ht="12.75" customHeight="1" x14ac:dyDescent="0.35">
      <c r="A103" s="17"/>
      <c r="B103" s="17"/>
      <c r="C103" s="17"/>
      <c r="D103" s="17"/>
      <c r="E103" s="17"/>
      <c r="F103" s="36">
        <f t="shared" ca="1" si="11"/>
        <v>0.45335946086278023</v>
      </c>
      <c r="G103" s="93">
        <f t="shared" ca="1" si="12"/>
        <v>1</v>
      </c>
      <c r="H103" s="17"/>
      <c r="I103" s="17"/>
      <c r="J103" s="17"/>
      <c r="K103" s="17"/>
      <c r="L103" s="17"/>
      <c r="M103" s="171" t="s">
        <v>4996</v>
      </c>
      <c r="N103" s="170">
        <v>4</v>
      </c>
      <c r="O103" s="17"/>
      <c r="P103" s="17"/>
      <c r="Q103" s="17"/>
      <c r="R103" s="17"/>
      <c r="S103" s="17"/>
      <c r="T103" s="17"/>
      <c r="U103" s="17"/>
      <c r="V103" s="129" t="str">
        <f t="shared" si="8"/>
        <v>25 years</v>
      </c>
      <c r="W103" s="17">
        <v>25</v>
      </c>
      <c r="X103" s="17" t="str">
        <f>IF(Language&lt;&gt;5,'Basic Values'!$B$9,IF(W103&lt;5,"lata","lat"))</f>
        <v>years</v>
      </c>
      <c r="Y103" s="17">
        <f t="shared" si="9"/>
        <v>0</v>
      </c>
      <c r="Z103" s="70">
        <f>IF(Y103&lt;&gt;0,(PerpetuityBaseValue*IF(PerpetuityGrowing=2,(1+Result!$G$28/100)^Specs!W103,1))/(1+DiscYear/100)^$W103,0)</f>
        <v>0</v>
      </c>
      <c r="AA103" s="17">
        <f t="shared" si="10"/>
        <v>0</v>
      </c>
      <c r="AB103" s="70">
        <f>IF(AA103&lt;&gt;0,(PerpetuityBaseValueEquity*IF(PerpetuityGrowing=2,1+Result!$G$108/100,1))/(1+DiscYearEquity/100)^$W103,0)</f>
        <v>0</v>
      </c>
      <c r="AC103" s="70">
        <f>IF(Y103&lt;&gt;0,(PerpetuityBaseValue*IF(PerpetuityGrowing=2,(1+Result!$G$28/100)^Specs!W103,1))/(1+Calculations!$D$1051)^$W103,0)</f>
        <v>0</v>
      </c>
      <c r="AD103" s="70">
        <f>IF(Y103&lt;&gt;0,(PerpetuityBaseValue*IF(PerpetuityGrowing=2,(1+Result!$G$28/100)^Specs!W103,1))/(1+Calculations!$D$1052)^$W103,0)</f>
        <v>0</v>
      </c>
      <c r="AE103" s="70">
        <f>IF(Y103&lt;&gt;0,(PerpetuityBaseValue*IF(PerpetuityGrowing=2,(1+Result!$G$28/100)^Specs!W103,1))/(1+Calculations!$D$1054)^$W103,0)</f>
        <v>0</v>
      </c>
      <c r="AF103" s="70">
        <f>IF(Y103&lt;&gt;0,(PerpetuityBaseValue*IF(PerpetuityGrowing=2,(1+Result!$G$28/100)^Specs!W103,1))/(1+Calculations!$D$1055)^$W103,0)</f>
        <v>0</v>
      </c>
    </row>
    <row r="104" spans="1:32" ht="12.75" customHeight="1" x14ac:dyDescent="0.35">
      <c r="A104" s="17"/>
      <c r="B104" s="17"/>
      <c r="C104" s="17"/>
      <c r="D104" s="17"/>
      <c r="E104" s="17"/>
      <c r="F104" s="36">
        <f t="shared" ca="1" si="11"/>
        <v>0.45335946086278023</v>
      </c>
      <c r="G104" s="93">
        <f t="shared" ca="1" si="12"/>
        <v>1</v>
      </c>
      <c r="H104" s="17"/>
      <c r="I104" s="17"/>
      <c r="J104" s="17"/>
      <c r="K104" s="17"/>
      <c r="L104" s="17"/>
      <c r="M104" s="171" t="s">
        <v>4997</v>
      </c>
      <c r="N104" s="170">
        <v>5</v>
      </c>
      <c r="O104" s="17"/>
      <c r="P104" s="17"/>
      <c r="Q104" s="17"/>
      <c r="R104" s="17"/>
      <c r="S104" s="17"/>
      <c r="T104" s="17"/>
      <c r="U104" s="17"/>
      <c r="V104" s="129" t="str">
        <f t="shared" si="8"/>
        <v>26 years</v>
      </c>
      <c r="W104" s="17">
        <v>26</v>
      </c>
      <c r="X104" s="17" t="str">
        <f>IF(Language&lt;&gt;5,'Basic Values'!$B$9,IF(W104&lt;5,"lata","lat"))</f>
        <v>years</v>
      </c>
      <c r="Y104" s="17">
        <f t="shared" si="9"/>
        <v>0</v>
      </c>
      <c r="Z104" s="70">
        <f>IF(Y104&lt;&gt;0,(PerpetuityBaseValue*IF(PerpetuityGrowing=2,(1+Result!$G$28/100)^Specs!W104,1))/(1+DiscYear/100)^$W104,0)</f>
        <v>0</v>
      </c>
      <c r="AA104" s="17">
        <f t="shared" si="10"/>
        <v>0</v>
      </c>
      <c r="AB104" s="70">
        <f>IF(AA104&lt;&gt;0,(PerpetuityBaseValueEquity*IF(PerpetuityGrowing=2,1+Result!$G$108/100,1))/(1+DiscYearEquity/100)^$W104,0)</f>
        <v>0</v>
      </c>
      <c r="AC104" s="70">
        <f>IF(Y104&lt;&gt;0,(PerpetuityBaseValue*IF(PerpetuityGrowing=2,(1+Result!$G$28/100)^Specs!W104,1))/(1+Calculations!$D$1051)^$W104,0)</f>
        <v>0</v>
      </c>
      <c r="AD104" s="70">
        <f>IF(Y104&lt;&gt;0,(PerpetuityBaseValue*IF(PerpetuityGrowing=2,(1+Result!$G$28/100)^Specs!W104,1))/(1+Calculations!$D$1052)^$W104,0)</f>
        <v>0</v>
      </c>
      <c r="AE104" s="70">
        <f>IF(Y104&lt;&gt;0,(PerpetuityBaseValue*IF(PerpetuityGrowing=2,(1+Result!$G$28/100)^Specs!W104,1))/(1+Calculations!$D$1054)^$W104,0)</f>
        <v>0</v>
      </c>
      <c r="AF104" s="70">
        <f>IF(Y104&lt;&gt;0,(PerpetuityBaseValue*IF(PerpetuityGrowing=2,(1+Result!$G$28/100)^Specs!W104,1))/(1+Calculations!$D$1055)^$W104,0)</f>
        <v>0</v>
      </c>
    </row>
    <row r="105" spans="1:32" ht="12.75" customHeight="1" x14ac:dyDescent="0.35">
      <c r="A105" s="17"/>
      <c r="B105" s="17"/>
      <c r="C105" s="17"/>
      <c r="D105" s="17"/>
      <c r="E105" s="17"/>
      <c r="F105" s="29">
        <f t="shared" ca="1" si="11"/>
        <v>0.45335946086278023</v>
      </c>
      <c r="G105" s="1240">
        <v>0</v>
      </c>
      <c r="H105" s="17"/>
      <c r="I105" s="17"/>
      <c r="J105" s="17"/>
      <c r="K105" s="17"/>
      <c r="L105" s="17"/>
      <c r="M105" s="172" t="s">
        <v>4998</v>
      </c>
      <c r="N105" s="170">
        <v>6</v>
      </c>
      <c r="O105" s="17"/>
      <c r="P105" s="17"/>
      <c r="Q105" s="17"/>
      <c r="R105" s="17"/>
      <c r="S105" s="17"/>
      <c r="T105" s="17"/>
      <c r="U105" s="17"/>
      <c r="V105" s="129" t="str">
        <f t="shared" si="8"/>
        <v>27 years</v>
      </c>
      <c r="W105" s="17">
        <v>27</v>
      </c>
      <c r="X105" s="17" t="str">
        <f>IF(Language&lt;&gt;5,'Basic Values'!$B$9,IF(W105&lt;5,"lata","lat"))</f>
        <v>years</v>
      </c>
      <c r="Y105" s="17">
        <f t="shared" si="9"/>
        <v>0</v>
      </c>
      <c r="Z105" s="70">
        <f>IF(Y105&lt;&gt;0,(PerpetuityBaseValue*IF(PerpetuityGrowing=2,(1+Result!$G$28/100)^Specs!W105,1))/(1+DiscYear/100)^$W105,0)</f>
        <v>0</v>
      </c>
      <c r="AA105" s="17">
        <f t="shared" si="10"/>
        <v>0</v>
      </c>
      <c r="AB105" s="70">
        <f>IF(AA105&lt;&gt;0,(PerpetuityBaseValueEquity*IF(PerpetuityGrowing=2,1+Result!$G$108/100,1))/(1+DiscYearEquity/100)^$W105,0)</f>
        <v>0</v>
      </c>
      <c r="AC105" s="70">
        <f>IF(Y105&lt;&gt;0,(PerpetuityBaseValue*IF(PerpetuityGrowing=2,(1+Result!$G$28/100)^Specs!W105,1))/(1+Calculations!$D$1051)^$W105,0)</f>
        <v>0</v>
      </c>
      <c r="AD105" s="70">
        <f>IF(Y105&lt;&gt;0,(PerpetuityBaseValue*IF(PerpetuityGrowing=2,(1+Result!$G$28/100)^Specs!W105,1))/(1+Calculations!$D$1052)^$W105,0)</f>
        <v>0</v>
      </c>
      <c r="AE105" s="70">
        <f>IF(Y105&lt;&gt;0,(PerpetuityBaseValue*IF(PerpetuityGrowing=2,(1+Result!$G$28/100)^Specs!W105,1))/(1+Calculations!$D$1054)^$W105,0)</f>
        <v>0</v>
      </c>
      <c r="AF105" s="70">
        <f>IF(Y105&lt;&gt;0,(PerpetuityBaseValue*IF(PerpetuityGrowing=2,(1+Result!$G$28/100)^Specs!W105,1))/(1+Calculations!$D$1055)^$W105,0)</f>
        <v>0</v>
      </c>
    </row>
    <row r="106" spans="1:32" ht="12.75" customHeight="1" x14ac:dyDescent="0.35">
      <c r="A106" s="17"/>
      <c r="B106" s="17"/>
      <c r="C106" s="17"/>
      <c r="D106" s="17"/>
      <c r="E106" s="17"/>
      <c r="F106" s="36">
        <f t="shared" ca="1" si="11"/>
        <v>0.45335946086278023</v>
      </c>
      <c r="G106" s="93">
        <f t="shared" ca="1" si="12"/>
        <v>1</v>
      </c>
      <c r="H106" s="17"/>
      <c r="I106" s="17"/>
      <c r="J106" s="17"/>
      <c r="K106" s="17"/>
      <c r="L106" s="17"/>
      <c r="M106" s="169" t="s">
        <v>4999</v>
      </c>
      <c r="N106" s="170">
        <v>1</v>
      </c>
      <c r="O106" s="17"/>
      <c r="P106" s="17"/>
      <c r="Q106" s="17"/>
      <c r="R106" s="17"/>
      <c r="S106" s="17"/>
      <c r="T106" s="17"/>
      <c r="U106" s="17"/>
      <c r="V106" s="129" t="str">
        <f t="shared" si="8"/>
        <v>28 years</v>
      </c>
      <c r="W106" s="17">
        <v>28</v>
      </c>
      <c r="X106" s="17" t="str">
        <f>IF(Language&lt;&gt;5,'Basic Values'!$B$9,IF(W106&lt;5,"lata","lat"))</f>
        <v>years</v>
      </c>
      <c r="Y106" s="17">
        <f t="shared" si="9"/>
        <v>0</v>
      </c>
      <c r="Z106" s="70">
        <f>IF(Y106&lt;&gt;0,(PerpetuityBaseValue*IF(PerpetuityGrowing=2,(1+Result!$G$28/100)^Specs!W106,1))/(1+DiscYear/100)^$W106,0)</f>
        <v>0</v>
      </c>
      <c r="AA106" s="17">
        <f t="shared" si="10"/>
        <v>0</v>
      </c>
      <c r="AB106" s="70">
        <f>IF(AA106&lt;&gt;0,(PerpetuityBaseValueEquity*IF(PerpetuityGrowing=2,1+Result!$G$108/100,1))/(1+DiscYearEquity/100)^$W106,0)</f>
        <v>0</v>
      </c>
      <c r="AC106" s="70">
        <f>IF(Y106&lt;&gt;0,(PerpetuityBaseValue*IF(PerpetuityGrowing=2,(1+Result!$G$28/100)^Specs!W106,1))/(1+Calculations!$D$1051)^$W106,0)</f>
        <v>0</v>
      </c>
      <c r="AD106" s="70">
        <f>IF(Y106&lt;&gt;0,(PerpetuityBaseValue*IF(PerpetuityGrowing=2,(1+Result!$G$28/100)^Specs!W106,1))/(1+Calculations!$D$1052)^$W106,0)</f>
        <v>0</v>
      </c>
      <c r="AE106" s="70">
        <f>IF(Y106&lt;&gt;0,(PerpetuityBaseValue*IF(PerpetuityGrowing=2,(1+Result!$G$28/100)^Specs!W106,1))/(1+Calculations!$D$1054)^$W106,0)</f>
        <v>0</v>
      </c>
      <c r="AF106" s="70">
        <f>IF(Y106&lt;&gt;0,(PerpetuityBaseValue*IF(PerpetuityGrowing=2,(1+Result!$G$28/100)^Specs!W106,1))/(1+Calculations!$D$1055)^$W106,0)</f>
        <v>0</v>
      </c>
    </row>
    <row r="107" spans="1:32" ht="12.75" customHeight="1" x14ac:dyDescent="0.35">
      <c r="A107" s="17"/>
      <c r="B107" s="17"/>
      <c r="C107" s="17"/>
      <c r="D107" s="17"/>
      <c r="E107" s="17"/>
      <c r="F107" s="36">
        <f t="shared" ca="1" si="11"/>
        <v>0.45335946086278023</v>
      </c>
      <c r="G107" s="1239">
        <v>0</v>
      </c>
      <c r="H107" s="17"/>
      <c r="I107" s="17"/>
      <c r="J107" s="17"/>
      <c r="K107" s="17"/>
      <c r="L107" s="17"/>
      <c r="M107" s="171" t="s">
        <v>5000</v>
      </c>
      <c r="N107" s="170">
        <v>2</v>
      </c>
      <c r="O107" s="17"/>
      <c r="P107" s="17"/>
      <c r="Q107" s="17"/>
      <c r="R107" s="17"/>
      <c r="S107" s="17"/>
      <c r="T107" s="17"/>
      <c r="U107" s="17"/>
      <c r="V107" s="129" t="str">
        <f t="shared" si="8"/>
        <v>29 years</v>
      </c>
      <c r="W107" s="17">
        <v>29</v>
      </c>
      <c r="X107" s="17" t="str">
        <f>IF(Language&lt;&gt;5,'Basic Values'!$B$9,IF(W107&lt;5,"lata","lat"))</f>
        <v>years</v>
      </c>
      <c r="Y107" s="17">
        <f t="shared" si="9"/>
        <v>0</v>
      </c>
      <c r="Z107" s="70">
        <f>IF(Y107&lt;&gt;0,(PerpetuityBaseValue*IF(PerpetuityGrowing=2,(1+Result!$G$28/100)^Specs!W107,1))/(1+DiscYear/100)^$W107,0)</f>
        <v>0</v>
      </c>
      <c r="AA107" s="17">
        <f t="shared" si="10"/>
        <v>0</v>
      </c>
      <c r="AB107" s="70">
        <f>IF(AA107&lt;&gt;0,(PerpetuityBaseValueEquity*IF(PerpetuityGrowing=2,1+Result!$G$108/100,1))/(1+DiscYearEquity/100)^$W107,0)</f>
        <v>0</v>
      </c>
      <c r="AC107" s="70">
        <f>IF(Y107&lt;&gt;0,(PerpetuityBaseValue*IF(PerpetuityGrowing=2,(1+Result!$G$28/100)^Specs!W107,1))/(1+Calculations!$D$1051)^$W107,0)</f>
        <v>0</v>
      </c>
      <c r="AD107" s="70">
        <f>IF(Y107&lt;&gt;0,(PerpetuityBaseValue*IF(PerpetuityGrowing=2,(1+Result!$G$28/100)^Specs!W107,1))/(1+Calculations!$D$1052)^$W107,0)</f>
        <v>0</v>
      </c>
      <c r="AE107" s="70">
        <f>IF(Y107&lt;&gt;0,(PerpetuityBaseValue*IF(PerpetuityGrowing=2,(1+Result!$G$28/100)^Specs!W107,1))/(1+Calculations!$D$1054)^$W107,0)</f>
        <v>0</v>
      </c>
      <c r="AF107" s="70">
        <f>IF(Y107&lt;&gt;0,(PerpetuityBaseValue*IF(PerpetuityGrowing=2,(1+Result!$G$28/100)^Specs!W107,1))/(1+Calculations!$D$1055)^$W107,0)</f>
        <v>0</v>
      </c>
    </row>
    <row r="108" spans="1:32" ht="12.75" customHeight="1" x14ac:dyDescent="0.35">
      <c r="A108" s="17"/>
      <c r="B108" s="17"/>
      <c r="C108" s="17"/>
      <c r="D108" s="17"/>
      <c r="E108" s="17"/>
      <c r="F108" s="36">
        <f t="shared" ca="1" si="11"/>
        <v>0.45335946086278023</v>
      </c>
      <c r="G108" s="93">
        <f t="shared" ca="1" si="12"/>
        <v>1</v>
      </c>
      <c r="H108" s="17"/>
      <c r="I108" s="17"/>
      <c r="J108" s="17"/>
      <c r="K108" s="17"/>
      <c r="L108" s="17"/>
      <c r="M108" s="171" t="s">
        <v>5001</v>
      </c>
      <c r="N108" s="170">
        <v>3</v>
      </c>
      <c r="O108" s="17"/>
      <c r="P108" s="17"/>
      <c r="Q108" s="17"/>
      <c r="R108" s="17"/>
      <c r="S108" s="17"/>
      <c r="T108" s="17"/>
      <c r="U108" s="17"/>
      <c r="V108" s="129" t="str">
        <f t="shared" si="8"/>
        <v>30 years</v>
      </c>
      <c r="W108" s="17">
        <v>30</v>
      </c>
      <c r="X108" s="17" t="str">
        <f>IF(Language&lt;&gt;5,'Basic Values'!$B$9,IF(W108&lt;5,"lata","lat"))</f>
        <v>years</v>
      </c>
      <c r="Y108" s="17">
        <f t="shared" si="9"/>
        <v>0</v>
      </c>
      <c r="Z108" s="70">
        <f>IF(Y108&lt;&gt;0,(PerpetuityBaseValue*IF(PerpetuityGrowing=2,(1+Result!$G$28/100)^Specs!W108,1))/(1+DiscYear/100)^$W108,0)</f>
        <v>0</v>
      </c>
      <c r="AA108" s="17">
        <f t="shared" si="10"/>
        <v>0</v>
      </c>
      <c r="AB108" s="70">
        <f>IF(AA108&lt;&gt;0,(PerpetuityBaseValueEquity*IF(PerpetuityGrowing=2,1+Result!$G$108/100,1))/(1+DiscYearEquity/100)^$W108,0)</f>
        <v>0</v>
      </c>
      <c r="AC108" s="70">
        <f>IF(Y108&lt;&gt;0,(PerpetuityBaseValue*IF(PerpetuityGrowing=2,(1+Result!$G$28/100)^Specs!W108,1))/(1+Calculations!$D$1051)^$W108,0)</f>
        <v>0</v>
      </c>
      <c r="AD108" s="70">
        <f>IF(Y108&lt;&gt;0,(PerpetuityBaseValue*IF(PerpetuityGrowing=2,(1+Result!$G$28/100)^Specs!W108,1))/(1+Calculations!$D$1052)^$W108,0)</f>
        <v>0</v>
      </c>
      <c r="AE108" s="70">
        <f>IF(Y108&lt;&gt;0,(PerpetuityBaseValue*IF(PerpetuityGrowing=2,(1+Result!$G$28/100)^Specs!W108,1))/(1+Calculations!$D$1054)^$W108,0)</f>
        <v>0</v>
      </c>
      <c r="AF108" s="70">
        <f>IF(Y108&lt;&gt;0,(PerpetuityBaseValue*IF(PerpetuityGrowing=2,(1+Result!$G$28/100)^Specs!W108,1))/(1+Calculations!$D$1055)^$W108,0)</f>
        <v>0</v>
      </c>
    </row>
    <row r="109" spans="1:32" ht="12.75" customHeight="1" x14ac:dyDescent="0.35">
      <c r="A109" s="17"/>
      <c r="B109" s="17"/>
      <c r="C109" s="17"/>
      <c r="D109" s="17"/>
      <c r="E109" s="17"/>
      <c r="F109" s="36">
        <f t="shared" ca="1" si="11"/>
        <v>0.45335946086278023</v>
      </c>
      <c r="G109" s="1239">
        <v>0</v>
      </c>
      <c r="H109" s="17"/>
      <c r="I109" s="17"/>
      <c r="J109" s="17"/>
      <c r="K109" s="17"/>
      <c r="L109" s="17"/>
      <c r="M109" s="171" t="s">
        <v>5002</v>
      </c>
      <c r="N109" s="170">
        <v>4</v>
      </c>
      <c r="O109" s="17"/>
      <c r="P109" s="17"/>
      <c r="Q109" s="17"/>
      <c r="R109" s="17"/>
      <c r="S109" s="17"/>
      <c r="T109" s="17"/>
      <c r="U109" s="17"/>
      <c r="V109" s="129" t="str">
        <f t="shared" si="8"/>
        <v>31 years</v>
      </c>
      <c r="W109" s="17">
        <v>31</v>
      </c>
      <c r="X109" s="17" t="str">
        <f>IF(Language&lt;&gt;5,'Basic Values'!$B$9,IF(W109&lt;5,"lata","lat"))</f>
        <v>years</v>
      </c>
      <c r="Y109" s="17">
        <f t="shared" si="9"/>
        <v>0</v>
      </c>
      <c r="Z109" s="70">
        <f>IF(Y109&lt;&gt;0,(PerpetuityBaseValue*IF(PerpetuityGrowing=2,(1+Result!$G$28/100)^Specs!W109,1))/(1+DiscYear/100)^$W109,0)</f>
        <v>0</v>
      </c>
      <c r="AA109" s="17">
        <f t="shared" si="10"/>
        <v>0</v>
      </c>
      <c r="AB109" s="70">
        <f>IF(AA109&lt;&gt;0,(PerpetuityBaseValueEquity*IF(PerpetuityGrowing=2,1+Result!$G$108/100,1))/(1+DiscYearEquity/100)^$W109,0)</f>
        <v>0</v>
      </c>
      <c r="AC109" s="70">
        <f>IF(Y109&lt;&gt;0,(PerpetuityBaseValue*IF(PerpetuityGrowing=2,(1+Result!$G$28/100)^Specs!W109,1))/(1+Calculations!$D$1051)^$W109,0)</f>
        <v>0</v>
      </c>
      <c r="AD109" s="70">
        <f>IF(Y109&lt;&gt;0,(PerpetuityBaseValue*IF(PerpetuityGrowing=2,(1+Result!$G$28/100)^Specs!W109,1))/(1+Calculations!$D$1052)^$W109,0)</f>
        <v>0</v>
      </c>
      <c r="AE109" s="70">
        <f>IF(Y109&lt;&gt;0,(PerpetuityBaseValue*IF(PerpetuityGrowing=2,(1+Result!$G$28/100)^Specs!W109,1))/(1+Calculations!$D$1054)^$W109,0)</f>
        <v>0</v>
      </c>
      <c r="AF109" s="70">
        <f>IF(Y109&lt;&gt;0,(PerpetuityBaseValue*IF(PerpetuityGrowing=2,(1+Result!$G$28/100)^Specs!W109,1))/(1+Calculations!$D$1055)^$W109,0)</f>
        <v>0</v>
      </c>
    </row>
    <row r="110" spans="1:32" ht="12.75" customHeight="1" x14ac:dyDescent="0.35">
      <c r="A110" s="17"/>
      <c r="B110" s="17"/>
      <c r="C110" s="17"/>
      <c r="D110" s="17"/>
      <c r="E110" s="17"/>
      <c r="F110" s="36">
        <f t="shared" ca="1" si="11"/>
        <v>0.45335946086278023</v>
      </c>
      <c r="G110" s="93">
        <f t="shared" ca="1" si="12"/>
        <v>1</v>
      </c>
      <c r="H110" s="17"/>
      <c r="I110" s="17"/>
      <c r="J110" s="17"/>
      <c r="K110" s="17"/>
      <c r="L110" s="17"/>
      <c r="M110" s="171" t="s">
        <v>5003</v>
      </c>
      <c r="N110" s="170">
        <v>5</v>
      </c>
      <c r="O110" s="17"/>
      <c r="P110" s="17"/>
      <c r="Q110" s="17"/>
      <c r="R110" s="17"/>
      <c r="S110" s="17"/>
      <c r="T110" s="17"/>
      <c r="U110" s="17"/>
      <c r="V110" s="129" t="str">
        <f t="shared" si="8"/>
        <v>32 years</v>
      </c>
      <c r="W110" s="17">
        <v>32</v>
      </c>
      <c r="X110" s="17" t="str">
        <f>IF(Language&lt;&gt;5,'Basic Values'!$B$9,IF(W110&lt;5,"lata","lat"))</f>
        <v>years</v>
      </c>
      <c r="Y110" s="17">
        <f t="shared" si="9"/>
        <v>0</v>
      </c>
      <c r="Z110" s="70">
        <f>IF(Y110&lt;&gt;0,(PerpetuityBaseValue*IF(PerpetuityGrowing=2,(1+Result!$G$28/100)^Specs!W110,1))/(1+DiscYear/100)^$W110,0)</f>
        <v>0</v>
      </c>
      <c r="AA110" s="17">
        <f t="shared" si="10"/>
        <v>0</v>
      </c>
      <c r="AB110" s="70">
        <f>IF(AA110&lt;&gt;0,(PerpetuityBaseValueEquity*IF(PerpetuityGrowing=2,1+Result!$G$108/100,1))/(1+DiscYearEquity/100)^$W110,0)</f>
        <v>0</v>
      </c>
      <c r="AC110" s="70">
        <f>IF(Y110&lt;&gt;0,(PerpetuityBaseValue*IF(PerpetuityGrowing=2,(1+Result!$G$28/100)^Specs!W110,1))/(1+Calculations!$D$1051)^$W110,0)</f>
        <v>0</v>
      </c>
      <c r="AD110" s="70">
        <f>IF(Y110&lt;&gt;0,(PerpetuityBaseValue*IF(PerpetuityGrowing=2,(1+Result!$G$28/100)^Specs!W110,1))/(1+Calculations!$D$1052)^$W110,0)</f>
        <v>0</v>
      </c>
      <c r="AE110" s="70">
        <f>IF(Y110&lt;&gt;0,(PerpetuityBaseValue*IF(PerpetuityGrowing=2,(1+Result!$G$28/100)^Specs!W110,1))/(1+Calculations!$D$1054)^$W110,0)</f>
        <v>0</v>
      </c>
      <c r="AF110" s="70">
        <f>IF(Y110&lt;&gt;0,(PerpetuityBaseValue*IF(PerpetuityGrowing=2,(1+Result!$G$28/100)^Specs!W110,1))/(1+Calculations!$D$1055)^$W110,0)</f>
        <v>0</v>
      </c>
    </row>
    <row r="111" spans="1:32" ht="12.75" customHeight="1" x14ac:dyDescent="0.35">
      <c r="A111" s="17"/>
      <c r="B111" s="17"/>
      <c r="C111" s="17"/>
      <c r="D111" s="17"/>
      <c r="E111" s="17"/>
      <c r="F111" s="36">
        <f t="shared" ca="1" si="11"/>
        <v>0.45335946086278023</v>
      </c>
      <c r="G111" s="93">
        <f t="shared" ca="1" si="12"/>
        <v>1</v>
      </c>
      <c r="H111" s="17"/>
      <c r="I111" s="17"/>
      <c r="J111" s="17"/>
      <c r="K111" s="17"/>
      <c r="L111" s="17"/>
      <c r="M111" s="172" t="s">
        <v>5004</v>
      </c>
      <c r="N111" s="170">
        <v>6</v>
      </c>
      <c r="O111" s="17"/>
      <c r="P111" s="17"/>
      <c r="Q111" s="17"/>
      <c r="R111" s="17"/>
      <c r="S111" s="17"/>
      <c r="T111" s="17"/>
      <c r="U111" s="17"/>
      <c r="V111" s="129" t="str">
        <f t="shared" ref="V111:V142" si="13">W111&amp;" "&amp;X111</f>
        <v>33 years</v>
      </c>
      <c r="W111" s="17">
        <v>33</v>
      </c>
      <c r="X111" s="17" t="str">
        <f>IF(Language&lt;&gt;5,'Basic Values'!$B$9,IF(W111&lt;5,"lata","lat"))</f>
        <v>years</v>
      </c>
      <c r="Y111" s="17">
        <f t="shared" ref="Y111:Y142" si="14">IF($W111&lt;=PerpetuityLimitation-1,$W111,0)</f>
        <v>0</v>
      </c>
      <c r="Z111" s="70">
        <f>IF(Y111&lt;&gt;0,(PerpetuityBaseValue*IF(PerpetuityGrowing=2,(1+Result!$G$28/100)^Specs!W111,1))/(1+DiscYear/100)^$W111,0)</f>
        <v>0</v>
      </c>
      <c r="AA111" s="17">
        <f t="shared" ref="AA111:AA142" si="15">IF($W111&lt;=PerpetuityLimitationEquity-1,$W111,0)</f>
        <v>0</v>
      </c>
      <c r="AB111" s="70">
        <f>IF(AA111&lt;&gt;0,(PerpetuityBaseValueEquity*IF(PerpetuityGrowing=2,1+Result!$G$108/100,1))/(1+DiscYearEquity/100)^$W111,0)</f>
        <v>0</v>
      </c>
      <c r="AC111" s="70">
        <f>IF(Y111&lt;&gt;0,(PerpetuityBaseValue*IF(PerpetuityGrowing=2,(1+Result!$G$28/100)^Specs!W111,1))/(1+Calculations!$D$1051)^$W111,0)</f>
        <v>0</v>
      </c>
      <c r="AD111" s="70">
        <f>IF(Y111&lt;&gt;0,(PerpetuityBaseValue*IF(PerpetuityGrowing=2,(1+Result!$G$28/100)^Specs!W111,1))/(1+Calculations!$D$1052)^$W111,0)</f>
        <v>0</v>
      </c>
      <c r="AE111" s="70">
        <f>IF(Y111&lt;&gt;0,(PerpetuityBaseValue*IF(PerpetuityGrowing=2,(1+Result!$G$28/100)^Specs!W111,1))/(1+Calculations!$D$1054)^$W111,0)</f>
        <v>0</v>
      </c>
      <c r="AF111" s="70">
        <f>IF(Y111&lt;&gt;0,(PerpetuityBaseValue*IF(PerpetuityGrowing=2,(1+Result!$G$28/100)^Specs!W111,1))/(1+Calculations!$D$1055)^$W111,0)</f>
        <v>0</v>
      </c>
    </row>
    <row r="112" spans="1:32" ht="12.75" customHeight="1" x14ac:dyDescent="0.35">
      <c r="A112" s="17"/>
      <c r="B112" s="17"/>
      <c r="C112" s="17"/>
      <c r="D112" s="17"/>
      <c r="E112" s="17"/>
      <c r="F112" s="36">
        <f t="shared" ca="1" si="11"/>
        <v>0.45335946086278023</v>
      </c>
      <c r="G112" s="93">
        <f t="shared" ca="1" si="12"/>
        <v>1</v>
      </c>
      <c r="H112" s="17"/>
      <c r="I112" s="17"/>
      <c r="J112" s="17"/>
      <c r="K112" s="17"/>
      <c r="L112" s="17"/>
      <c r="M112" s="17"/>
      <c r="N112" s="17"/>
      <c r="O112" s="17"/>
      <c r="P112" s="17"/>
      <c r="Q112" s="17"/>
      <c r="R112" s="17"/>
      <c r="S112" s="17"/>
      <c r="T112" s="17"/>
      <c r="U112" s="17"/>
      <c r="V112" s="129" t="str">
        <f t="shared" si="13"/>
        <v>34 years</v>
      </c>
      <c r="W112" s="17">
        <v>34</v>
      </c>
      <c r="X112" s="17" t="str">
        <f>IF(Language&lt;&gt;5,'Basic Values'!$B$9,IF(W112&lt;5,"lata","lat"))</f>
        <v>years</v>
      </c>
      <c r="Y112" s="17">
        <f t="shared" si="14"/>
        <v>0</v>
      </c>
      <c r="Z112" s="70">
        <f>IF(Y112&lt;&gt;0,(PerpetuityBaseValue*IF(PerpetuityGrowing=2,(1+Result!$G$28/100)^Specs!W112,1))/(1+DiscYear/100)^$W112,0)</f>
        <v>0</v>
      </c>
      <c r="AA112" s="17">
        <f t="shared" si="15"/>
        <v>0</v>
      </c>
      <c r="AB112" s="70">
        <f>IF(AA112&lt;&gt;0,(PerpetuityBaseValueEquity*IF(PerpetuityGrowing=2,1+Result!$G$108/100,1))/(1+DiscYearEquity/100)^$W112,0)</f>
        <v>0</v>
      </c>
      <c r="AC112" s="70">
        <f>IF(Y112&lt;&gt;0,(PerpetuityBaseValue*IF(PerpetuityGrowing=2,(1+Result!$G$28/100)^Specs!W112,1))/(1+Calculations!$D$1051)^$W112,0)</f>
        <v>0</v>
      </c>
      <c r="AD112" s="70">
        <f>IF(Y112&lt;&gt;0,(PerpetuityBaseValue*IF(PerpetuityGrowing=2,(1+Result!$G$28/100)^Specs!W112,1))/(1+Calculations!$D$1052)^$W112,0)</f>
        <v>0</v>
      </c>
      <c r="AE112" s="70">
        <f>IF(Y112&lt;&gt;0,(PerpetuityBaseValue*IF(PerpetuityGrowing=2,(1+Result!$G$28/100)^Specs!W112,1))/(1+Calculations!$D$1054)^$W112,0)</f>
        <v>0</v>
      </c>
      <c r="AF112" s="70">
        <f>IF(Y112&lt;&gt;0,(PerpetuityBaseValue*IF(PerpetuityGrowing=2,(1+Result!$G$28/100)^Specs!W112,1))/(1+Calculations!$D$1055)^$W112,0)</f>
        <v>0</v>
      </c>
    </row>
    <row r="113" spans="1:32" ht="12.75" customHeight="1" x14ac:dyDescent="0.35">
      <c r="A113" s="17"/>
      <c r="B113" s="17"/>
      <c r="C113" s="17"/>
      <c r="D113" s="17"/>
      <c r="E113" s="17"/>
      <c r="F113" s="36">
        <f t="shared" ca="1" si="11"/>
        <v>0.45335946086278023</v>
      </c>
      <c r="G113" s="93">
        <f t="shared" ca="1" si="12"/>
        <v>1</v>
      </c>
      <c r="H113" s="17"/>
      <c r="I113" s="17"/>
      <c r="J113" s="50" t="s">
        <v>2160</v>
      </c>
      <c r="K113" s="50"/>
      <c r="L113" s="17"/>
      <c r="M113" s="17"/>
      <c r="N113" s="17"/>
      <c r="O113" s="17"/>
      <c r="P113" s="17"/>
      <c r="Q113" s="17"/>
      <c r="R113" s="17"/>
      <c r="S113" s="17"/>
      <c r="T113" s="17"/>
      <c r="U113" s="17"/>
      <c r="V113" s="129" t="str">
        <f t="shared" si="13"/>
        <v>35 years</v>
      </c>
      <c r="W113" s="17">
        <v>35</v>
      </c>
      <c r="X113" s="17" t="str">
        <f>IF(Language&lt;&gt;5,'Basic Values'!$B$9,IF(W113&lt;5,"lata","lat"))</f>
        <v>years</v>
      </c>
      <c r="Y113" s="17">
        <f t="shared" si="14"/>
        <v>0</v>
      </c>
      <c r="Z113" s="70">
        <f>IF(Y113&lt;&gt;0,(PerpetuityBaseValue*IF(PerpetuityGrowing=2,(1+Result!$G$28/100)^Specs!W113,1))/(1+DiscYear/100)^$W113,0)</f>
        <v>0</v>
      </c>
      <c r="AA113" s="17">
        <f t="shared" si="15"/>
        <v>0</v>
      </c>
      <c r="AB113" s="70">
        <f>IF(AA113&lt;&gt;0,(PerpetuityBaseValueEquity*IF(PerpetuityGrowing=2,1+Result!$G$108/100,1))/(1+DiscYearEquity/100)^$W113,0)</f>
        <v>0</v>
      </c>
      <c r="AC113" s="70">
        <f>IF(Y113&lt;&gt;0,(PerpetuityBaseValue*IF(PerpetuityGrowing=2,(1+Result!$G$28/100)^Specs!W113,1))/(1+Calculations!$D$1051)^$W113,0)</f>
        <v>0</v>
      </c>
      <c r="AD113" s="70">
        <f>IF(Y113&lt;&gt;0,(PerpetuityBaseValue*IF(PerpetuityGrowing=2,(1+Result!$G$28/100)^Specs!W113,1))/(1+Calculations!$D$1052)^$W113,0)</f>
        <v>0</v>
      </c>
      <c r="AE113" s="70">
        <f>IF(Y113&lt;&gt;0,(PerpetuityBaseValue*IF(PerpetuityGrowing=2,(1+Result!$G$28/100)^Specs!W113,1))/(1+Calculations!$D$1054)^$W113,0)</f>
        <v>0</v>
      </c>
      <c r="AF113" s="70">
        <f>IF(Y113&lt;&gt;0,(PerpetuityBaseValue*IF(PerpetuityGrowing=2,(1+Result!$G$28/100)^Specs!W113,1))/(1+Calculations!$D$1055)^$W113,0)</f>
        <v>0</v>
      </c>
    </row>
    <row r="114" spans="1:32" ht="12.75" customHeight="1" x14ac:dyDescent="0.35">
      <c r="A114" s="17"/>
      <c r="B114" s="17"/>
      <c r="C114" s="17"/>
      <c r="D114" s="17"/>
      <c r="E114" s="17"/>
      <c r="F114" s="36">
        <f t="shared" ca="1" si="11"/>
        <v>0.45335946086278023</v>
      </c>
      <c r="G114" s="1239">
        <v>0</v>
      </c>
      <c r="H114" s="17"/>
      <c r="I114" s="17"/>
      <c r="J114" s="21" t="s">
        <v>2161</v>
      </c>
      <c r="K114" s="21" t="s">
        <v>1952</v>
      </c>
      <c r="L114" s="21" t="s">
        <v>2162</v>
      </c>
      <c r="M114" s="21" t="s">
        <v>2163</v>
      </c>
      <c r="N114" s="21" t="s">
        <v>2164</v>
      </c>
      <c r="O114" s="167" t="s">
        <v>5280</v>
      </c>
      <c r="P114" s="17"/>
      <c r="Q114" s="17"/>
      <c r="R114" s="17"/>
      <c r="S114" s="17"/>
      <c r="T114" s="17"/>
      <c r="U114" s="17"/>
      <c r="V114" s="129" t="str">
        <f t="shared" si="13"/>
        <v>36 years</v>
      </c>
      <c r="W114" s="17">
        <v>36</v>
      </c>
      <c r="X114" s="17" t="str">
        <f>IF(Language&lt;&gt;5,'Basic Values'!$B$9,IF(W114&lt;5,"lata","lat"))</f>
        <v>years</v>
      </c>
      <c r="Y114" s="17">
        <f t="shared" si="14"/>
        <v>0</v>
      </c>
      <c r="Z114" s="70">
        <f>IF(Y114&lt;&gt;0,(PerpetuityBaseValue*IF(PerpetuityGrowing=2,(1+Result!$G$28/100)^Specs!W114,1))/(1+DiscYear/100)^$W114,0)</f>
        <v>0</v>
      </c>
      <c r="AA114" s="17">
        <f t="shared" si="15"/>
        <v>0</v>
      </c>
      <c r="AB114" s="70">
        <f>IF(AA114&lt;&gt;0,(PerpetuityBaseValueEquity*IF(PerpetuityGrowing=2,1+Result!$G$108/100,1))/(1+DiscYearEquity/100)^$W114,0)</f>
        <v>0</v>
      </c>
      <c r="AC114" s="70">
        <f>IF(Y114&lt;&gt;0,(PerpetuityBaseValue*IF(PerpetuityGrowing=2,(1+Result!$G$28/100)^Specs!W114,1))/(1+Calculations!$D$1051)^$W114,0)</f>
        <v>0</v>
      </c>
      <c r="AD114" s="70">
        <f>IF(Y114&lt;&gt;0,(PerpetuityBaseValue*IF(PerpetuityGrowing=2,(1+Result!$G$28/100)^Specs!W114,1))/(1+Calculations!$D$1052)^$W114,0)</f>
        <v>0</v>
      </c>
      <c r="AE114" s="70">
        <f>IF(Y114&lt;&gt;0,(PerpetuityBaseValue*IF(PerpetuityGrowing=2,(1+Result!$G$28/100)^Specs!W114,1))/(1+Calculations!$D$1054)^$W114,0)</f>
        <v>0</v>
      </c>
      <c r="AF114" s="70">
        <f>IF(Y114&lt;&gt;0,(PerpetuityBaseValue*IF(PerpetuityGrowing=2,(1+Result!$G$28/100)^Specs!W114,1))/(1+Calculations!$D$1055)^$W114,0)</f>
        <v>0</v>
      </c>
    </row>
    <row r="115" spans="1:32" ht="12.75" customHeight="1" x14ac:dyDescent="0.35">
      <c r="A115" s="17"/>
      <c r="B115" s="17"/>
      <c r="C115" s="17"/>
      <c r="D115" s="17"/>
      <c r="E115" s="17"/>
      <c r="F115" s="36">
        <f t="shared" ca="1" si="11"/>
        <v>0.45335946086278023</v>
      </c>
      <c r="G115" s="93">
        <f t="shared" ca="1" si="12"/>
        <v>1</v>
      </c>
      <c r="H115" s="17"/>
      <c r="I115" s="17">
        <v>2017</v>
      </c>
      <c r="J115" s="17" t="s">
        <v>6260</v>
      </c>
      <c r="K115" s="17">
        <v>-2</v>
      </c>
      <c r="L115" s="17">
        <v>0</v>
      </c>
      <c r="M115" s="17">
        <v>2</v>
      </c>
      <c r="N115" s="17">
        <v>2</v>
      </c>
      <c r="O115" s="17">
        <v>1</v>
      </c>
      <c r="P115" s="17"/>
      <c r="Q115" s="17"/>
      <c r="R115" s="17"/>
      <c r="S115" s="17"/>
      <c r="T115" s="17"/>
      <c r="U115" s="17"/>
      <c r="V115" s="129" t="str">
        <f t="shared" si="13"/>
        <v>37 years</v>
      </c>
      <c r="W115" s="17">
        <v>37</v>
      </c>
      <c r="X115" s="17" t="str">
        <f>IF(Language&lt;&gt;5,'Basic Values'!$B$9,IF(W115&lt;5,"lata","lat"))</f>
        <v>years</v>
      </c>
      <c r="Y115" s="17">
        <f t="shared" si="14"/>
        <v>0</v>
      </c>
      <c r="Z115" s="70">
        <f>IF(Y115&lt;&gt;0,(PerpetuityBaseValue*IF(PerpetuityGrowing=2,(1+Result!$G$28/100)^Specs!W115,1))/(1+DiscYear/100)^$W115,0)</f>
        <v>0</v>
      </c>
      <c r="AA115" s="17">
        <f t="shared" si="15"/>
        <v>0</v>
      </c>
      <c r="AB115" s="70">
        <f>IF(AA115&lt;&gt;0,(PerpetuityBaseValueEquity*IF(PerpetuityGrowing=2,1+Result!$G$108/100,1))/(1+DiscYearEquity/100)^$W115,0)</f>
        <v>0</v>
      </c>
      <c r="AC115" s="70">
        <f>IF(Y115&lt;&gt;0,(PerpetuityBaseValue*IF(PerpetuityGrowing=2,(1+Result!$G$28/100)^Specs!W115,1))/(1+Calculations!$D$1051)^$W115,0)</f>
        <v>0</v>
      </c>
      <c r="AD115" s="70">
        <f>IF(Y115&lt;&gt;0,(PerpetuityBaseValue*IF(PerpetuityGrowing=2,(1+Result!$G$28/100)^Specs!W115,1))/(1+Calculations!$D$1052)^$W115,0)</f>
        <v>0</v>
      </c>
      <c r="AE115" s="70">
        <f>IF(Y115&lt;&gt;0,(PerpetuityBaseValue*IF(PerpetuityGrowing=2,(1+Result!$G$28/100)^Specs!W115,1))/(1+Calculations!$D$1054)^$W115,0)</f>
        <v>0</v>
      </c>
      <c r="AF115" s="70">
        <f>IF(Y115&lt;&gt;0,(PerpetuityBaseValue*IF(PerpetuityGrowing=2,(1+Result!$G$28/100)^Specs!W115,1))/(1+Calculations!$D$1055)^$W115,0)</f>
        <v>0</v>
      </c>
    </row>
    <row r="116" spans="1:32" ht="12.75" customHeight="1" x14ac:dyDescent="0.35">
      <c r="A116" s="17"/>
      <c r="B116" s="17"/>
      <c r="C116" s="17"/>
      <c r="D116" s="17"/>
      <c r="E116" s="17"/>
      <c r="F116" s="36">
        <f t="shared" ca="1" si="11"/>
        <v>0.45335946086278023</v>
      </c>
      <c r="G116" s="1239">
        <v>0</v>
      </c>
      <c r="H116" s="17"/>
      <c r="I116" s="17"/>
      <c r="J116" s="17" t="s">
        <v>6261</v>
      </c>
      <c r="K116" s="17">
        <v>25</v>
      </c>
      <c r="L116" s="17">
        <v>0</v>
      </c>
      <c r="M116" s="17">
        <v>2</v>
      </c>
      <c r="N116" s="17">
        <v>2</v>
      </c>
      <c r="O116" s="17"/>
      <c r="P116" s="17"/>
      <c r="Q116" s="17"/>
      <c r="R116" s="17"/>
      <c r="S116" s="17"/>
      <c r="T116" s="17"/>
      <c r="U116" s="17"/>
      <c r="V116" s="129" t="str">
        <f t="shared" si="13"/>
        <v>38 years</v>
      </c>
      <c r="W116" s="17">
        <v>38</v>
      </c>
      <c r="X116" s="17" t="str">
        <f>IF(Language&lt;&gt;5,'Basic Values'!$B$9,IF(W116&lt;5,"lata","lat"))</f>
        <v>years</v>
      </c>
      <c r="Y116" s="17">
        <f t="shared" si="14"/>
        <v>0</v>
      </c>
      <c r="Z116" s="70">
        <f>IF(Y116&lt;&gt;0,(PerpetuityBaseValue*IF(PerpetuityGrowing=2,(1+Result!$G$28/100)^Specs!W116,1))/(1+DiscYear/100)^$W116,0)</f>
        <v>0</v>
      </c>
      <c r="AA116" s="17">
        <f t="shared" si="15"/>
        <v>0</v>
      </c>
      <c r="AB116" s="70">
        <f>IF(AA116&lt;&gt;0,(PerpetuityBaseValueEquity*IF(PerpetuityGrowing=2,1+Result!$G$108/100,1))/(1+DiscYearEquity/100)^$W116,0)</f>
        <v>0</v>
      </c>
      <c r="AC116" s="70">
        <f>IF(Y116&lt;&gt;0,(PerpetuityBaseValue*IF(PerpetuityGrowing=2,(1+Result!$G$28/100)^Specs!W116,1))/(1+Calculations!$D$1051)^$W116,0)</f>
        <v>0</v>
      </c>
      <c r="AD116" s="70">
        <f>IF(Y116&lt;&gt;0,(PerpetuityBaseValue*IF(PerpetuityGrowing=2,(1+Result!$G$28/100)^Specs!W116,1))/(1+Calculations!$D$1052)^$W116,0)</f>
        <v>0</v>
      </c>
      <c r="AE116" s="70">
        <f>IF(Y116&lt;&gt;0,(PerpetuityBaseValue*IF(PerpetuityGrowing=2,(1+Result!$G$28/100)^Specs!W116,1))/(1+Calculations!$D$1054)^$W116,0)</f>
        <v>0</v>
      </c>
      <c r="AF116" s="70">
        <f>IF(Y116&lt;&gt;0,(PerpetuityBaseValue*IF(PerpetuityGrowing=2,(1+Result!$G$28/100)^Specs!W116,1))/(1+Calculations!$D$1055)^$W116,0)</f>
        <v>0</v>
      </c>
    </row>
    <row r="117" spans="1:32" ht="12.75" customHeight="1" x14ac:dyDescent="0.35">
      <c r="A117" s="17"/>
      <c r="B117" s="17"/>
      <c r="C117" s="17"/>
      <c r="D117" s="17"/>
      <c r="E117" s="17"/>
      <c r="F117" s="36">
        <f t="shared" ca="1" si="11"/>
        <v>0.45335946086278023</v>
      </c>
      <c r="G117" s="93">
        <f t="shared" ca="1" si="12"/>
        <v>1</v>
      </c>
      <c r="H117" s="17"/>
      <c r="I117" s="17"/>
      <c r="J117" s="17" t="s">
        <v>6262</v>
      </c>
      <c r="K117" s="17">
        <v>0</v>
      </c>
      <c r="L117" s="17">
        <v>1</v>
      </c>
      <c r="M117" s="17">
        <v>2</v>
      </c>
      <c r="N117" s="17">
        <v>2</v>
      </c>
      <c r="O117" s="17"/>
      <c r="P117" s="17"/>
      <c r="Q117" s="17"/>
      <c r="R117" s="17"/>
      <c r="S117" s="17"/>
      <c r="T117" s="17"/>
      <c r="U117" s="17"/>
      <c r="V117" s="129" t="str">
        <f t="shared" si="13"/>
        <v>39 years</v>
      </c>
      <c r="W117" s="17">
        <v>39</v>
      </c>
      <c r="X117" s="17" t="str">
        <f>IF(Language&lt;&gt;5,'Basic Values'!$B$9,IF(W117&lt;5,"lata","lat"))</f>
        <v>years</v>
      </c>
      <c r="Y117" s="17">
        <f t="shared" si="14"/>
        <v>0</v>
      </c>
      <c r="Z117" s="70">
        <f>IF(Y117&lt;&gt;0,(PerpetuityBaseValue*IF(PerpetuityGrowing=2,(1+Result!$G$28/100)^Specs!W117,1))/(1+DiscYear/100)^$W117,0)</f>
        <v>0</v>
      </c>
      <c r="AA117" s="17">
        <f t="shared" si="15"/>
        <v>0</v>
      </c>
      <c r="AB117" s="70">
        <f>IF(AA117&lt;&gt;0,(PerpetuityBaseValueEquity*IF(PerpetuityGrowing=2,1+Result!$G$108/100,1))/(1+DiscYearEquity/100)^$W117,0)</f>
        <v>0</v>
      </c>
      <c r="AC117" s="70">
        <f>IF(Y117&lt;&gt;0,(PerpetuityBaseValue*IF(PerpetuityGrowing=2,(1+Result!$G$28/100)^Specs!W117,1))/(1+Calculations!$D$1051)^$W117,0)</f>
        <v>0</v>
      </c>
      <c r="AD117" s="70">
        <f>IF(Y117&lt;&gt;0,(PerpetuityBaseValue*IF(PerpetuityGrowing=2,(1+Result!$G$28/100)^Specs!W117,1))/(1+Calculations!$D$1052)^$W117,0)</f>
        <v>0</v>
      </c>
      <c r="AE117" s="70">
        <f>IF(Y117&lt;&gt;0,(PerpetuityBaseValue*IF(PerpetuityGrowing=2,(1+Result!$G$28/100)^Specs!W117,1))/(1+Calculations!$D$1054)^$W117,0)</f>
        <v>0</v>
      </c>
      <c r="AF117" s="70">
        <f>IF(Y117&lt;&gt;0,(PerpetuityBaseValue*IF(PerpetuityGrowing=2,(1+Result!$G$28/100)^Specs!W117,1))/(1+Calculations!$D$1055)^$W117,0)</f>
        <v>0</v>
      </c>
    </row>
    <row r="118" spans="1:32" ht="12.75" customHeight="1" x14ac:dyDescent="0.35">
      <c r="A118" s="17"/>
      <c r="B118" s="17"/>
      <c r="C118" s="17"/>
      <c r="D118" s="17"/>
      <c r="E118" s="17"/>
      <c r="F118" s="36">
        <f t="shared" ca="1" si="11"/>
        <v>0.45335946086278023</v>
      </c>
      <c r="G118" s="1239">
        <v>0</v>
      </c>
      <c r="H118" s="17"/>
      <c r="I118" s="17"/>
      <c r="J118" s="17" t="s">
        <v>6263</v>
      </c>
      <c r="K118" s="17">
        <v>0</v>
      </c>
      <c r="L118" s="17">
        <v>0</v>
      </c>
      <c r="M118" s="17">
        <v>2</v>
      </c>
      <c r="N118" s="17">
        <v>2</v>
      </c>
      <c r="O118" s="17"/>
      <c r="P118" s="17"/>
      <c r="Q118" s="17"/>
      <c r="R118" s="17"/>
      <c r="S118" s="17"/>
      <c r="T118" s="17"/>
      <c r="U118" s="17"/>
      <c r="V118" s="129" t="str">
        <f t="shared" si="13"/>
        <v>40 years</v>
      </c>
      <c r="W118" s="17">
        <v>40</v>
      </c>
      <c r="X118" s="17" t="str">
        <f>IF(Language&lt;&gt;5,'Basic Values'!$B$9,IF(W118&lt;5,"lata","lat"))</f>
        <v>years</v>
      </c>
      <c r="Y118" s="17">
        <f t="shared" si="14"/>
        <v>0</v>
      </c>
      <c r="Z118" s="70">
        <f>IF(Y118&lt;&gt;0,(PerpetuityBaseValue*IF(PerpetuityGrowing=2,(1+Result!$G$28/100)^Specs!W118,1))/(1+DiscYear/100)^$W118,0)</f>
        <v>0</v>
      </c>
      <c r="AA118" s="17">
        <f t="shared" si="15"/>
        <v>0</v>
      </c>
      <c r="AB118" s="70">
        <f>IF(AA118&lt;&gt;0,(PerpetuityBaseValueEquity*IF(PerpetuityGrowing=2,1+Result!$G$108/100,1))/(1+DiscYearEquity/100)^$W118,0)</f>
        <v>0</v>
      </c>
      <c r="AC118" s="70">
        <f>IF(Y118&lt;&gt;0,(PerpetuityBaseValue*IF(PerpetuityGrowing=2,(1+Result!$G$28/100)^Specs!W118,1))/(1+Calculations!$D$1051)^$W118,0)</f>
        <v>0</v>
      </c>
      <c r="AD118" s="70">
        <f>IF(Y118&lt;&gt;0,(PerpetuityBaseValue*IF(PerpetuityGrowing=2,(1+Result!$G$28/100)^Specs!W118,1))/(1+Calculations!$D$1052)^$W118,0)</f>
        <v>0</v>
      </c>
      <c r="AE118" s="70">
        <f>IF(Y118&lt;&gt;0,(PerpetuityBaseValue*IF(PerpetuityGrowing=2,(1+Result!$G$28/100)^Specs!W118,1))/(1+Calculations!$D$1054)^$W118,0)</f>
        <v>0</v>
      </c>
      <c r="AF118" s="70">
        <f>IF(Y118&lt;&gt;0,(PerpetuityBaseValue*IF(PerpetuityGrowing=2,(1+Result!$G$28/100)^Specs!W118,1))/(1+Calculations!$D$1055)^$W118,0)</f>
        <v>0</v>
      </c>
    </row>
    <row r="119" spans="1:32" ht="12.75" customHeight="1" x14ac:dyDescent="0.35">
      <c r="A119" s="17"/>
      <c r="B119" s="17"/>
      <c r="C119" s="17"/>
      <c r="D119" s="17"/>
      <c r="E119" s="17"/>
      <c r="F119" s="36">
        <f t="shared" ca="1" si="11"/>
        <v>0.45335946086278023</v>
      </c>
      <c r="G119" s="93">
        <f t="shared" ca="1" si="12"/>
        <v>1</v>
      </c>
      <c r="H119" s="17"/>
      <c r="I119" s="17"/>
      <c r="J119" s="17" t="s">
        <v>591</v>
      </c>
      <c r="K119" s="17">
        <v>0</v>
      </c>
      <c r="L119" s="17">
        <v>1</v>
      </c>
      <c r="M119" s="17">
        <v>2</v>
      </c>
      <c r="N119" s="17">
        <v>2</v>
      </c>
      <c r="O119" s="17"/>
      <c r="P119" s="17"/>
      <c r="Q119" s="17"/>
      <c r="R119" s="17"/>
      <c r="S119" s="17"/>
      <c r="T119" s="17"/>
      <c r="U119" s="17"/>
      <c r="V119" s="129" t="str">
        <f t="shared" si="13"/>
        <v>41 years</v>
      </c>
      <c r="W119" s="17">
        <v>41</v>
      </c>
      <c r="X119" s="17" t="str">
        <f>IF(Language&lt;&gt;5,'Basic Values'!$B$9,IF(W119&lt;5,"lata","lat"))</f>
        <v>years</v>
      </c>
      <c r="Y119" s="17">
        <f t="shared" si="14"/>
        <v>0</v>
      </c>
      <c r="Z119" s="70">
        <f>IF(Y119&lt;&gt;0,(PerpetuityBaseValue*IF(PerpetuityGrowing=2,(1+Result!$G$28/100)^Specs!W119,1))/(1+DiscYear/100)^$W119,0)</f>
        <v>0</v>
      </c>
      <c r="AA119" s="17">
        <f t="shared" si="15"/>
        <v>0</v>
      </c>
      <c r="AB119" s="70">
        <f>IF(AA119&lt;&gt;0,(PerpetuityBaseValueEquity*IF(PerpetuityGrowing=2,1+Result!$G$108/100,1))/(1+DiscYearEquity/100)^$W119,0)</f>
        <v>0</v>
      </c>
      <c r="AC119" s="70">
        <f>IF(Y119&lt;&gt;0,(PerpetuityBaseValue*IF(PerpetuityGrowing=2,(1+Result!$G$28/100)^Specs!W119,1))/(1+Calculations!$D$1051)^$W119,0)</f>
        <v>0</v>
      </c>
      <c r="AD119" s="70">
        <f>IF(Y119&lt;&gt;0,(PerpetuityBaseValue*IF(PerpetuityGrowing=2,(1+Result!$G$28/100)^Specs!W119,1))/(1+Calculations!$D$1052)^$W119,0)</f>
        <v>0</v>
      </c>
      <c r="AE119" s="70">
        <f>IF(Y119&lt;&gt;0,(PerpetuityBaseValue*IF(PerpetuityGrowing=2,(1+Result!$G$28/100)^Specs!W119,1))/(1+Calculations!$D$1054)^$W119,0)</f>
        <v>0</v>
      </c>
      <c r="AF119" s="70">
        <f>IF(Y119&lt;&gt;0,(PerpetuityBaseValue*IF(PerpetuityGrowing=2,(1+Result!$G$28/100)^Specs!W119,1))/(1+Calculations!$D$1055)^$W119,0)</f>
        <v>0</v>
      </c>
    </row>
    <row r="120" spans="1:32" ht="12.75" customHeight="1" x14ac:dyDescent="0.35">
      <c r="A120" s="17"/>
      <c r="B120" s="17"/>
      <c r="C120" s="17"/>
      <c r="D120" s="17"/>
      <c r="E120" s="17"/>
      <c r="F120" s="43">
        <f t="shared" ca="1" si="11"/>
        <v>0.45335946086278023</v>
      </c>
      <c r="G120" s="95">
        <f t="shared" ca="1" si="12"/>
        <v>1</v>
      </c>
      <c r="H120" s="17"/>
      <c r="I120" s="17"/>
      <c r="J120" s="17"/>
      <c r="K120" s="17"/>
      <c r="L120" s="17"/>
      <c r="M120" s="17"/>
      <c r="N120" s="17"/>
      <c r="O120" s="17"/>
      <c r="P120" s="17"/>
      <c r="Q120" s="17"/>
      <c r="R120" s="17"/>
      <c r="S120" s="17"/>
      <c r="T120" s="17"/>
      <c r="U120" s="17"/>
      <c r="V120" s="129" t="str">
        <f t="shared" si="13"/>
        <v>42 years</v>
      </c>
      <c r="W120" s="17">
        <v>42</v>
      </c>
      <c r="X120" s="17" t="str">
        <f>IF(Language&lt;&gt;5,'Basic Values'!$B$9,IF(W120&lt;5,"lata","lat"))</f>
        <v>years</v>
      </c>
      <c r="Y120" s="17">
        <f t="shared" si="14"/>
        <v>0</v>
      </c>
      <c r="Z120" s="70">
        <f>IF(Y120&lt;&gt;0,(PerpetuityBaseValue*IF(PerpetuityGrowing=2,(1+Result!$G$28/100)^Specs!W120,1))/(1+DiscYear/100)^$W120,0)</f>
        <v>0</v>
      </c>
      <c r="AA120" s="17">
        <f t="shared" si="15"/>
        <v>0</v>
      </c>
      <c r="AB120" s="70">
        <f>IF(AA120&lt;&gt;0,(PerpetuityBaseValueEquity*IF(PerpetuityGrowing=2,1+Result!$G$108/100,1))/(1+DiscYearEquity/100)^$W120,0)</f>
        <v>0</v>
      </c>
      <c r="AC120" s="70">
        <f>IF(Y120&lt;&gt;0,(PerpetuityBaseValue*IF(PerpetuityGrowing=2,(1+Result!$G$28/100)^Specs!W120,1))/(1+Calculations!$D$1051)^$W120,0)</f>
        <v>0</v>
      </c>
      <c r="AD120" s="70">
        <f>IF(Y120&lt;&gt;0,(PerpetuityBaseValue*IF(PerpetuityGrowing=2,(1+Result!$G$28/100)^Specs!W120,1))/(1+Calculations!$D$1052)^$W120,0)</f>
        <v>0</v>
      </c>
      <c r="AE120" s="70">
        <f>IF(Y120&lt;&gt;0,(PerpetuityBaseValue*IF(PerpetuityGrowing=2,(1+Result!$G$28/100)^Specs!W120,1))/(1+Calculations!$D$1054)^$W120,0)</f>
        <v>0</v>
      </c>
      <c r="AF120" s="70">
        <f>IF(Y120&lt;&gt;0,(PerpetuityBaseValue*IF(PerpetuityGrowing=2,(1+Result!$G$28/100)^Specs!W120,1))/(1+Calculations!$D$1055)^$W120,0)</f>
        <v>0</v>
      </c>
    </row>
    <row r="121" spans="1:32" ht="12.75" customHeight="1" x14ac:dyDescent="0.35">
      <c r="A121" s="17"/>
      <c r="B121" s="17"/>
      <c r="C121" s="17"/>
      <c r="D121" s="17"/>
      <c r="E121" s="17"/>
      <c r="F121" s="96" t="s">
        <v>2165</v>
      </c>
      <c r="G121" s="17"/>
      <c r="H121" s="17"/>
      <c r="I121" s="17"/>
      <c r="J121" s="17"/>
      <c r="K121" s="17"/>
      <c r="L121" s="17"/>
      <c r="M121" s="17"/>
      <c r="N121" s="17"/>
      <c r="O121" s="17"/>
      <c r="P121" s="17"/>
      <c r="Q121" s="17"/>
      <c r="R121" s="17"/>
      <c r="S121" s="17"/>
      <c r="T121" s="17"/>
      <c r="U121" s="17"/>
      <c r="V121" s="129" t="str">
        <f t="shared" si="13"/>
        <v>43 years</v>
      </c>
      <c r="W121" s="17">
        <v>43</v>
      </c>
      <c r="X121" s="17" t="str">
        <f>IF(Language&lt;&gt;5,'Basic Values'!$B$9,IF(W121&lt;5,"lata","lat"))</f>
        <v>years</v>
      </c>
      <c r="Y121" s="17">
        <f t="shared" si="14"/>
        <v>0</v>
      </c>
      <c r="Z121" s="70">
        <f>IF(Y121&lt;&gt;0,(PerpetuityBaseValue*IF(PerpetuityGrowing=2,(1+Result!$G$28/100)^Specs!W121,1))/(1+DiscYear/100)^$W121,0)</f>
        <v>0</v>
      </c>
      <c r="AA121" s="17">
        <f t="shared" si="15"/>
        <v>0</v>
      </c>
      <c r="AB121" s="70">
        <f>IF(AA121&lt;&gt;0,(PerpetuityBaseValueEquity*IF(PerpetuityGrowing=2,1+Result!$G$108/100,1))/(1+DiscYearEquity/100)^$W121,0)</f>
        <v>0</v>
      </c>
      <c r="AC121" s="70">
        <f>IF(Y121&lt;&gt;0,(PerpetuityBaseValue*IF(PerpetuityGrowing=2,(1+Result!$G$28/100)^Specs!W121,1))/(1+Calculations!$D$1051)^$W121,0)</f>
        <v>0</v>
      </c>
      <c r="AD121" s="70">
        <f>IF(Y121&lt;&gt;0,(PerpetuityBaseValue*IF(PerpetuityGrowing=2,(1+Result!$G$28/100)^Specs!W121,1))/(1+Calculations!$D$1052)^$W121,0)</f>
        <v>0</v>
      </c>
      <c r="AE121" s="70">
        <f>IF(Y121&lt;&gt;0,(PerpetuityBaseValue*IF(PerpetuityGrowing=2,(1+Result!$G$28/100)^Specs!W121,1))/(1+Calculations!$D$1054)^$W121,0)</f>
        <v>0</v>
      </c>
      <c r="AF121" s="70">
        <f>IF(Y121&lt;&gt;0,(PerpetuityBaseValue*IF(PerpetuityGrowing=2,(1+Result!$G$28/100)^Specs!W121,1))/(1+Calculations!$D$1055)^$W121,0)</f>
        <v>0</v>
      </c>
    </row>
    <row r="122" spans="1:32" ht="12.75" customHeight="1" x14ac:dyDescent="0.35">
      <c r="A122" s="17"/>
      <c r="B122" s="17"/>
      <c r="C122" s="17"/>
      <c r="D122" s="17"/>
      <c r="E122" s="17"/>
      <c r="F122" s="1236">
        <f ca="1">IF(AND(G122&lt;&gt;G124,G125&lt;&gt;0),IF(G122&gt;-G125,G122,G124),G122)</f>
        <v>0.45335946086278023</v>
      </c>
      <c r="G122" s="133">
        <f ca="1">MIN(F99:F120)</f>
        <v>0.45335946086278023</v>
      </c>
      <c r="H122" s="17"/>
      <c r="I122" s="17"/>
      <c r="J122" s="17"/>
      <c r="K122" s="17"/>
      <c r="L122" s="17"/>
      <c r="M122" s="17"/>
      <c r="N122" s="17"/>
      <c r="O122" s="17"/>
      <c r="P122" s="17"/>
      <c r="Q122" s="17"/>
      <c r="R122" s="17"/>
      <c r="S122" s="17"/>
      <c r="T122" s="17"/>
      <c r="U122" s="17"/>
      <c r="V122" s="129" t="str">
        <f t="shared" si="13"/>
        <v>44 years</v>
      </c>
      <c r="W122" s="17">
        <v>44</v>
      </c>
      <c r="X122" s="17" t="str">
        <f>IF(Language&lt;&gt;5,'Basic Values'!$B$9,IF(W122&lt;5,"lata","lat"))</f>
        <v>years</v>
      </c>
      <c r="Y122" s="17">
        <f t="shared" si="14"/>
        <v>0</v>
      </c>
      <c r="Z122" s="70">
        <f>IF(Y122&lt;&gt;0,(PerpetuityBaseValue*IF(PerpetuityGrowing=2,(1+Result!$G$28/100)^Specs!W122,1))/(1+DiscYear/100)^$W122,0)</f>
        <v>0</v>
      </c>
      <c r="AA122" s="17">
        <f t="shared" si="15"/>
        <v>0</v>
      </c>
      <c r="AB122" s="70">
        <f>IF(AA122&lt;&gt;0,(PerpetuityBaseValueEquity*IF(PerpetuityGrowing=2,1+Result!$G$108/100,1))/(1+DiscYearEquity/100)^$W122,0)</f>
        <v>0</v>
      </c>
      <c r="AC122" s="70">
        <f>IF(Y122&lt;&gt;0,(PerpetuityBaseValue*IF(PerpetuityGrowing=2,(1+Result!$G$28/100)^Specs!W122,1))/(1+Calculations!$D$1051)^$W122,0)</f>
        <v>0</v>
      </c>
      <c r="AD122" s="70">
        <f>IF(Y122&lt;&gt;0,(PerpetuityBaseValue*IF(PerpetuityGrowing=2,(1+Result!$G$28/100)^Specs!W122,1))/(1+Calculations!$D$1052)^$W122,0)</f>
        <v>0</v>
      </c>
      <c r="AE122" s="70">
        <f>IF(Y122&lt;&gt;0,(PerpetuityBaseValue*IF(PerpetuityGrowing=2,(1+Result!$G$28/100)^Specs!W122,1))/(1+Calculations!$D$1054)^$W122,0)</f>
        <v>0</v>
      </c>
      <c r="AF122" s="70">
        <f>IF(Y122&lt;&gt;0,(PerpetuityBaseValue*IF(PerpetuityGrowing=2,(1+Result!$G$28/100)^Specs!W122,1))/(1+Calculations!$D$1055)^$W122,0)</f>
        <v>0</v>
      </c>
    </row>
    <row r="123" spans="1:32" ht="12.75" customHeight="1" x14ac:dyDescent="0.35">
      <c r="A123" s="17"/>
      <c r="B123" s="17"/>
      <c r="C123" s="17"/>
      <c r="D123" s="17"/>
      <c r="E123" s="17"/>
      <c r="F123" s="85" t="s">
        <v>2166</v>
      </c>
      <c r="G123" s="133">
        <f ca="1">ABS(SUMIF(IrrCashFlow,"&gt;0")/-SUMIF(IrrCashFlow,"&lt;0")-1)</f>
        <v>1.9665956921675321</v>
      </c>
      <c r="H123" s="17"/>
      <c r="I123" s="17"/>
      <c r="J123" s="17"/>
      <c r="K123" s="17"/>
      <c r="L123" s="17"/>
      <c r="M123" s="17"/>
      <c r="N123" s="17"/>
      <c r="O123" s="17"/>
      <c r="P123" s="17"/>
      <c r="Q123" s="17"/>
      <c r="R123" s="17"/>
      <c r="S123" s="17"/>
      <c r="T123" s="17"/>
      <c r="U123" s="17"/>
      <c r="V123" s="129" t="str">
        <f t="shared" si="13"/>
        <v>45 years</v>
      </c>
      <c r="W123" s="17">
        <v>45</v>
      </c>
      <c r="X123" s="17" t="str">
        <f>IF(Language&lt;&gt;5,'Basic Values'!$B$9,IF(W123&lt;5,"lata","lat"))</f>
        <v>years</v>
      </c>
      <c r="Y123" s="17">
        <f t="shared" si="14"/>
        <v>0</v>
      </c>
      <c r="Z123" s="70">
        <f>IF(Y123&lt;&gt;0,(PerpetuityBaseValue*IF(PerpetuityGrowing=2,(1+Result!$G$28/100)^Specs!W123,1))/(1+DiscYear/100)^$W123,0)</f>
        <v>0</v>
      </c>
      <c r="AA123" s="17">
        <f t="shared" si="15"/>
        <v>0</v>
      </c>
      <c r="AB123" s="70">
        <f>IF(AA123&lt;&gt;0,(PerpetuityBaseValueEquity*IF(PerpetuityGrowing=2,1+Result!$G$108/100,1))/(1+DiscYearEquity/100)^$W123,0)</f>
        <v>0</v>
      </c>
      <c r="AC123" s="70">
        <f>IF(Y123&lt;&gt;0,(PerpetuityBaseValue*IF(PerpetuityGrowing=2,(1+Result!$G$28/100)^Specs!W123,1))/(1+Calculations!$D$1051)^$W123,0)</f>
        <v>0</v>
      </c>
      <c r="AD123" s="70">
        <f>IF(Y123&lt;&gt;0,(PerpetuityBaseValue*IF(PerpetuityGrowing=2,(1+Result!$G$28/100)^Specs!W123,1))/(1+Calculations!$D$1052)^$W123,0)</f>
        <v>0</v>
      </c>
      <c r="AE123" s="70">
        <f>IF(Y123&lt;&gt;0,(PerpetuityBaseValue*IF(PerpetuityGrowing=2,(1+Result!$G$28/100)^Specs!W123,1))/(1+Calculations!$D$1054)^$W123,0)</f>
        <v>0</v>
      </c>
      <c r="AF123" s="70">
        <f>IF(Y123&lt;&gt;0,(PerpetuityBaseValue*IF(PerpetuityGrowing=2,(1+Result!$G$28/100)^Specs!W123,1))/(1+Calculations!$D$1055)^$W123,0)</f>
        <v>0</v>
      </c>
    </row>
    <row r="124" spans="1:32" ht="12.75" customHeight="1" x14ac:dyDescent="0.35">
      <c r="A124" s="17"/>
      <c r="B124" s="17"/>
      <c r="C124" s="17"/>
      <c r="D124" s="17"/>
      <c r="E124" s="17"/>
      <c r="F124" s="1236">
        <f ca="1">IF(AND(G122&lt;&gt;G124,G125&lt;&gt;0),IF(G124&gt;-G125,G124,G122),G124)</f>
        <v>0.45335946086278023</v>
      </c>
      <c r="G124" s="133">
        <f ca="1">MAX(F99:F120)</f>
        <v>0.45335946086278023</v>
      </c>
      <c r="H124" s="17"/>
      <c r="I124" s="17"/>
      <c r="J124" s="17"/>
      <c r="K124" s="17"/>
      <c r="L124" s="17"/>
      <c r="M124" s="17"/>
      <c r="N124" s="17"/>
      <c r="O124" s="17"/>
      <c r="P124" s="17"/>
      <c r="Q124" s="17"/>
      <c r="R124" s="17"/>
      <c r="S124" s="17"/>
      <c r="T124" s="17"/>
      <c r="U124" s="17"/>
      <c r="V124" s="129" t="str">
        <f t="shared" si="13"/>
        <v>46 years</v>
      </c>
      <c r="W124" s="17">
        <v>46</v>
      </c>
      <c r="X124" s="17" t="str">
        <f>IF(Language&lt;&gt;5,'Basic Values'!$B$9,IF(W124&lt;5,"lata","lat"))</f>
        <v>years</v>
      </c>
      <c r="Y124" s="17">
        <f t="shared" si="14"/>
        <v>0</v>
      </c>
      <c r="Z124" s="70">
        <f>IF(Y124&lt;&gt;0,(PerpetuityBaseValue*IF(PerpetuityGrowing=2,(1+Result!$G$28/100)^Specs!W124,1))/(1+DiscYear/100)^$W124,0)</f>
        <v>0</v>
      </c>
      <c r="AA124" s="17">
        <f t="shared" si="15"/>
        <v>0</v>
      </c>
      <c r="AB124" s="70">
        <f>IF(AA124&lt;&gt;0,(PerpetuityBaseValueEquity*IF(PerpetuityGrowing=2,1+Result!$G$108/100,1))/(1+DiscYearEquity/100)^$W124,0)</f>
        <v>0</v>
      </c>
      <c r="AC124" s="70">
        <f>IF(Y124&lt;&gt;0,(PerpetuityBaseValue*IF(PerpetuityGrowing=2,(1+Result!$G$28/100)^Specs!W124,1))/(1+Calculations!$D$1051)^$W124,0)</f>
        <v>0</v>
      </c>
      <c r="AD124" s="70">
        <f>IF(Y124&lt;&gt;0,(PerpetuityBaseValue*IF(PerpetuityGrowing=2,(1+Result!$G$28/100)^Specs!W124,1))/(1+Calculations!$D$1052)^$W124,0)</f>
        <v>0</v>
      </c>
      <c r="AE124" s="70">
        <f>IF(Y124&lt;&gt;0,(PerpetuityBaseValue*IF(PerpetuityGrowing=2,(1+Result!$G$28/100)^Specs!W124,1))/(1+Calculations!$D$1054)^$W124,0)</f>
        <v>0</v>
      </c>
      <c r="AF124" s="70">
        <f>IF(Y124&lt;&gt;0,(PerpetuityBaseValue*IF(PerpetuityGrowing=2,(1+Result!$G$28/100)^Specs!W124,1))/(1+Calculations!$D$1055)^$W124,0)</f>
        <v>0</v>
      </c>
    </row>
    <row r="125" spans="1:32" ht="12.75" customHeight="1" x14ac:dyDescent="0.35">
      <c r="A125" s="17"/>
      <c r="B125" s="17"/>
      <c r="C125" s="17"/>
      <c r="D125" s="17"/>
      <c r="E125" s="17"/>
      <c r="F125" s="17" t="s">
        <v>4845</v>
      </c>
      <c r="G125" s="133">
        <f ca="1">IF(ISERROR(G123),0,G123)</f>
        <v>1.9665956921675321</v>
      </c>
      <c r="H125" s="17"/>
      <c r="I125" s="17"/>
      <c r="J125" s="17"/>
      <c r="K125" s="17"/>
      <c r="L125" s="17"/>
      <c r="M125" s="17"/>
      <c r="N125" s="17"/>
      <c r="O125" s="17"/>
      <c r="P125" s="17"/>
      <c r="Q125" s="17"/>
      <c r="R125" s="17"/>
      <c r="S125" s="17"/>
      <c r="T125" s="17"/>
      <c r="U125" s="17"/>
      <c r="V125" s="129" t="str">
        <f t="shared" si="13"/>
        <v>47 years</v>
      </c>
      <c r="W125" s="17">
        <v>47</v>
      </c>
      <c r="X125" s="17" t="str">
        <f>IF(Language&lt;&gt;5,'Basic Values'!$B$9,IF(W125&lt;5,"lata","lat"))</f>
        <v>years</v>
      </c>
      <c r="Y125" s="17">
        <f t="shared" si="14"/>
        <v>0</v>
      </c>
      <c r="Z125" s="70">
        <f>IF(Y125&lt;&gt;0,(PerpetuityBaseValue*IF(PerpetuityGrowing=2,(1+Result!$G$28/100)^Specs!W125,1))/(1+DiscYear/100)^$W125,0)</f>
        <v>0</v>
      </c>
      <c r="AA125" s="17">
        <f t="shared" si="15"/>
        <v>0</v>
      </c>
      <c r="AB125" s="70">
        <f>IF(AA125&lt;&gt;0,(PerpetuityBaseValueEquity*IF(PerpetuityGrowing=2,1+Result!$G$108/100,1))/(1+DiscYearEquity/100)^$W125,0)</f>
        <v>0</v>
      </c>
      <c r="AC125" s="70">
        <f>IF(Y125&lt;&gt;0,(PerpetuityBaseValue*IF(PerpetuityGrowing=2,(1+Result!$G$28/100)^Specs!W125,1))/(1+Calculations!$D$1051)^$W125,0)</f>
        <v>0</v>
      </c>
      <c r="AD125" s="70">
        <f>IF(Y125&lt;&gt;0,(PerpetuityBaseValue*IF(PerpetuityGrowing=2,(1+Result!$G$28/100)^Specs!W125,1))/(1+Calculations!$D$1052)^$W125,0)</f>
        <v>0</v>
      </c>
      <c r="AE125" s="70">
        <f>IF(Y125&lt;&gt;0,(PerpetuityBaseValue*IF(PerpetuityGrowing=2,(1+Result!$G$28/100)^Specs!W125,1))/(1+Calculations!$D$1054)^$W125,0)</f>
        <v>0</v>
      </c>
      <c r="AF125" s="70">
        <f>IF(Y125&lt;&gt;0,(PerpetuityBaseValue*IF(PerpetuityGrowing=2,(1+Result!$G$28/100)^Specs!W125,1))/(1+Calculations!$D$1055)^$W125,0)</f>
        <v>0</v>
      </c>
    </row>
    <row r="126" spans="1:32" ht="12.75" customHeight="1" x14ac:dyDescent="0.35">
      <c r="A126" s="17"/>
      <c r="B126" s="17"/>
      <c r="C126" s="17"/>
      <c r="D126" s="17"/>
      <c r="E126" s="17"/>
      <c r="F126" s="164" t="s">
        <v>2167</v>
      </c>
      <c r="G126" s="85" t="str">
        <f ca="1">IF(ISNA(G149),"-",OFFSET(G126,G149,0))</f>
        <v>-</v>
      </c>
      <c r="H126" s="17"/>
      <c r="I126" s="17"/>
      <c r="J126" s="17"/>
      <c r="K126" s="17"/>
      <c r="L126" s="17"/>
      <c r="M126" s="17"/>
      <c r="N126" s="17"/>
      <c r="O126" s="17"/>
      <c r="P126" s="17"/>
      <c r="Q126" s="17"/>
      <c r="R126" s="17"/>
      <c r="S126" s="17"/>
      <c r="T126" s="17"/>
      <c r="U126" s="17"/>
      <c r="V126" s="129" t="str">
        <f t="shared" si="13"/>
        <v>48 years</v>
      </c>
      <c r="W126" s="17">
        <v>48</v>
      </c>
      <c r="X126" s="17" t="str">
        <f>IF(Language&lt;&gt;5,'Basic Values'!$B$9,IF(W126&lt;5,"lata","lat"))</f>
        <v>years</v>
      </c>
      <c r="Y126" s="17">
        <f t="shared" si="14"/>
        <v>0</v>
      </c>
      <c r="Z126" s="70">
        <f>IF(Y126&lt;&gt;0,(PerpetuityBaseValue*IF(PerpetuityGrowing=2,(1+Result!$G$28/100)^Specs!W126,1))/(1+DiscYear/100)^$W126,0)</f>
        <v>0</v>
      </c>
      <c r="AA126" s="17">
        <f t="shared" si="15"/>
        <v>0</v>
      </c>
      <c r="AB126" s="70">
        <f>IF(AA126&lt;&gt;0,(PerpetuityBaseValueEquity*IF(PerpetuityGrowing=2,1+Result!$G$108/100,1))/(1+DiscYearEquity/100)^$W126,0)</f>
        <v>0</v>
      </c>
      <c r="AC126" s="70">
        <f>IF(Y126&lt;&gt;0,(PerpetuityBaseValue*IF(PerpetuityGrowing=2,(1+Result!$G$28/100)^Specs!W126,1))/(1+Calculations!$D$1051)^$W126,0)</f>
        <v>0</v>
      </c>
      <c r="AD126" s="70">
        <f>IF(Y126&lt;&gt;0,(PerpetuityBaseValue*IF(PerpetuityGrowing=2,(1+Result!$G$28/100)^Specs!W126,1))/(1+Calculations!$D$1052)^$W126,0)</f>
        <v>0</v>
      </c>
      <c r="AE126" s="70">
        <f>IF(Y126&lt;&gt;0,(PerpetuityBaseValue*IF(PerpetuityGrowing=2,(1+Result!$G$28/100)^Specs!W126,1))/(1+Calculations!$D$1054)^$W126,0)</f>
        <v>0</v>
      </c>
      <c r="AF126" s="70">
        <f>IF(Y126&lt;&gt;0,(PerpetuityBaseValue*IF(PerpetuityGrowing=2,(1+Result!$G$28/100)^Specs!W126,1))/(1+Calculations!$D$1055)^$W126,0)</f>
        <v>0</v>
      </c>
    </row>
    <row r="127" spans="1:32" ht="12.75" customHeight="1" x14ac:dyDescent="0.35">
      <c r="A127" s="17"/>
      <c r="B127" s="17"/>
      <c r="C127" s="17"/>
      <c r="D127" s="17"/>
      <c r="E127" s="17"/>
      <c r="F127" s="29">
        <f>F128*0.5</f>
        <v>1.1316398208850442E-3</v>
      </c>
      <c r="G127" s="86" t="e">
        <f t="shared" ref="G127:G132" si="16">IF(FCFEinUse=1,(1+IRR(IrrCashFlowEquity,$F127))^12-1,NA())</f>
        <v>#N/A</v>
      </c>
      <c r="H127" s="17"/>
      <c r="I127" s="17"/>
      <c r="J127" s="17"/>
      <c r="K127" s="17"/>
      <c r="L127" s="17"/>
      <c r="M127" s="17"/>
      <c r="N127" s="17"/>
      <c r="O127" s="17"/>
      <c r="P127" s="17"/>
      <c r="Q127" s="17"/>
      <c r="R127" s="17"/>
      <c r="S127" s="17"/>
      <c r="T127" s="17"/>
      <c r="U127" s="17"/>
      <c r="V127" s="129" t="str">
        <f t="shared" si="13"/>
        <v>49 years</v>
      </c>
      <c r="W127" s="17">
        <v>49</v>
      </c>
      <c r="X127" s="17" t="str">
        <f>IF(Language&lt;&gt;5,'Basic Values'!$B$9,IF(W127&lt;5,"lata","lat"))</f>
        <v>years</v>
      </c>
      <c r="Y127" s="17">
        <f t="shared" si="14"/>
        <v>0</v>
      </c>
      <c r="Z127" s="70">
        <f>IF(Y127&lt;&gt;0,(PerpetuityBaseValue*IF(PerpetuityGrowing=2,(1+Result!$G$28/100)^Specs!W127,1))/(1+DiscYear/100)^$W127,0)</f>
        <v>0</v>
      </c>
      <c r="AA127" s="17">
        <f t="shared" si="15"/>
        <v>0</v>
      </c>
      <c r="AB127" s="70">
        <f>IF(AA127&lt;&gt;0,(PerpetuityBaseValueEquity*IF(PerpetuityGrowing=2,1+Result!$G$108/100,1))/(1+DiscYearEquity/100)^$W127,0)</f>
        <v>0</v>
      </c>
      <c r="AC127" s="70">
        <f>IF(Y127&lt;&gt;0,(PerpetuityBaseValue*IF(PerpetuityGrowing=2,(1+Result!$G$28/100)^Specs!W127,1))/(1+Calculations!$D$1051)^$W127,0)</f>
        <v>0</v>
      </c>
      <c r="AD127" s="70">
        <f>IF(Y127&lt;&gt;0,(PerpetuityBaseValue*IF(PerpetuityGrowing=2,(1+Result!$G$28/100)^Specs!W127,1))/(1+Calculations!$D$1052)^$W127,0)</f>
        <v>0</v>
      </c>
      <c r="AE127" s="70">
        <f>IF(Y127&lt;&gt;0,(PerpetuityBaseValue*IF(PerpetuityGrowing=2,(1+Result!$G$28/100)^Specs!W127,1))/(1+Calculations!$D$1054)^$W127,0)</f>
        <v>0</v>
      </c>
      <c r="AF127" s="70">
        <f>IF(Y127&lt;&gt;0,(PerpetuityBaseValue*IF(PerpetuityGrowing=2,(1+Result!$G$28/100)^Specs!W127,1))/(1+Calculations!$D$1055)^$W127,0)</f>
        <v>0</v>
      </c>
    </row>
    <row r="128" spans="1:32" ht="12.75" customHeight="1" x14ac:dyDescent="0.35">
      <c r="A128" s="17"/>
      <c r="B128" s="17"/>
      <c r="C128" s="17"/>
      <c r="D128" s="17"/>
      <c r="E128" s="17"/>
      <c r="F128" s="36">
        <f>DiscMonth</f>
        <v>2.2632796417700884E-3</v>
      </c>
      <c r="G128" s="87" t="e">
        <f t="shared" si="16"/>
        <v>#N/A</v>
      </c>
      <c r="H128" s="17"/>
      <c r="I128" s="17"/>
      <c r="J128" s="17"/>
      <c r="K128" s="17"/>
      <c r="L128" s="17"/>
      <c r="M128" s="17"/>
      <c r="N128" s="17"/>
      <c r="O128" s="17"/>
      <c r="P128" s="17"/>
      <c r="Q128" s="17"/>
      <c r="R128" s="17"/>
      <c r="S128" s="17"/>
      <c r="T128" s="17"/>
      <c r="U128" s="17"/>
      <c r="V128" s="129" t="str">
        <f t="shared" si="13"/>
        <v>50 years</v>
      </c>
      <c r="W128" s="17">
        <v>50</v>
      </c>
      <c r="X128" s="17" t="str">
        <f>IF(Language&lt;&gt;5,'Basic Values'!$B$9,IF(W128&lt;5,"lata","lat"))</f>
        <v>years</v>
      </c>
      <c r="Y128" s="17">
        <f t="shared" si="14"/>
        <v>0</v>
      </c>
      <c r="Z128" s="70">
        <f>IF(Y128&lt;&gt;0,(PerpetuityBaseValue*IF(PerpetuityGrowing=2,(1+Result!$G$28/100)^Specs!W128,1))/(1+DiscYear/100)^$W128,0)</f>
        <v>0</v>
      </c>
      <c r="AA128" s="17">
        <f t="shared" si="15"/>
        <v>0</v>
      </c>
      <c r="AB128" s="70">
        <f>IF(AA128&lt;&gt;0,(PerpetuityBaseValueEquity*IF(PerpetuityGrowing=2,1+Result!$G$108/100,1))/(1+DiscYearEquity/100)^$W128,0)</f>
        <v>0</v>
      </c>
      <c r="AC128" s="70">
        <f>IF(Y128&lt;&gt;0,(PerpetuityBaseValue*IF(PerpetuityGrowing=2,(1+Result!$G$28/100)^Specs!W128,1))/(1+Calculations!$D$1051)^$W128,0)</f>
        <v>0</v>
      </c>
      <c r="AD128" s="70">
        <f>IF(Y128&lt;&gt;0,(PerpetuityBaseValue*IF(PerpetuityGrowing=2,(1+Result!$G$28/100)^Specs!W128,1))/(1+Calculations!$D$1052)^$W128,0)</f>
        <v>0</v>
      </c>
      <c r="AE128" s="70">
        <f>IF(Y128&lt;&gt;0,(PerpetuityBaseValue*IF(PerpetuityGrowing=2,(1+Result!$G$28/100)^Specs!W128,1))/(1+Calculations!$D$1054)^$W128,0)</f>
        <v>0</v>
      </c>
      <c r="AF128" s="70">
        <f>IF(Y128&lt;&gt;0,(PerpetuityBaseValue*IF(PerpetuityGrowing=2,(1+Result!$G$28/100)^Specs!W128,1))/(1+Calculations!$D$1055)^$W128,0)</f>
        <v>0</v>
      </c>
    </row>
    <row r="129" spans="1:32" ht="12.75" customHeight="1" x14ac:dyDescent="0.35">
      <c r="A129" s="17"/>
      <c r="B129" s="17"/>
      <c r="C129" s="17"/>
      <c r="D129" s="17"/>
      <c r="E129" s="17"/>
      <c r="F129" s="36">
        <f>F128*1.5</f>
        <v>3.3949194626551327E-3</v>
      </c>
      <c r="G129" s="87" t="e">
        <f t="shared" si="16"/>
        <v>#N/A</v>
      </c>
      <c r="H129" s="17"/>
      <c r="I129" s="17"/>
      <c r="J129" s="17"/>
      <c r="K129" s="17"/>
      <c r="L129" s="17"/>
      <c r="M129" s="17"/>
      <c r="N129" s="17"/>
      <c r="O129" s="17"/>
      <c r="P129" s="17"/>
      <c r="Q129" s="17"/>
      <c r="R129" s="17"/>
      <c r="S129" s="17"/>
      <c r="T129" s="17"/>
      <c r="U129" s="17"/>
      <c r="V129" s="129" t="str">
        <f t="shared" si="13"/>
        <v>51 years</v>
      </c>
      <c r="W129" s="17">
        <v>51</v>
      </c>
      <c r="X129" s="17" t="str">
        <f>IF(Language&lt;&gt;5,'Basic Values'!$B$9,IF(W129&lt;5,"lata","lat"))</f>
        <v>years</v>
      </c>
      <c r="Y129" s="17">
        <f t="shared" si="14"/>
        <v>0</v>
      </c>
      <c r="Z129" s="70">
        <f>IF(Y129&lt;&gt;0,(PerpetuityBaseValue*IF(PerpetuityGrowing=2,(1+Result!$G$28/100)^Specs!W129,1))/(1+DiscYear/100)^$W129,0)</f>
        <v>0</v>
      </c>
      <c r="AA129" s="17">
        <f t="shared" si="15"/>
        <v>0</v>
      </c>
      <c r="AB129" s="70">
        <f>IF(AA129&lt;&gt;0,(PerpetuityBaseValueEquity*IF(PerpetuityGrowing=2,1+Result!$G$108/100,1))/(1+DiscYearEquity/100)^$W129,0)</f>
        <v>0</v>
      </c>
      <c r="AC129" s="70">
        <f>IF(Y129&lt;&gt;0,(PerpetuityBaseValue*IF(PerpetuityGrowing=2,(1+Result!$G$28/100)^Specs!W129,1))/(1+Calculations!$D$1051)^$W129,0)</f>
        <v>0</v>
      </c>
      <c r="AD129" s="70">
        <f>IF(Y129&lt;&gt;0,(PerpetuityBaseValue*IF(PerpetuityGrowing=2,(1+Result!$G$28/100)^Specs!W129,1))/(1+Calculations!$D$1052)^$W129,0)</f>
        <v>0</v>
      </c>
      <c r="AE129" s="70">
        <f>IF(Y129&lt;&gt;0,(PerpetuityBaseValue*IF(PerpetuityGrowing=2,(1+Result!$G$28/100)^Specs!W129,1))/(1+Calculations!$D$1054)^$W129,0)</f>
        <v>0</v>
      </c>
      <c r="AF129" s="70">
        <f>IF(Y129&lt;&gt;0,(PerpetuityBaseValue*IF(PerpetuityGrowing=2,(1+Result!$G$28/100)^Specs!W129,1))/(1+Calculations!$D$1055)^$W129,0)</f>
        <v>0</v>
      </c>
    </row>
    <row r="130" spans="1:32" ht="12.75" customHeight="1" x14ac:dyDescent="0.35">
      <c r="A130" s="17"/>
      <c r="B130" s="17"/>
      <c r="C130" s="17"/>
      <c r="D130" s="17"/>
      <c r="E130" s="17"/>
      <c r="F130" s="36">
        <f>-F127</f>
        <v>-1.1316398208850442E-3</v>
      </c>
      <c r="G130" s="87" t="e">
        <f t="shared" si="16"/>
        <v>#N/A</v>
      </c>
      <c r="H130" s="17"/>
      <c r="I130" s="17"/>
      <c r="J130" s="17"/>
      <c r="K130" s="17"/>
      <c r="L130" s="17"/>
      <c r="M130" s="17"/>
      <c r="N130" s="17"/>
      <c r="O130" s="17"/>
      <c r="P130" s="17"/>
      <c r="Q130" s="17"/>
      <c r="R130" s="17"/>
      <c r="S130" s="17"/>
      <c r="T130" s="17"/>
      <c r="U130" s="17"/>
      <c r="V130" s="129" t="str">
        <f t="shared" si="13"/>
        <v>52 years</v>
      </c>
      <c r="W130" s="17">
        <v>52</v>
      </c>
      <c r="X130" s="17" t="str">
        <f>IF(Language&lt;&gt;5,'Basic Values'!$B$9,IF(W130&lt;5,"lata","lat"))</f>
        <v>years</v>
      </c>
      <c r="Y130" s="17">
        <f t="shared" si="14"/>
        <v>0</v>
      </c>
      <c r="Z130" s="70">
        <f>IF(Y130&lt;&gt;0,(PerpetuityBaseValue*IF(PerpetuityGrowing=2,(1+Result!$G$28/100)^Specs!W130,1))/(1+DiscYear/100)^$W130,0)</f>
        <v>0</v>
      </c>
      <c r="AA130" s="17">
        <f t="shared" si="15"/>
        <v>0</v>
      </c>
      <c r="AB130" s="70">
        <f>IF(AA130&lt;&gt;0,(PerpetuityBaseValueEquity*IF(PerpetuityGrowing=2,1+Result!$G$108/100,1))/(1+DiscYearEquity/100)^$W130,0)</f>
        <v>0</v>
      </c>
      <c r="AC130" s="70">
        <f>IF(Y130&lt;&gt;0,(PerpetuityBaseValue*IF(PerpetuityGrowing=2,(1+Result!$G$28/100)^Specs!W130,1))/(1+Calculations!$D$1051)^$W130,0)</f>
        <v>0</v>
      </c>
      <c r="AD130" s="70">
        <f>IF(Y130&lt;&gt;0,(PerpetuityBaseValue*IF(PerpetuityGrowing=2,(1+Result!$G$28/100)^Specs!W130,1))/(1+Calculations!$D$1052)^$W130,0)</f>
        <v>0</v>
      </c>
      <c r="AE130" s="70">
        <f>IF(Y130&lt;&gt;0,(PerpetuityBaseValue*IF(PerpetuityGrowing=2,(1+Result!$G$28/100)^Specs!W130,1))/(1+Calculations!$D$1054)^$W130,0)</f>
        <v>0</v>
      </c>
      <c r="AF130" s="70">
        <f>IF(Y130&lt;&gt;0,(PerpetuityBaseValue*IF(PerpetuityGrowing=2,(1+Result!$G$28/100)^Specs!W130,1))/(1+Calculations!$D$1055)^$W130,0)</f>
        <v>0</v>
      </c>
    </row>
    <row r="131" spans="1:32" ht="12.75" customHeight="1" x14ac:dyDescent="0.35">
      <c r="A131" s="17"/>
      <c r="B131" s="17"/>
      <c r="C131" s="17"/>
      <c r="D131" s="17"/>
      <c r="E131" s="17"/>
      <c r="F131" s="36">
        <f>-F128</f>
        <v>-2.2632796417700884E-3</v>
      </c>
      <c r="G131" s="87" t="e">
        <f t="shared" si="16"/>
        <v>#N/A</v>
      </c>
      <c r="H131" s="17"/>
      <c r="I131" s="17"/>
      <c r="J131" s="17"/>
      <c r="K131" s="17"/>
      <c r="L131" s="17"/>
      <c r="M131" s="17"/>
      <c r="N131" s="17"/>
      <c r="O131" s="17"/>
      <c r="P131" s="17"/>
      <c r="Q131" s="17"/>
      <c r="R131" s="17"/>
      <c r="S131" s="17"/>
      <c r="T131" s="17"/>
      <c r="U131" s="17"/>
      <c r="V131" s="129" t="str">
        <f t="shared" si="13"/>
        <v>53 years</v>
      </c>
      <c r="W131" s="17">
        <v>53</v>
      </c>
      <c r="X131" s="17" t="str">
        <f>IF(Language&lt;&gt;5,'Basic Values'!$B$9,IF(W131&lt;5,"lata","lat"))</f>
        <v>years</v>
      </c>
      <c r="Y131" s="17">
        <f t="shared" si="14"/>
        <v>0</v>
      </c>
      <c r="Z131" s="70">
        <f>IF(Y131&lt;&gt;0,(PerpetuityBaseValue*IF(PerpetuityGrowing=2,(1+Result!$G$28/100)^Specs!W131,1))/(1+DiscYear/100)^$W131,0)</f>
        <v>0</v>
      </c>
      <c r="AA131" s="17">
        <f t="shared" si="15"/>
        <v>0</v>
      </c>
      <c r="AB131" s="70">
        <f>IF(AA131&lt;&gt;0,(PerpetuityBaseValueEquity*IF(PerpetuityGrowing=2,1+Result!$G$108/100,1))/(1+DiscYearEquity/100)^$W131,0)</f>
        <v>0</v>
      </c>
      <c r="AC131" s="70">
        <f>IF(Y131&lt;&gt;0,(PerpetuityBaseValue*IF(PerpetuityGrowing=2,(1+Result!$G$28/100)^Specs!W131,1))/(1+Calculations!$D$1051)^$W131,0)</f>
        <v>0</v>
      </c>
      <c r="AD131" s="70">
        <f>IF(Y131&lt;&gt;0,(PerpetuityBaseValue*IF(PerpetuityGrowing=2,(1+Result!$G$28/100)^Specs!W131,1))/(1+Calculations!$D$1052)^$W131,0)</f>
        <v>0</v>
      </c>
      <c r="AE131" s="70">
        <f>IF(Y131&lt;&gt;0,(PerpetuityBaseValue*IF(PerpetuityGrowing=2,(1+Result!$G$28/100)^Specs!W131,1))/(1+Calculations!$D$1054)^$W131,0)</f>
        <v>0</v>
      </c>
      <c r="AF131" s="70">
        <f>IF(Y131&lt;&gt;0,(PerpetuityBaseValue*IF(PerpetuityGrowing=2,(1+Result!$G$28/100)^Specs!W131,1))/(1+Calculations!$D$1055)^$W131,0)</f>
        <v>0</v>
      </c>
    </row>
    <row r="132" spans="1:32" ht="12.75" customHeight="1" x14ac:dyDescent="0.35">
      <c r="A132" s="17"/>
      <c r="B132" s="17"/>
      <c r="C132" s="17"/>
      <c r="D132" s="17"/>
      <c r="E132" s="17"/>
      <c r="F132" s="36">
        <f>-F129</f>
        <v>-3.3949194626551327E-3</v>
      </c>
      <c r="G132" s="87" t="e">
        <f t="shared" si="16"/>
        <v>#N/A</v>
      </c>
      <c r="H132" s="17"/>
      <c r="I132" s="17"/>
      <c r="J132" s="17"/>
      <c r="K132" s="17"/>
      <c r="L132" s="17"/>
      <c r="M132" s="17"/>
      <c r="N132" s="17"/>
      <c r="O132" s="17"/>
      <c r="P132" s="17"/>
      <c r="Q132" s="17"/>
      <c r="R132" s="17"/>
      <c r="S132" s="17"/>
      <c r="T132" s="17"/>
      <c r="U132" s="17"/>
      <c r="V132" s="129" t="str">
        <f t="shared" si="13"/>
        <v>54 years</v>
      </c>
      <c r="W132" s="17">
        <v>54</v>
      </c>
      <c r="X132" s="17" t="str">
        <f>IF(Language&lt;&gt;5,'Basic Values'!$B$9,IF(W132&lt;5,"lata","lat"))</f>
        <v>years</v>
      </c>
      <c r="Y132" s="17">
        <f t="shared" si="14"/>
        <v>0</v>
      </c>
      <c r="Z132" s="70">
        <f>IF(Y132&lt;&gt;0,(PerpetuityBaseValue*IF(PerpetuityGrowing=2,(1+Result!$G$28/100)^Specs!W132,1))/(1+DiscYear/100)^$W132,0)</f>
        <v>0</v>
      </c>
      <c r="AA132" s="17">
        <f t="shared" si="15"/>
        <v>0</v>
      </c>
      <c r="AB132" s="70">
        <f>IF(AA132&lt;&gt;0,(PerpetuityBaseValueEquity*IF(PerpetuityGrowing=2,1+Result!$G$108/100,1))/(1+DiscYearEquity/100)^$W132,0)</f>
        <v>0</v>
      </c>
      <c r="AC132" s="70">
        <f>IF(Y132&lt;&gt;0,(PerpetuityBaseValue*IF(PerpetuityGrowing=2,(1+Result!$G$28/100)^Specs!W132,1))/(1+Calculations!$D$1051)^$W132,0)</f>
        <v>0</v>
      </c>
      <c r="AD132" s="70">
        <f>IF(Y132&lt;&gt;0,(PerpetuityBaseValue*IF(PerpetuityGrowing=2,(1+Result!$G$28/100)^Specs!W132,1))/(1+Calculations!$D$1052)^$W132,0)</f>
        <v>0</v>
      </c>
      <c r="AE132" s="70">
        <f>IF(Y132&lt;&gt;0,(PerpetuityBaseValue*IF(PerpetuityGrowing=2,(1+Result!$G$28/100)^Specs!W132,1))/(1+Calculations!$D$1054)^$W132,0)</f>
        <v>0</v>
      </c>
      <c r="AF132" s="70">
        <f>IF(Y132&lt;&gt;0,(PerpetuityBaseValue*IF(PerpetuityGrowing=2,(1+Result!$G$28/100)^Specs!W132,1))/(1+Calculations!$D$1055)^$W132,0)</f>
        <v>0</v>
      </c>
    </row>
    <row r="133" spans="1:32" ht="12.75" customHeight="1" x14ac:dyDescent="0.35">
      <c r="A133" s="17"/>
      <c r="B133" s="17"/>
      <c r="C133" s="17"/>
      <c r="D133" s="17"/>
      <c r="E133" s="17"/>
      <c r="F133" s="90">
        <v>-1</v>
      </c>
      <c r="G133" s="1240" t="e">
        <f>G134</f>
        <v>#N/A</v>
      </c>
      <c r="H133" s="17"/>
      <c r="I133" s="17"/>
      <c r="J133" s="17"/>
      <c r="K133" s="17"/>
      <c r="L133" s="17"/>
      <c r="M133" s="17"/>
      <c r="N133" s="17"/>
      <c r="O133" s="17"/>
      <c r="P133" s="17"/>
      <c r="Q133" s="17"/>
      <c r="R133" s="17"/>
      <c r="S133" s="17"/>
      <c r="T133" s="17"/>
      <c r="U133" s="17"/>
      <c r="V133" s="129" t="str">
        <f t="shared" si="13"/>
        <v>55 years</v>
      </c>
      <c r="W133" s="17">
        <v>55</v>
      </c>
      <c r="X133" s="17" t="str">
        <f>IF(Language&lt;&gt;5,'Basic Values'!$B$9,IF(W133&lt;5,"lata","lat"))</f>
        <v>years</v>
      </c>
      <c r="Y133" s="17">
        <f t="shared" si="14"/>
        <v>0</v>
      </c>
      <c r="Z133" s="70">
        <f>IF(Y133&lt;&gt;0,(PerpetuityBaseValue*IF(PerpetuityGrowing=2,(1+Result!$G$28/100)^Specs!W133,1))/(1+DiscYear/100)^$W133,0)</f>
        <v>0</v>
      </c>
      <c r="AA133" s="17">
        <f t="shared" si="15"/>
        <v>0</v>
      </c>
      <c r="AB133" s="70">
        <f>IF(AA133&lt;&gt;0,(PerpetuityBaseValueEquity*IF(PerpetuityGrowing=2,1+Result!$G$108/100,1))/(1+DiscYearEquity/100)^$W133,0)</f>
        <v>0</v>
      </c>
      <c r="AC133" s="70">
        <f>IF(Y133&lt;&gt;0,(PerpetuityBaseValue*IF(PerpetuityGrowing=2,(1+Result!$G$28/100)^Specs!W133,1))/(1+Calculations!$D$1051)^$W133,0)</f>
        <v>0</v>
      </c>
      <c r="AD133" s="70">
        <f>IF(Y133&lt;&gt;0,(PerpetuityBaseValue*IF(PerpetuityGrowing=2,(1+Result!$G$28/100)^Specs!W133,1))/(1+Calculations!$D$1052)^$W133,0)</f>
        <v>0</v>
      </c>
      <c r="AE133" s="70">
        <f>IF(Y133&lt;&gt;0,(PerpetuityBaseValue*IF(PerpetuityGrowing=2,(1+Result!$G$28/100)^Specs!W133,1))/(1+Calculations!$D$1054)^$W133,0)</f>
        <v>0</v>
      </c>
      <c r="AF133" s="70">
        <f>IF(Y133&lt;&gt;0,(PerpetuityBaseValue*IF(PerpetuityGrowing=2,(1+Result!$G$28/100)^Specs!W133,1))/(1+Calculations!$D$1055)^$W133,0)</f>
        <v>0</v>
      </c>
    </row>
    <row r="134" spans="1:32" ht="12.75" customHeight="1" x14ac:dyDescent="0.35">
      <c r="A134" s="17"/>
      <c r="B134" s="17"/>
      <c r="C134" s="17"/>
      <c r="D134" s="17"/>
      <c r="E134" s="17"/>
      <c r="F134" s="92">
        <v>-9.5462094216042792E-2</v>
      </c>
      <c r="G134" s="93" t="e">
        <f>IF(FCFEinUse=1,(1+IRR(IrrCashFlowEquity,$F134))^12-1,NA())</f>
        <v>#N/A</v>
      </c>
      <c r="H134" s="17"/>
      <c r="I134" s="17"/>
      <c r="J134" s="17"/>
      <c r="K134" s="17"/>
      <c r="L134" s="17"/>
      <c r="M134" s="17"/>
      <c r="N134" s="17"/>
      <c r="O134" s="17"/>
      <c r="P134" s="17"/>
      <c r="Q134" s="17"/>
      <c r="R134" s="17"/>
      <c r="S134" s="17"/>
      <c r="T134" s="17"/>
      <c r="U134" s="17"/>
      <c r="V134" s="129" t="str">
        <f t="shared" si="13"/>
        <v>56 years</v>
      </c>
      <c r="W134" s="17">
        <v>56</v>
      </c>
      <c r="X134" s="17" t="str">
        <f>IF(Language&lt;&gt;5,'Basic Values'!$B$9,IF(W134&lt;5,"lata","lat"))</f>
        <v>years</v>
      </c>
      <c r="Y134" s="17">
        <f t="shared" si="14"/>
        <v>0</v>
      </c>
      <c r="Z134" s="70">
        <f>IF(Y134&lt;&gt;0,(PerpetuityBaseValue*IF(PerpetuityGrowing=2,(1+Result!$G$28/100)^Specs!W134,1))/(1+DiscYear/100)^$W134,0)</f>
        <v>0</v>
      </c>
      <c r="AA134" s="17">
        <f t="shared" si="15"/>
        <v>0</v>
      </c>
      <c r="AB134" s="70">
        <f>IF(AA134&lt;&gt;0,(PerpetuityBaseValueEquity*IF(PerpetuityGrowing=2,1+Result!$G$108/100,1))/(1+DiscYearEquity/100)^$W134,0)</f>
        <v>0</v>
      </c>
      <c r="AC134" s="70">
        <f>IF(Y134&lt;&gt;0,(PerpetuityBaseValue*IF(PerpetuityGrowing=2,(1+Result!$G$28/100)^Specs!W134,1))/(1+Calculations!$D$1051)^$W134,0)</f>
        <v>0</v>
      </c>
      <c r="AD134" s="70">
        <f>IF(Y134&lt;&gt;0,(PerpetuityBaseValue*IF(PerpetuityGrowing=2,(1+Result!$G$28/100)^Specs!W134,1))/(1+Calculations!$D$1052)^$W134,0)</f>
        <v>0</v>
      </c>
      <c r="AE134" s="70">
        <f>IF(Y134&lt;&gt;0,(PerpetuityBaseValue*IF(PerpetuityGrowing=2,(1+Result!$G$28/100)^Specs!W134,1))/(1+Calculations!$D$1054)^$W134,0)</f>
        <v>0</v>
      </c>
      <c r="AF134" s="70">
        <f>IF(Y134&lt;&gt;0,(PerpetuityBaseValue*IF(PerpetuityGrowing=2,(1+Result!$G$28/100)^Specs!W134,1))/(1+Calculations!$D$1055)^$W134,0)</f>
        <v>0</v>
      </c>
    </row>
    <row r="135" spans="1:32" ht="12.75" customHeight="1" x14ac:dyDescent="0.35">
      <c r="A135" s="17"/>
      <c r="B135" s="17"/>
      <c r="C135" s="17"/>
      <c r="D135" s="17"/>
      <c r="E135" s="17"/>
      <c r="F135" s="92">
        <v>-4.1675471372851991E-2</v>
      </c>
      <c r="G135" s="1239" t="e">
        <f>G136</f>
        <v>#N/A</v>
      </c>
      <c r="H135" s="17"/>
      <c r="I135" s="17"/>
      <c r="J135" s="17"/>
      <c r="K135" s="17"/>
      <c r="L135" s="17"/>
      <c r="M135" s="17"/>
      <c r="N135" s="17"/>
      <c r="O135" s="17"/>
      <c r="P135" s="17"/>
      <c r="Q135" s="17"/>
      <c r="R135" s="17"/>
      <c r="S135" s="17"/>
      <c r="T135" s="17"/>
      <c r="U135" s="17"/>
      <c r="V135" s="129" t="str">
        <f t="shared" si="13"/>
        <v>57 years</v>
      </c>
      <c r="W135" s="17">
        <v>57</v>
      </c>
      <c r="X135" s="17" t="str">
        <f>IF(Language&lt;&gt;5,'Basic Values'!$B$9,IF(W135&lt;5,"lata","lat"))</f>
        <v>years</v>
      </c>
      <c r="Y135" s="17">
        <f t="shared" si="14"/>
        <v>0</v>
      </c>
      <c r="Z135" s="70">
        <f>IF(Y135&lt;&gt;0,(PerpetuityBaseValue*IF(PerpetuityGrowing=2,(1+Result!$G$28/100)^Specs!W135,1))/(1+DiscYear/100)^$W135,0)</f>
        <v>0</v>
      </c>
      <c r="AA135" s="17">
        <f t="shared" si="15"/>
        <v>0</v>
      </c>
      <c r="AB135" s="70">
        <f>IF(AA135&lt;&gt;0,(PerpetuityBaseValueEquity*IF(PerpetuityGrowing=2,1+Result!$G$108/100,1))/(1+DiscYearEquity/100)^$W135,0)</f>
        <v>0</v>
      </c>
      <c r="AC135" s="70">
        <f>IF(Y135&lt;&gt;0,(PerpetuityBaseValue*IF(PerpetuityGrowing=2,(1+Result!$G$28/100)^Specs!W135,1))/(1+Calculations!$D$1051)^$W135,0)</f>
        <v>0</v>
      </c>
      <c r="AD135" s="70">
        <f>IF(Y135&lt;&gt;0,(PerpetuityBaseValue*IF(PerpetuityGrowing=2,(1+Result!$G$28/100)^Specs!W135,1))/(1+Calculations!$D$1052)^$W135,0)</f>
        <v>0</v>
      </c>
      <c r="AE135" s="70">
        <f>IF(Y135&lt;&gt;0,(PerpetuityBaseValue*IF(PerpetuityGrowing=2,(1+Result!$G$28/100)^Specs!W135,1))/(1+Calculations!$D$1054)^$W135,0)</f>
        <v>0</v>
      </c>
      <c r="AF135" s="70">
        <f>IF(Y135&lt;&gt;0,(PerpetuityBaseValue*IF(PerpetuityGrowing=2,(1+Result!$G$28/100)^Specs!W135,1))/(1+Calculations!$D$1055)^$W135,0)</f>
        <v>0</v>
      </c>
    </row>
    <row r="136" spans="1:32" ht="12.75" customHeight="1" x14ac:dyDescent="0.35">
      <c r="A136" s="17"/>
      <c r="B136" s="17"/>
      <c r="C136" s="17"/>
      <c r="D136" s="17"/>
      <c r="E136" s="17"/>
      <c r="F136" s="92">
        <v>-2.9285530376777613E-2</v>
      </c>
      <c r="G136" s="93" t="e">
        <f>IF(FCFEinUse=1,(1+IRR(IrrCashFlowEquity,$F136))^12-1,NA())</f>
        <v>#N/A</v>
      </c>
      <c r="H136" s="17"/>
      <c r="I136" s="17"/>
      <c r="J136" s="17"/>
      <c r="K136" s="17"/>
      <c r="L136" s="17"/>
      <c r="M136" s="17"/>
      <c r="N136" s="17"/>
      <c r="O136" s="17"/>
      <c r="P136" s="17"/>
      <c r="Q136" s="17"/>
      <c r="R136" s="17"/>
      <c r="S136" s="17"/>
      <c r="T136" s="17"/>
      <c r="U136" s="17"/>
      <c r="V136" s="129" t="str">
        <f t="shared" si="13"/>
        <v>58 years</v>
      </c>
      <c r="W136" s="17">
        <v>58</v>
      </c>
      <c r="X136" s="17" t="str">
        <f>IF(Language&lt;&gt;5,'Basic Values'!$B$9,IF(W136&lt;5,"lata","lat"))</f>
        <v>years</v>
      </c>
      <c r="Y136" s="17">
        <f t="shared" si="14"/>
        <v>0</v>
      </c>
      <c r="Z136" s="70">
        <f>IF(Y136&lt;&gt;0,(PerpetuityBaseValue*IF(PerpetuityGrowing=2,(1+Result!$G$28/100)^Specs!W136,1))/(1+DiscYear/100)^$W136,0)</f>
        <v>0</v>
      </c>
      <c r="AA136" s="17">
        <f t="shared" si="15"/>
        <v>0</v>
      </c>
      <c r="AB136" s="70">
        <f>IF(AA136&lt;&gt;0,(PerpetuityBaseValueEquity*IF(PerpetuityGrowing=2,1+Result!$G$108/100,1))/(1+DiscYearEquity/100)^$W136,0)</f>
        <v>0</v>
      </c>
      <c r="AC136" s="70">
        <f>IF(Y136&lt;&gt;0,(PerpetuityBaseValue*IF(PerpetuityGrowing=2,(1+Result!$G$28/100)^Specs!W136,1))/(1+Calculations!$D$1051)^$W136,0)</f>
        <v>0</v>
      </c>
      <c r="AD136" s="70">
        <f>IF(Y136&lt;&gt;0,(PerpetuityBaseValue*IF(PerpetuityGrowing=2,(1+Result!$G$28/100)^Specs!W136,1))/(1+Calculations!$D$1052)^$W136,0)</f>
        <v>0</v>
      </c>
      <c r="AE136" s="70">
        <f>IF(Y136&lt;&gt;0,(PerpetuityBaseValue*IF(PerpetuityGrowing=2,(1+Result!$G$28/100)^Specs!W136,1))/(1+Calculations!$D$1054)^$W136,0)</f>
        <v>0</v>
      </c>
      <c r="AF136" s="70">
        <f>IF(Y136&lt;&gt;0,(PerpetuityBaseValue*IF(PerpetuityGrowing=2,(1+Result!$G$28/100)^Specs!W136,1))/(1+Calculations!$D$1055)^$W136,0)</f>
        <v>0</v>
      </c>
    </row>
    <row r="137" spans="1:32" ht="12.75" customHeight="1" x14ac:dyDescent="0.35">
      <c r="A137" s="17"/>
      <c r="B137" s="17"/>
      <c r="C137" s="17"/>
      <c r="D137" s="17"/>
      <c r="E137" s="17"/>
      <c r="F137" s="92">
        <v>-1.8423470126248342E-2</v>
      </c>
      <c r="G137" s="1239" t="e">
        <f>G138</f>
        <v>#N/A</v>
      </c>
      <c r="H137" s="17"/>
      <c r="I137" s="17"/>
      <c r="J137" s="17"/>
      <c r="K137" s="17"/>
      <c r="L137" s="17"/>
      <c r="M137" s="17"/>
      <c r="N137" s="17"/>
      <c r="O137" s="17"/>
      <c r="P137" s="17"/>
      <c r="Q137" s="17"/>
      <c r="R137" s="17"/>
      <c r="S137" s="17"/>
      <c r="T137" s="17"/>
      <c r="U137" s="17"/>
      <c r="V137" s="129" t="str">
        <f t="shared" si="13"/>
        <v>59 years</v>
      </c>
      <c r="W137" s="17">
        <v>59</v>
      </c>
      <c r="X137" s="17" t="str">
        <f>IF(Language&lt;&gt;5,'Basic Values'!$B$9,IF(W137&lt;5,"lata","lat"))</f>
        <v>years</v>
      </c>
      <c r="Y137" s="17">
        <f t="shared" si="14"/>
        <v>0</v>
      </c>
      <c r="Z137" s="70">
        <f>IF(Y137&lt;&gt;0,(PerpetuityBaseValue*IF(PerpetuityGrowing=2,(1+Result!$G$28/100)^Specs!W137,1))/(1+DiscYear/100)^$W137,0)</f>
        <v>0</v>
      </c>
      <c r="AA137" s="17">
        <f t="shared" si="15"/>
        <v>0</v>
      </c>
      <c r="AB137" s="70">
        <f>IF(AA137&lt;&gt;0,(PerpetuityBaseValueEquity*IF(PerpetuityGrowing=2,1+Result!$G$108/100,1))/(1+DiscYearEquity/100)^$W137,0)</f>
        <v>0</v>
      </c>
      <c r="AC137" s="70">
        <f>IF(Y137&lt;&gt;0,(PerpetuityBaseValue*IF(PerpetuityGrowing=2,(1+Result!$G$28/100)^Specs!W137,1))/(1+Calculations!$D$1051)^$W137,0)</f>
        <v>0</v>
      </c>
      <c r="AD137" s="70">
        <f>IF(Y137&lt;&gt;0,(PerpetuityBaseValue*IF(PerpetuityGrowing=2,(1+Result!$G$28/100)^Specs!W137,1))/(1+Calculations!$D$1052)^$W137,0)</f>
        <v>0</v>
      </c>
      <c r="AE137" s="70">
        <f>IF(Y137&lt;&gt;0,(PerpetuityBaseValue*IF(PerpetuityGrowing=2,(1+Result!$G$28/100)^Specs!W137,1))/(1+Calculations!$D$1054)^$W137,0)</f>
        <v>0</v>
      </c>
      <c r="AF137" s="70">
        <f>IF(Y137&lt;&gt;0,(PerpetuityBaseValue*IF(PerpetuityGrowing=2,(1+Result!$G$28/100)^Specs!W137,1))/(1+Calculations!$D$1055)^$W137,0)</f>
        <v>0</v>
      </c>
    </row>
    <row r="138" spans="1:32" ht="12.75" customHeight="1" x14ac:dyDescent="0.35">
      <c r="A138" s="17"/>
      <c r="B138" s="17"/>
      <c r="C138" s="17"/>
      <c r="D138" s="17"/>
      <c r="E138" s="17"/>
      <c r="F138" s="92">
        <v>-8.7416109546967213E-3</v>
      </c>
      <c r="G138" s="93" t="e">
        <f>IF(FCFEinUse=1,(1+IRR(IrrCashFlowEquity,$F138))^12-1,NA())</f>
        <v>#N/A</v>
      </c>
      <c r="H138" s="17"/>
      <c r="I138" s="17"/>
      <c r="J138" s="17"/>
      <c r="K138" s="17"/>
      <c r="L138" s="17"/>
      <c r="M138" s="17"/>
      <c r="N138" s="17"/>
      <c r="O138" s="17"/>
      <c r="P138" s="17"/>
      <c r="Q138" s="17"/>
      <c r="R138" s="17"/>
      <c r="S138" s="17"/>
      <c r="T138" s="17"/>
      <c r="U138" s="17"/>
      <c r="V138" s="129" t="str">
        <f t="shared" si="13"/>
        <v>60 years</v>
      </c>
      <c r="W138" s="17">
        <v>60</v>
      </c>
      <c r="X138" s="17" t="str">
        <f>IF(Language&lt;&gt;5,'Basic Values'!$B$9,IF(W138&lt;5,"lata","lat"))</f>
        <v>years</v>
      </c>
      <c r="Y138" s="17">
        <f t="shared" si="14"/>
        <v>0</v>
      </c>
      <c r="Z138" s="70">
        <f>IF(Y138&lt;&gt;0,(PerpetuityBaseValue*IF(PerpetuityGrowing=2,(1+Result!$G$28/100)^Specs!W138,1))/(1+DiscYear/100)^$W138,0)</f>
        <v>0</v>
      </c>
      <c r="AA138" s="17">
        <f t="shared" si="15"/>
        <v>0</v>
      </c>
      <c r="AB138" s="70">
        <f>IF(AA138&lt;&gt;0,(PerpetuityBaseValueEquity*IF(PerpetuityGrowing=2,1+Result!$G$108/100,1))/(1+DiscYearEquity/100)^$W138,0)</f>
        <v>0</v>
      </c>
      <c r="AC138" s="70">
        <f>IF(Y138&lt;&gt;0,(PerpetuityBaseValue*IF(PerpetuityGrowing=2,(1+Result!$G$28/100)^Specs!W138,1))/(1+Calculations!$D$1051)^$W138,0)</f>
        <v>0</v>
      </c>
      <c r="AD138" s="70">
        <f>IF(Y138&lt;&gt;0,(PerpetuityBaseValue*IF(PerpetuityGrowing=2,(1+Result!$G$28/100)^Specs!W138,1))/(1+Calculations!$D$1052)^$W138,0)</f>
        <v>0</v>
      </c>
      <c r="AE138" s="70">
        <f>IF(Y138&lt;&gt;0,(PerpetuityBaseValue*IF(PerpetuityGrowing=2,(1+Result!$G$28/100)^Specs!W138,1))/(1+Calculations!$D$1054)^$W138,0)</f>
        <v>0</v>
      </c>
      <c r="AF138" s="70">
        <f>IF(Y138&lt;&gt;0,(PerpetuityBaseValue*IF(PerpetuityGrowing=2,(1+Result!$G$28/100)^Specs!W138,1))/(1+Calculations!$D$1055)^$W138,0)</f>
        <v>0</v>
      </c>
    </row>
    <row r="139" spans="1:32" ht="12.75" customHeight="1" x14ac:dyDescent="0.35">
      <c r="A139" s="17"/>
      <c r="B139" s="17"/>
      <c r="C139" s="17"/>
      <c r="D139" s="17"/>
      <c r="E139" s="17"/>
      <c r="F139" s="92">
        <v>-4.2653187775606449E-3</v>
      </c>
      <c r="G139" s="93" t="e">
        <f>IF(FCFEinUse=1,(1+IRR(IrrCashFlowEquity,$F139))^12-1,NA())</f>
        <v>#N/A</v>
      </c>
      <c r="H139" s="17"/>
      <c r="I139" s="17"/>
      <c r="J139" s="17"/>
      <c r="K139" s="17"/>
      <c r="L139" s="17"/>
      <c r="M139" s="17"/>
      <c r="N139" s="17"/>
      <c r="O139" s="17"/>
      <c r="P139" s="17"/>
      <c r="Q139" s="17"/>
      <c r="R139" s="17"/>
      <c r="S139" s="17"/>
      <c r="T139" s="17"/>
      <c r="U139" s="17"/>
      <c r="V139" s="129" t="str">
        <f t="shared" si="13"/>
        <v>61 years</v>
      </c>
      <c r="W139" s="17">
        <v>61</v>
      </c>
      <c r="X139" s="17" t="str">
        <f>IF(Language&lt;&gt;5,'Basic Values'!$B$9,IF(W139&lt;5,"lata","lat"))</f>
        <v>years</v>
      </c>
      <c r="Y139" s="17">
        <f t="shared" si="14"/>
        <v>0</v>
      </c>
      <c r="Z139" s="70">
        <f>IF(Y139&lt;&gt;0,(PerpetuityBaseValue*IF(PerpetuityGrowing=2,(1+Result!$G$28/100)^Specs!W139,1))/(1+DiscYear/100)^$W139,0)</f>
        <v>0</v>
      </c>
      <c r="AA139" s="17">
        <f t="shared" si="15"/>
        <v>0</v>
      </c>
      <c r="AB139" s="70">
        <f>IF(AA139&lt;&gt;0,(PerpetuityBaseValueEquity*IF(PerpetuityGrowing=2,1+Result!$G$108/100,1))/(1+DiscYearEquity/100)^$W139,0)</f>
        <v>0</v>
      </c>
      <c r="AC139" s="70">
        <f>IF(Y139&lt;&gt;0,(PerpetuityBaseValue*IF(PerpetuityGrowing=2,(1+Result!$G$28/100)^Specs!W139,1))/(1+Calculations!$D$1051)^$W139,0)</f>
        <v>0</v>
      </c>
      <c r="AD139" s="70">
        <f>IF(Y139&lt;&gt;0,(PerpetuityBaseValue*IF(PerpetuityGrowing=2,(1+Result!$G$28/100)^Specs!W139,1))/(1+Calculations!$D$1052)^$W139,0)</f>
        <v>0</v>
      </c>
      <c r="AE139" s="70">
        <f>IF(Y139&lt;&gt;0,(PerpetuityBaseValue*IF(PerpetuityGrowing=2,(1+Result!$G$28/100)^Specs!W139,1))/(1+Calculations!$D$1054)^$W139,0)</f>
        <v>0</v>
      </c>
      <c r="AF139" s="70">
        <f>IF(Y139&lt;&gt;0,(PerpetuityBaseValue*IF(PerpetuityGrowing=2,(1+Result!$G$28/100)^Specs!W139,1))/(1+Calculations!$D$1055)^$W139,0)</f>
        <v>0</v>
      </c>
    </row>
    <row r="140" spans="1:32" ht="12.75" customHeight="1" x14ac:dyDescent="0.35">
      <c r="A140" s="17"/>
      <c r="B140" s="17"/>
      <c r="C140" s="17"/>
      <c r="D140" s="17"/>
      <c r="E140" s="17"/>
      <c r="F140" s="92">
        <v>1</v>
      </c>
      <c r="G140" s="93" t="e">
        <f>IF(FCFEinUse=1,(1+IRR(IrrCashFlowEquity,$F140))^12-1,NA())</f>
        <v>#N/A</v>
      </c>
      <c r="H140" s="17"/>
      <c r="I140" s="17"/>
      <c r="J140" s="17"/>
      <c r="K140" s="17"/>
      <c r="L140" s="17"/>
      <c r="M140" s="17"/>
      <c r="N140" s="17"/>
      <c r="O140" s="17"/>
      <c r="P140" s="17"/>
      <c r="Q140" s="17"/>
      <c r="R140" s="17"/>
      <c r="S140" s="17"/>
      <c r="T140" s="17"/>
      <c r="U140" s="17"/>
      <c r="V140" s="129" t="str">
        <f t="shared" si="13"/>
        <v>62 years</v>
      </c>
      <c r="W140" s="17">
        <v>62</v>
      </c>
      <c r="X140" s="17" t="str">
        <f>IF(Language&lt;&gt;5,'Basic Values'!$B$9,IF(W140&lt;5,"lata","lat"))</f>
        <v>years</v>
      </c>
      <c r="Y140" s="17">
        <f t="shared" si="14"/>
        <v>0</v>
      </c>
      <c r="Z140" s="70">
        <f>IF(Y140&lt;&gt;0,(PerpetuityBaseValue*IF(PerpetuityGrowing=2,(1+Result!$G$28/100)^Specs!W140,1))/(1+DiscYear/100)^$W140,0)</f>
        <v>0</v>
      </c>
      <c r="AA140" s="17">
        <f t="shared" si="15"/>
        <v>0</v>
      </c>
      <c r="AB140" s="70">
        <f>IF(AA140&lt;&gt;0,(PerpetuityBaseValueEquity*IF(PerpetuityGrowing=2,1+Result!$G$108/100,1))/(1+DiscYearEquity/100)^$W140,0)</f>
        <v>0</v>
      </c>
      <c r="AC140" s="70">
        <f>IF(Y140&lt;&gt;0,(PerpetuityBaseValue*IF(PerpetuityGrowing=2,(1+Result!$G$28/100)^Specs!W140,1))/(1+Calculations!$D$1051)^$W140,0)</f>
        <v>0</v>
      </c>
      <c r="AD140" s="70">
        <f>IF(Y140&lt;&gt;0,(PerpetuityBaseValue*IF(PerpetuityGrowing=2,(1+Result!$G$28/100)^Specs!W140,1))/(1+Calculations!$D$1052)^$W140,0)</f>
        <v>0</v>
      </c>
      <c r="AE140" s="70">
        <f>IF(Y140&lt;&gt;0,(PerpetuityBaseValue*IF(PerpetuityGrowing=2,(1+Result!$G$28/100)^Specs!W140,1))/(1+Calculations!$D$1054)^$W140,0)</f>
        <v>0</v>
      </c>
      <c r="AF140" s="70">
        <f>IF(Y140&lt;&gt;0,(PerpetuityBaseValue*IF(PerpetuityGrowing=2,(1+Result!$G$28/100)^Specs!W140,1))/(1+Calculations!$D$1055)^$W140,0)</f>
        <v>0</v>
      </c>
    </row>
    <row r="141" spans="1:32" ht="12.75" customHeight="1" x14ac:dyDescent="0.35">
      <c r="A141" s="17"/>
      <c r="B141" s="17"/>
      <c r="C141" s="17"/>
      <c r="D141" s="17"/>
      <c r="E141" s="17"/>
      <c r="F141" s="92">
        <v>9.5872691135244326E-2</v>
      </c>
      <c r="G141" s="93" t="e">
        <f>IF(FCFEinUse=1,(1+IRR(IrrCashFlowEquity,$F141))^12-1,NA())</f>
        <v>#N/A</v>
      </c>
      <c r="H141" s="17"/>
      <c r="I141" s="17"/>
      <c r="J141" s="17"/>
      <c r="K141" s="17"/>
      <c r="L141" s="17"/>
      <c r="M141" s="17"/>
      <c r="N141" s="17"/>
      <c r="O141" s="17"/>
      <c r="P141" s="17"/>
      <c r="Q141" s="17"/>
      <c r="R141" s="17"/>
      <c r="S141" s="17"/>
      <c r="T141" s="17"/>
      <c r="U141" s="17"/>
      <c r="V141" s="129" t="str">
        <f t="shared" si="13"/>
        <v>63 years</v>
      </c>
      <c r="W141" s="17">
        <v>63</v>
      </c>
      <c r="X141" s="17" t="str">
        <f>IF(Language&lt;&gt;5,'Basic Values'!$B$9,IF(W141&lt;5,"lata","lat"))</f>
        <v>years</v>
      </c>
      <c r="Y141" s="17">
        <f t="shared" si="14"/>
        <v>0</v>
      </c>
      <c r="Z141" s="70">
        <f>IF(Y141&lt;&gt;0,(PerpetuityBaseValue*IF(PerpetuityGrowing=2,(1+Result!$G$28/100)^Specs!W141,1))/(1+DiscYear/100)^$W141,0)</f>
        <v>0</v>
      </c>
      <c r="AA141" s="17">
        <f t="shared" si="15"/>
        <v>0</v>
      </c>
      <c r="AB141" s="70">
        <f>IF(AA141&lt;&gt;0,(PerpetuityBaseValueEquity*IF(PerpetuityGrowing=2,1+Result!$G$108/100,1))/(1+DiscYearEquity/100)^$W141,0)</f>
        <v>0</v>
      </c>
      <c r="AC141" s="70">
        <f>IF(Y141&lt;&gt;0,(PerpetuityBaseValue*IF(PerpetuityGrowing=2,(1+Result!$G$28/100)^Specs!W141,1))/(1+Calculations!$D$1051)^$W141,0)</f>
        <v>0</v>
      </c>
      <c r="AD141" s="70">
        <f>IF(Y141&lt;&gt;0,(PerpetuityBaseValue*IF(PerpetuityGrowing=2,(1+Result!$G$28/100)^Specs!W141,1))/(1+Calculations!$D$1052)^$W141,0)</f>
        <v>0</v>
      </c>
      <c r="AE141" s="70">
        <f>IF(Y141&lt;&gt;0,(PerpetuityBaseValue*IF(PerpetuityGrowing=2,(1+Result!$G$28/100)^Specs!W141,1))/(1+Calculations!$D$1054)^$W141,0)</f>
        <v>0</v>
      </c>
      <c r="AF141" s="70">
        <f>IF(Y141&lt;&gt;0,(PerpetuityBaseValue*IF(PerpetuityGrowing=2,(1+Result!$G$28/100)^Specs!W141,1))/(1+Calculations!$D$1055)^$W141,0)</f>
        <v>0</v>
      </c>
    </row>
    <row r="142" spans="1:32" ht="12.75" customHeight="1" x14ac:dyDescent="0.35">
      <c r="A142" s="17"/>
      <c r="B142" s="17"/>
      <c r="C142" s="17"/>
      <c r="D142" s="17"/>
      <c r="E142" s="17"/>
      <c r="F142" s="92">
        <v>5.946309435929531E-2</v>
      </c>
      <c r="G142" s="1239" t="e">
        <f>G143</f>
        <v>#N/A</v>
      </c>
      <c r="H142" s="17"/>
      <c r="I142" s="17"/>
      <c r="J142" s="17"/>
      <c r="K142" s="17"/>
      <c r="L142" s="17"/>
      <c r="M142" s="17"/>
      <c r="N142" s="17"/>
      <c r="O142" s="17"/>
      <c r="P142" s="17"/>
      <c r="Q142" s="17"/>
      <c r="R142" s="17"/>
      <c r="S142" s="17"/>
      <c r="T142" s="17"/>
      <c r="U142" s="17"/>
      <c r="V142" s="129" t="str">
        <f t="shared" si="13"/>
        <v>64 years</v>
      </c>
      <c r="W142" s="17">
        <v>64</v>
      </c>
      <c r="X142" s="17" t="str">
        <f>IF(Language&lt;&gt;5,'Basic Values'!$B$9,IF(W142&lt;5,"lata","lat"))</f>
        <v>years</v>
      </c>
      <c r="Y142" s="17">
        <f t="shared" si="14"/>
        <v>0</v>
      </c>
      <c r="Z142" s="70">
        <f>IF(Y142&lt;&gt;0,(PerpetuityBaseValue*IF(PerpetuityGrowing=2,(1+Result!$G$28/100)^Specs!W142,1))/(1+DiscYear/100)^$W142,0)</f>
        <v>0</v>
      </c>
      <c r="AA142" s="17">
        <f t="shared" si="15"/>
        <v>0</v>
      </c>
      <c r="AB142" s="70">
        <f>IF(AA142&lt;&gt;0,(PerpetuityBaseValueEquity*IF(PerpetuityGrowing=2,1+Result!$G$108/100,1))/(1+DiscYearEquity/100)^$W142,0)</f>
        <v>0</v>
      </c>
      <c r="AC142" s="70">
        <f>IF(Y142&lt;&gt;0,(PerpetuityBaseValue*IF(PerpetuityGrowing=2,(1+Result!$G$28/100)^Specs!W142,1))/(1+Calculations!$D$1051)^$W142,0)</f>
        <v>0</v>
      </c>
      <c r="AD142" s="70">
        <f>IF(Y142&lt;&gt;0,(PerpetuityBaseValue*IF(PerpetuityGrowing=2,(1+Result!$G$28/100)^Specs!W142,1))/(1+Calculations!$D$1052)^$W142,0)</f>
        <v>0</v>
      </c>
      <c r="AE142" s="70">
        <f>IF(Y142&lt;&gt;0,(PerpetuityBaseValue*IF(PerpetuityGrowing=2,(1+Result!$G$28/100)^Specs!W142,1))/(1+Calculations!$D$1054)^$W142,0)</f>
        <v>0</v>
      </c>
      <c r="AF142" s="70">
        <f>IF(Y142&lt;&gt;0,(PerpetuityBaseValue*IF(PerpetuityGrowing=2,(1+Result!$G$28/100)^Specs!W142,1))/(1+Calculations!$D$1055)^$W142,0)</f>
        <v>0</v>
      </c>
    </row>
    <row r="143" spans="1:32" ht="12.75" customHeight="1" x14ac:dyDescent="0.35">
      <c r="A143" s="17"/>
      <c r="B143" s="17"/>
      <c r="C143" s="17"/>
      <c r="D143" s="17"/>
      <c r="E143" s="17"/>
      <c r="F143" s="92">
        <v>4.521125295294337E-2</v>
      </c>
      <c r="G143" s="93" t="e">
        <f>IF(FCFEinUse=1,(1+IRR(IrrCashFlowEquity,$F143))^12-1,NA())</f>
        <v>#N/A</v>
      </c>
      <c r="H143" s="17"/>
      <c r="I143" s="17"/>
      <c r="J143" s="17"/>
      <c r="K143" s="17"/>
      <c r="L143" s="17"/>
      <c r="M143" s="17"/>
      <c r="N143" s="17"/>
      <c r="O143" s="17"/>
      <c r="P143" s="17"/>
      <c r="Q143" s="17"/>
      <c r="R143" s="17"/>
      <c r="S143" s="17"/>
      <c r="T143" s="17"/>
      <c r="U143" s="17"/>
      <c r="V143" s="129" t="str">
        <f t="shared" ref="V143:V174" si="17">W143&amp;" "&amp;X143</f>
        <v>65 years</v>
      </c>
      <c r="W143" s="17">
        <v>65</v>
      </c>
      <c r="X143" s="17" t="str">
        <f>IF(Language&lt;&gt;5,'Basic Values'!$B$9,IF(W143&lt;5,"lata","lat"))</f>
        <v>years</v>
      </c>
      <c r="Y143" s="17">
        <f t="shared" ref="Y143:Y178" si="18">IF($W143&lt;=PerpetuityLimitation-1,$W143,0)</f>
        <v>0</v>
      </c>
      <c r="Z143" s="70">
        <f>IF(Y143&lt;&gt;0,(PerpetuityBaseValue*IF(PerpetuityGrowing=2,(1+Result!$G$28/100)^Specs!W143,1))/(1+DiscYear/100)^$W143,0)</f>
        <v>0</v>
      </c>
      <c r="AA143" s="17">
        <f t="shared" ref="AA143:AA178" si="19">IF($W143&lt;=PerpetuityLimitationEquity-1,$W143,0)</f>
        <v>0</v>
      </c>
      <c r="AB143" s="70">
        <f>IF(AA143&lt;&gt;0,(PerpetuityBaseValueEquity*IF(PerpetuityGrowing=2,1+Result!$G$108/100,1))/(1+DiscYearEquity/100)^$W143,0)</f>
        <v>0</v>
      </c>
      <c r="AC143" s="70">
        <f>IF(Y143&lt;&gt;0,(PerpetuityBaseValue*IF(PerpetuityGrowing=2,(1+Result!$G$28/100)^Specs!W143,1))/(1+Calculations!$D$1051)^$W143,0)</f>
        <v>0</v>
      </c>
      <c r="AD143" s="70">
        <f>IF(Y143&lt;&gt;0,(PerpetuityBaseValue*IF(PerpetuityGrowing=2,(1+Result!$G$28/100)^Specs!W143,1))/(1+Calculations!$D$1052)^$W143,0)</f>
        <v>0</v>
      </c>
      <c r="AE143" s="70">
        <f>IF(Y143&lt;&gt;0,(PerpetuityBaseValue*IF(PerpetuityGrowing=2,(1+Result!$G$28/100)^Specs!W143,1))/(1+Calculations!$D$1054)^$W143,0)</f>
        <v>0</v>
      </c>
      <c r="AF143" s="70">
        <f>IF(Y143&lt;&gt;0,(PerpetuityBaseValue*IF(PerpetuityGrowing=2,(1+Result!$G$28/100)^Specs!W143,1))/(1+Calculations!$D$1055)^$W143,0)</f>
        <v>0</v>
      </c>
    </row>
    <row r="144" spans="1:32" ht="12.75" customHeight="1" x14ac:dyDescent="0.35">
      <c r="A144" s="17"/>
      <c r="B144" s="17"/>
      <c r="C144" s="17"/>
      <c r="D144" s="17"/>
      <c r="E144" s="17"/>
      <c r="F144" s="92">
        <v>2.8436155726361267E-2</v>
      </c>
      <c r="G144" s="1239" t="e">
        <f>G145</f>
        <v>#N/A</v>
      </c>
      <c r="H144" s="17"/>
      <c r="I144" s="17"/>
      <c r="J144" s="17"/>
      <c r="K144" s="17"/>
      <c r="L144" s="17"/>
      <c r="M144" s="17"/>
      <c r="N144" s="17"/>
      <c r="O144" s="17"/>
      <c r="P144" s="17"/>
      <c r="Q144" s="17"/>
      <c r="R144" s="17"/>
      <c r="S144" s="17"/>
      <c r="T144" s="17"/>
      <c r="U144" s="17"/>
      <c r="V144" s="129" t="str">
        <f t="shared" si="17"/>
        <v>66 years</v>
      </c>
      <c r="W144" s="17">
        <v>66</v>
      </c>
      <c r="X144" s="17" t="str">
        <f>IF(Language&lt;&gt;5,'Basic Values'!$B$9,IF(W144&lt;5,"lata","lat"))</f>
        <v>years</v>
      </c>
      <c r="Y144" s="17">
        <f t="shared" si="18"/>
        <v>0</v>
      </c>
      <c r="Z144" s="70">
        <f>IF(Y144&lt;&gt;0,(PerpetuityBaseValue*IF(PerpetuityGrowing=2,(1+Result!$G$28/100)^Specs!W144,1))/(1+DiscYear/100)^$W144,0)</f>
        <v>0</v>
      </c>
      <c r="AA144" s="17">
        <f t="shared" si="19"/>
        <v>0</v>
      </c>
      <c r="AB144" s="70">
        <f>IF(AA144&lt;&gt;0,(PerpetuityBaseValueEquity*IF(PerpetuityGrowing=2,1+Result!$G$108/100,1))/(1+DiscYearEquity/100)^$W144,0)</f>
        <v>0</v>
      </c>
      <c r="AC144" s="70">
        <f>IF(Y144&lt;&gt;0,(PerpetuityBaseValue*IF(PerpetuityGrowing=2,(1+Result!$G$28/100)^Specs!W144,1))/(1+Calculations!$D$1051)^$W144,0)</f>
        <v>0</v>
      </c>
      <c r="AD144" s="70">
        <f>IF(Y144&lt;&gt;0,(PerpetuityBaseValue*IF(PerpetuityGrowing=2,(1+Result!$G$28/100)^Specs!W144,1))/(1+Calculations!$D$1052)^$W144,0)</f>
        <v>0</v>
      </c>
      <c r="AE144" s="70">
        <f>IF(Y144&lt;&gt;0,(PerpetuityBaseValue*IF(PerpetuityGrowing=2,(1+Result!$G$28/100)^Specs!W144,1))/(1+Calculations!$D$1054)^$W144,0)</f>
        <v>0</v>
      </c>
      <c r="AF144" s="70">
        <f>IF(Y144&lt;&gt;0,(PerpetuityBaseValue*IF(PerpetuityGrowing=2,(1+Result!$G$28/100)^Specs!W144,1))/(1+Calculations!$D$1055)^$W144,0)</f>
        <v>0</v>
      </c>
    </row>
    <row r="145" spans="1:32" ht="12.75" customHeight="1" x14ac:dyDescent="0.35">
      <c r="A145" s="17"/>
      <c r="B145" s="17"/>
      <c r="C145" s="17"/>
      <c r="D145" s="17"/>
      <c r="E145" s="17"/>
      <c r="F145" s="92">
        <v>1.5309470499731193E-2</v>
      </c>
      <c r="G145" s="93" t="e">
        <f>IF(FCFEinUse=1,(1+IRR(IrrCashFlowEquity,$F145))^12-1,NA())</f>
        <v>#N/A</v>
      </c>
      <c r="H145" s="17"/>
      <c r="I145" s="17"/>
      <c r="J145" s="17"/>
      <c r="K145" s="17"/>
      <c r="L145" s="17"/>
      <c r="M145" s="17"/>
      <c r="N145" s="17"/>
      <c r="O145" s="17"/>
      <c r="P145" s="17"/>
      <c r="Q145" s="17"/>
      <c r="R145" s="17"/>
      <c r="S145" s="17"/>
      <c r="T145" s="17"/>
      <c r="U145" s="17"/>
      <c r="V145" s="129" t="str">
        <f t="shared" si="17"/>
        <v>67 years</v>
      </c>
      <c r="W145" s="17">
        <v>67</v>
      </c>
      <c r="X145" s="17" t="str">
        <f>IF(Language&lt;&gt;5,'Basic Values'!$B$9,IF(W145&lt;5,"lata","lat"))</f>
        <v>years</v>
      </c>
      <c r="Y145" s="17">
        <f t="shared" si="18"/>
        <v>0</v>
      </c>
      <c r="Z145" s="70">
        <f>IF(Y145&lt;&gt;0,(PerpetuityBaseValue*IF(PerpetuityGrowing=2,(1+Result!$G$28/100)^Specs!W145,1))/(1+DiscYear/100)^$W145,0)</f>
        <v>0</v>
      </c>
      <c r="AA145" s="17">
        <f t="shared" si="19"/>
        <v>0</v>
      </c>
      <c r="AB145" s="70">
        <f>IF(AA145&lt;&gt;0,(PerpetuityBaseValueEquity*IF(PerpetuityGrowing=2,1+Result!$G$108/100,1))/(1+DiscYearEquity/100)^$W145,0)</f>
        <v>0</v>
      </c>
      <c r="AC145" s="70">
        <f>IF(Y145&lt;&gt;0,(PerpetuityBaseValue*IF(PerpetuityGrowing=2,(1+Result!$G$28/100)^Specs!W145,1))/(1+Calculations!$D$1051)^$W145,0)</f>
        <v>0</v>
      </c>
      <c r="AD145" s="70">
        <f>IF(Y145&lt;&gt;0,(PerpetuityBaseValue*IF(PerpetuityGrowing=2,(1+Result!$G$28/100)^Specs!W145,1))/(1+Calculations!$D$1052)^$W145,0)</f>
        <v>0</v>
      </c>
      <c r="AE145" s="70">
        <f>IF(Y145&lt;&gt;0,(PerpetuityBaseValue*IF(PerpetuityGrowing=2,(1+Result!$G$28/100)^Specs!W145,1))/(1+Calculations!$D$1054)^$W145,0)</f>
        <v>0</v>
      </c>
      <c r="AF145" s="70">
        <f>IF(Y145&lt;&gt;0,(PerpetuityBaseValue*IF(PerpetuityGrowing=2,(1+Result!$G$28/100)^Specs!W145,1))/(1+Calculations!$D$1055)^$W145,0)</f>
        <v>0</v>
      </c>
    </row>
    <row r="146" spans="1:32" ht="12.75" customHeight="1" x14ac:dyDescent="0.35">
      <c r="A146" s="17"/>
      <c r="B146" s="17"/>
      <c r="C146" s="17"/>
      <c r="D146" s="17"/>
      <c r="E146" s="17"/>
      <c r="F146" s="92">
        <v>7.9741404289037643E-3</v>
      </c>
      <c r="G146" s="1239" t="e">
        <f>G147</f>
        <v>#N/A</v>
      </c>
      <c r="H146" s="17"/>
      <c r="I146" s="17"/>
      <c r="J146" s="17"/>
      <c r="K146" s="17"/>
      <c r="L146" s="17"/>
      <c r="M146" s="17"/>
      <c r="N146" s="17"/>
      <c r="O146" s="17"/>
      <c r="P146" s="17"/>
      <c r="Q146" s="17"/>
      <c r="R146" s="17"/>
      <c r="S146" s="17"/>
      <c r="T146" s="17"/>
      <c r="U146" s="17"/>
      <c r="V146" s="129" t="str">
        <f t="shared" si="17"/>
        <v>68 years</v>
      </c>
      <c r="W146" s="17">
        <v>68</v>
      </c>
      <c r="X146" s="17" t="str">
        <f>IF(Language&lt;&gt;5,'Basic Values'!$B$9,IF(W146&lt;5,"lata","lat"))</f>
        <v>years</v>
      </c>
      <c r="Y146" s="17">
        <f t="shared" si="18"/>
        <v>0</v>
      </c>
      <c r="Z146" s="70">
        <f>IF(Y146&lt;&gt;0,(PerpetuityBaseValue*IF(PerpetuityGrowing=2,(1+Result!$G$28/100)^Specs!W146,1))/(1+DiscYear/100)^$W146,0)</f>
        <v>0</v>
      </c>
      <c r="AA146" s="17">
        <f t="shared" si="19"/>
        <v>0</v>
      </c>
      <c r="AB146" s="70">
        <f>IF(AA146&lt;&gt;0,(PerpetuityBaseValueEquity*IF(PerpetuityGrowing=2,1+Result!$G$108/100,1))/(1+DiscYearEquity/100)^$W146,0)</f>
        <v>0</v>
      </c>
      <c r="AC146" s="70">
        <f>IF(Y146&lt;&gt;0,(PerpetuityBaseValue*IF(PerpetuityGrowing=2,(1+Result!$G$28/100)^Specs!W146,1))/(1+Calculations!$D$1051)^$W146,0)</f>
        <v>0</v>
      </c>
      <c r="AD146" s="70">
        <f>IF(Y146&lt;&gt;0,(PerpetuityBaseValue*IF(PerpetuityGrowing=2,(1+Result!$G$28/100)^Specs!W146,1))/(1+Calculations!$D$1052)^$W146,0)</f>
        <v>0</v>
      </c>
      <c r="AE146" s="70">
        <f>IF(Y146&lt;&gt;0,(PerpetuityBaseValue*IF(PerpetuityGrowing=2,(1+Result!$G$28/100)^Specs!W146,1))/(1+Calculations!$D$1054)^$W146,0)</f>
        <v>0</v>
      </c>
      <c r="AF146" s="70">
        <f>IF(Y146&lt;&gt;0,(PerpetuityBaseValue*IF(PerpetuityGrowing=2,(1+Result!$G$28/100)^Specs!W146,1))/(1+Calculations!$D$1055)^$W146,0)</f>
        <v>0</v>
      </c>
    </row>
    <row r="147" spans="1:32" ht="12.75" customHeight="1" x14ac:dyDescent="0.35">
      <c r="A147" s="17"/>
      <c r="B147" s="17"/>
      <c r="C147" s="17"/>
      <c r="D147" s="17"/>
      <c r="E147" s="17"/>
      <c r="F147" s="92">
        <v>4.0741237836483535E-3</v>
      </c>
      <c r="G147" s="93" t="e">
        <f>IF(FCFEinUse=1,(1+IRR(IrrCashFlowEquity,$F147))^12-1,NA())</f>
        <v>#N/A</v>
      </c>
      <c r="H147" s="17"/>
      <c r="I147" s="17"/>
      <c r="J147" s="17"/>
      <c r="K147" s="17"/>
      <c r="L147" s="17"/>
      <c r="M147" s="17"/>
      <c r="N147" s="17"/>
      <c r="O147" s="17"/>
      <c r="P147" s="17"/>
      <c r="Q147" s="17"/>
      <c r="R147" s="17"/>
      <c r="S147" s="17"/>
      <c r="T147" s="17"/>
      <c r="U147" s="17"/>
      <c r="V147" s="129" t="str">
        <f t="shared" si="17"/>
        <v>69 years</v>
      </c>
      <c r="W147" s="17">
        <v>69</v>
      </c>
      <c r="X147" s="17" t="str">
        <f>IF(Language&lt;&gt;5,'Basic Values'!$B$9,IF(W147&lt;5,"lata","lat"))</f>
        <v>years</v>
      </c>
      <c r="Y147" s="17">
        <f t="shared" si="18"/>
        <v>0</v>
      </c>
      <c r="Z147" s="70">
        <f>IF(Y147&lt;&gt;0,(PerpetuityBaseValue*IF(PerpetuityGrowing=2,(1+Result!$G$28/100)^Specs!W147,1))/(1+DiscYear/100)^$W147,0)</f>
        <v>0</v>
      </c>
      <c r="AA147" s="17">
        <f t="shared" si="19"/>
        <v>0</v>
      </c>
      <c r="AB147" s="70">
        <f>IF(AA147&lt;&gt;0,(PerpetuityBaseValueEquity*IF(PerpetuityGrowing=2,1+Result!$G$108/100,1))/(1+DiscYearEquity/100)^$W147,0)</f>
        <v>0</v>
      </c>
      <c r="AC147" s="70">
        <f>IF(Y147&lt;&gt;0,(PerpetuityBaseValue*IF(PerpetuityGrowing=2,(1+Result!$G$28/100)^Specs!W147,1))/(1+Calculations!$D$1051)^$W147,0)</f>
        <v>0</v>
      </c>
      <c r="AD147" s="70">
        <f>IF(Y147&lt;&gt;0,(PerpetuityBaseValue*IF(PerpetuityGrowing=2,(1+Result!$G$28/100)^Specs!W147,1))/(1+Calculations!$D$1052)^$W147,0)</f>
        <v>0</v>
      </c>
      <c r="AE147" s="70">
        <f>IF(Y147&lt;&gt;0,(PerpetuityBaseValue*IF(PerpetuityGrowing=2,(1+Result!$G$28/100)^Specs!W147,1))/(1+Calculations!$D$1054)^$W147,0)</f>
        <v>0</v>
      </c>
      <c r="AF147" s="70">
        <f>IF(Y147&lt;&gt;0,(PerpetuityBaseValue*IF(PerpetuityGrowing=2,(1+Result!$G$28/100)^Specs!W147,1))/(1+Calculations!$D$1055)^$W147,0)</f>
        <v>0</v>
      </c>
    </row>
    <row r="148" spans="1:32" ht="12.75" customHeight="1" x14ac:dyDescent="0.35">
      <c r="A148" s="17"/>
      <c r="B148" s="17"/>
      <c r="C148" s="17"/>
      <c r="D148" s="17"/>
      <c r="E148" s="17"/>
      <c r="F148" s="94">
        <v>2.0598362698427408E-3</v>
      </c>
      <c r="G148" s="95" t="e">
        <f>IF(FCFEinUse=1,(1+IRR(IrrCashFlowEquity,$F148))^12-1,NA())</f>
        <v>#N/A</v>
      </c>
      <c r="H148" s="17"/>
      <c r="I148" s="17"/>
      <c r="J148" s="17"/>
      <c r="K148" s="17"/>
      <c r="L148" s="17"/>
      <c r="M148" s="17"/>
      <c r="N148" s="17"/>
      <c r="O148" s="17"/>
      <c r="P148" s="17"/>
      <c r="Q148" s="17"/>
      <c r="R148" s="17"/>
      <c r="S148" s="17"/>
      <c r="T148" s="17"/>
      <c r="U148" s="17"/>
      <c r="V148" s="129" t="str">
        <f t="shared" si="17"/>
        <v>70 years</v>
      </c>
      <c r="W148" s="17">
        <v>70</v>
      </c>
      <c r="X148" s="17" t="str">
        <f>IF(Language&lt;&gt;5,'Basic Values'!$B$9,IF(W148&lt;5,"lata","lat"))</f>
        <v>years</v>
      </c>
      <c r="Y148" s="17">
        <f t="shared" si="18"/>
        <v>0</v>
      </c>
      <c r="Z148" s="70">
        <f>IF(Y148&lt;&gt;0,(PerpetuityBaseValue*IF(PerpetuityGrowing=2,(1+Result!$G$28/100)^Specs!W148,1))/(1+DiscYear/100)^$W148,0)</f>
        <v>0</v>
      </c>
      <c r="AA148" s="17">
        <f t="shared" si="19"/>
        <v>0</v>
      </c>
      <c r="AB148" s="70">
        <f>IF(AA148&lt;&gt;0,(PerpetuityBaseValueEquity*IF(PerpetuityGrowing=2,1+Result!$G$108/100,1))/(1+DiscYearEquity/100)^$W148,0)</f>
        <v>0</v>
      </c>
      <c r="AC148" s="70">
        <f>IF(Y148&lt;&gt;0,(PerpetuityBaseValue*IF(PerpetuityGrowing=2,(1+Result!$G$28/100)^Specs!W148,1))/(1+Calculations!$D$1051)^$W148,0)</f>
        <v>0</v>
      </c>
      <c r="AD148" s="70">
        <f>IF(Y148&lt;&gt;0,(PerpetuityBaseValue*IF(PerpetuityGrowing=2,(1+Result!$G$28/100)^Specs!W148,1))/(1+Calculations!$D$1052)^$W148,0)</f>
        <v>0</v>
      </c>
      <c r="AE148" s="70">
        <f>IF(Y148&lt;&gt;0,(PerpetuityBaseValue*IF(PerpetuityGrowing=2,(1+Result!$G$28/100)^Specs!W148,1))/(1+Calculations!$D$1054)^$W148,0)</f>
        <v>0</v>
      </c>
      <c r="AF148" s="70">
        <f>IF(Y148&lt;&gt;0,(PerpetuityBaseValue*IF(PerpetuityGrowing=2,(1+Result!$G$28/100)^Specs!W148,1))/(1+Calculations!$D$1055)^$W148,0)</f>
        <v>0</v>
      </c>
    </row>
    <row r="149" spans="1:32" ht="12.75" customHeight="1" x14ac:dyDescent="0.35">
      <c r="A149" s="17"/>
      <c r="B149" s="17"/>
      <c r="C149" s="17"/>
      <c r="D149" s="17"/>
      <c r="E149" s="17"/>
      <c r="F149" s="17"/>
      <c r="G149" s="21" t="e">
        <f>MATCH(1,G150:G171,0)</f>
        <v>#N/A</v>
      </c>
      <c r="H149" s="17"/>
      <c r="I149" s="17"/>
      <c r="J149" s="17"/>
      <c r="K149" s="17"/>
      <c r="L149" s="17"/>
      <c r="M149" s="17"/>
      <c r="N149" s="17"/>
      <c r="O149" s="17"/>
      <c r="P149" s="17"/>
      <c r="Q149" s="17"/>
      <c r="R149" s="17"/>
      <c r="S149" s="17"/>
      <c r="T149" s="17"/>
      <c r="U149" s="17"/>
      <c r="V149" s="129" t="str">
        <f t="shared" si="17"/>
        <v>71 years</v>
      </c>
      <c r="W149" s="17">
        <v>71</v>
      </c>
      <c r="X149" s="17" t="str">
        <f>IF(Language&lt;&gt;5,'Basic Values'!$B$9,IF(W149&lt;5,"lata","lat"))</f>
        <v>years</v>
      </c>
      <c r="Y149" s="17">
        <f t="shared" si="18"/>
        <v>0</v>
      </c>
      <c r="Z149" s="70">
        <f>IF(Y149&lt;&gt;0,(PerpetuityBaseValue*IF(PerpetuityGrowing=2,(1+Result!$G$28/100)^Specs!W149,1))/(1+DiscYear/100)^$W149,0)</f>
        <v>0</v>
      </c>
      <c r="AA149" s="17">
        <f t="shared" si="19"/>
        <v>0</v>
      </c>
      <c r="AB149" s="70">
        <f>IF(AA149&lt;&gt;0,(PerpetuityBaseValueEquity*IF(PerpetuityGrowing=2,1+Result!$G$108/100,1))/(1+DiscYearEquity/100)^$W149,0)</f>
        <v>0</v>
      </c>
      <c r="AC149" s="70">
        <f>IF(Y149&lt;&gt;0,(PerpetuityBaseValue*IF(PerpetuityGrowing=2,(1+Result!$G$28/100)^Specs!W149,1))/(1+Calculations!$D$1051)^$W149,0)</f>
        <v>0</v>
      </c>
      <c r="AD149" s="70">
        <f>IF(Y149&lt;&gt;0,(PerpetuityBaseValue*IF(PerpetuityGrowing=2,(1+Result!$G$28/100)^Specs!W149,1))/(1+Calculations!$D$1052)^$W149,0)</f>
        <v>0</v>
      </c>
      <c r="AE149" s="70">
        <f>IF(Y149&lt;&gt;0,(PerpetuityBaseValue*IF(PerpetuityGrowing=2,(1+Result!$G$28/100)^Specs!W149,1))/(1+Calculations!$D$1054)^$W149,0)</f>
        <v>0</v>
      </c>
      <c r="AF149" s="70">
        <f>IF(Y149&lt;&gt;0,(PerpetuityBaseValue*IF(PerpetuityGrowing=2,(1+Result!$G$28/100)^Specs!W149,1))/(1+Calculations!$D$1055)^$W149,0)</f>
        <v>0</v>
      </c>
    </row>
    <row r="150" spans="1:32" ht="12.75" customHeight="1" x14ac:dyDescent="0.35">
      <c r="A150" s="17"/>
      <c r="B150" s="17"/>
      <c r="C150" s="17"/>
      <c r="D150" s="17"/>
      <c r="E150" s="17"/>
      <c r="F150" s="29" t="str">
        <f t="shared" ref="F150:F171" ca="1" si="20">IF(G150=1,G127,$G$126)</f>
        <v>-</v>
      </c>
      <c r="G150" s="91">
        <f t="shared" ref="G150:G171" si="21">IF(ISERROR(G127),0,1)</f>
        <v>0</v>
      </c>
      <c r="H150" s="17"/>
      <c r="I150" s="17"/>
      <c r="J150" s="17"/>
      <c r="K150" s="17"/>
      <c r="L150" s="17"/>
      <c r="M150" s="17"/>
      <c r="N150" s="17"/>
      <c r="O150" s="17"/>
      <c r="P150" s="17"/>
      <c r="Q150" s="17"/>
      <c r="R150" s="17"/>
      <c r="S150" s="17"/>
      <c r="T150" s="17"/>
      <c r="U150" s="17"/>
      <c r="V150" s="129" t="str">
        <f t="shared" si="17"/>
        <v>72 years</v>
      </c>
      <c r="W150" s="17">
        <v>72</v>
      </c>
      <c r="X150" s="17" t="str">
        <f>IF(Language&lt;&gt;5,'Basic Values'!$B$9,IF(W150&lt;5,"lata","lat"))</f>
        <v>years</v>
      </c>
      <c r="Y150" s="17">
        <f t="shared" si="18"/>
        <v>0</v>
      </c>
      <c r="Z150" s="70">
        <f>IF(Y150&lt;&gt;0,(PerpetuityBaseValue*IF(PerpetuityGrowing=2,(1+Result!$G$28/100)^Specs!W150,1))/(1+DiscYear/100)^$W150,0)</f>
        <v>0</v>
      </c>
      <c r="AA150" s="17">
        <f t="shared" si="19"/>
        <v>0</v>
      </c>
      <c r="AB150" s="70">
        <f>IF(AA150&lt;&gt;0,(PerpetuityBaseValueEquity*IF(PerpetuityGrowing=2,1+Result!$G$108/100,1))/(1+DiscYearEquity/100)^$W150,0)</f>
        <v>0</v>
      </c>
      <c r="AC150" s="70">
        <f>IF(Y150&lt;&gt;0,(PerpetuityBaseValue*IF(PerpetuityGrowing=2,(1+Result!$G$28/100)^Specs!W150,1))/(1+Calculations!$D$1051)^$W150,0)</f>
        <v>0</v>
      </c>
      <c r="AD150" s="70">
        <f>IF(Y150&lt;&gt;0,(PerpetuityBaseValue*IF(PerpetuityGrowing=2,(1+Result!$G$28/100)^Specs!W150,1))/(1+Calculations!$D$1052)^$W150,0)</f>
        <v>0</v>
      </c>
      <c r="AE150" s="70">
        <f>IF(Y150&lt;&gt;0,(PerpetuityBaseValue*IF(PerpetuityGrowing=2,(1+Result!$G$28/100)^Specs!W150,1))/(1+Calculations!$D$1054)^$W150,0)</f>
        <v>0</v>
      </c>
      <c r="AF150" s="70">
        <f>IF(Y150&lt;&gt;0,(PerpetuityBaseValue*IF(PerpetuityGrowing=2,(1+Result!$G$28/100)^Specs!W150,1))/(1+Calculations!$D$1055)^$W150,0)</f>
        <v>0</v>
      </c>
    </row>
    <row r="151" spans="1:32" ht="12.75" customHeight="1" x14ac:dyDescent="0.35">
      <c r="A151" s="17"/>
      <c r="B151" s="17"/>
      <c r="C151" s="17"/>
      <c r="D151" s="17"/>
      <c r="E151" s="17"/>
      <c r="F151" s="36" t="str">
        <f t="shared" ca="1" si="20"/>
        <v>-</v>
      </c>
      <c r="G151" s="93">
        <f t="shared" si="21"/>
        <v>0</v>
      </c>
      <c r="H151" s="17"/>
      <c r="I151" s="17"/>
      <c r="J151" s="17"/>
      <c r="K151" s="17"/>
      <c r="L151" s="17"/>
      <c r="M151" s="17"/>
      <c r="N151" s="17"/>
      <c r="O151" s="17"/>
      <c r="P151" s="17"/>
      <c r="Q151" s="17"/>
      <c r="R151" s="17"/>
      <c r="S151" s="17"/>
      <c r="T151" s="17"/>
      <c r="U151" s="17"/>
      <c r="V151" s="129" t="str">
        <f t="shared" si="17"/>
        <v>73 years</v>
      </c>
      <c r="W151" s="17">
        <v>73</v>
      </c>
      <c r="X151" s="17" t="str">
        <f>IF(Language&lt;&gt;5,'Basic Values'!$B$9,IF(W151&lt;5,"lata","lat"))</f>
        <v>years</v>
      </c>
      <c r="Y151" s="17">
        <f t="shared" si="18"/>
        <v>0</v>
      </c>
      <c r="Z151" s="70">
        <f>IF(Y151&lt;&gt;0,(PerpetuityBaseValue*IF(PerpetuityGrowing=2,(1+Result!$G$28/100)^Specs!W151,1))/(1+DiscYear/100)^$W151,0)</f>
        <v>0</v>
      </c>
      <c r="AA151" s="17">
        <f t="shared" si="19"/>
        <v>0</v>
      </c>
      <c r="AB151" s="70">
        <f>IF(AA151&lt;&gt;0,(PerpetuityBaseValueEquity*IF(PerpetuityGrowing=2,1+Result!$G$108/100,1))/(1+DiscYearEquity/100)^$W151,0)</f>
        <v>0</v>
      </c>
      <c r="AC151" s="70">
        <f>IF(Y151&lt;&gt;0,(PerpetuityBaseValue*IF(PerpetuityGrowing=2,(1+Result!$G$28/100)^Specs!W151,1))/(1+Calculations!$D$1051)^$W151,0)</f>
        <v>0</v>
      </c>
      <c r="AD151" s="70">
        <f>IF(Y151&lt;&gt;0,(PerpetuityBaseValue*IF(PerpetuityGrowing=2,(1+Result!$G$28/100)^Specs!W151,1))/(1+Calculations!$D$1052)^$W151,0)</f>
        <v>0</v>
      </c>
      <c r="AE151" s="70">
        <f>IF(Y151&lt;&gt;0,(PerpetuityBaseValue*IF(PerpetuityGrowing=2,(1+Result!$G$28/100)^Specs!W151,1))/(1+Calculations!$D$1054)^$W151,0)</f>
        <v>0</v>
      </c>
      <c r="AF151" s="70">
        <f>IF(Y151&lt;&gt;0,(PerpetuityBaseValue*IF(PerpetuityGrowing=2,(1+Result!$G$28/100)^Specs!W151,1))/(1+Calculations!$D$1055)^$W151,0)</f>
        <v>0</v>
      </c>
    </row>
    <row r="152" spans="1:32" ht="12.75" customHeight="1" x14ac:dyDescent="0.35">
      <c r="A152" s="17"/>
      <c r="B152" s="17"/>
      <c r="C152" s="17"/>
      <c r="D152" s="17"/>
      <c r="E152" s="17"/>
      <c r="F152" s="36" t="str">
        <f t="shared" ca="1" si="20"/>
        <v>-</v>
      </c>
      <c r="G152" s="93">
        <f t="shared" si="21"/>
        <v>0</v>
      </c>
      <c r="H152" s="17"/>
      <c r="I152" s="17"/>
      <c r="J152" s="17"/>
      <c r="K152" s="17"/>
      <c r="L152" s="17"/>
      <c r="M152" s="17"/>
      <c r="N152" s="17"/>
      <c r="O152" s="17"/>
      <c r="P152" s="17"/>
      <c r="Q152" s="17"/>
      <c r="R152" s="17"/>
      <c r="S152" s="17"/>
      <c r="T152" s="17"/>
      <c r="U152" s="17"/>
      <c r="V152" s="129" t="str">
        <f t="shared" si="17"/>
        <v>74 years</v>
      </c>
      <c r="W152" s="17">
        <v>74</v>
      </c>
      <c r="X152" s="17" t="str">
        <f>IF(Language&lt;&gt;5,'Basic Values'!$B$9,IF(W152&lt;5,"lata","lat"))</f>
        <v>years</v>
      </c>
      <c r="Y152" s="17">
        <f t="shared" si="18"/>
        <v>0</v>
      </c>
      <c r="Z152" s="70">
        <f>IF(Y152&lt;&gt;0,(PerpetuityBaseValue*IF(PerpetuityGrowing=2,(1+Result!$G$28/100)^Specs!W152,1))/(1+DiscYear/100)^$W152,0)</f>
        <v>0</v>
      </c>
      <c r="AA152" s="17">
        <f t="shared" si="19"/>
        <v>0</v>
      </c>
      <c r="AB152" s="70">
        <f>IF(AA152&lt;&gt;0,(PerpetuityBaseValueEquity*IF(PerpetuityGrowing=2,1+Result!$G$108/100,1))/(1+DiscYearEquity/100)^$W152,0)</f>
        <v>0</v>
      </c>
      <c r="AC152" s="70">
        <f>IF(Y152&lt;&gt;0,(PerpetuityBaseValue*IF(PerpetuityGrowing=2,(1+Result!$G$28/100)^Specs!W152,1))/(1+Calculations!$D$1051)^$W152,0)</f>
        <v>0</v>
      </c>
      <c r="AD152" s="70">
        <f>IF(Y152&lt;&gt;0,(PerpetuityBaseValue*IF(PerpetuityGrowing=2,(1+Result!$G$28/100)^Specs!W152,1))/(1+Calculations!$D$1052)^$W152,0)</f>
        <v>0</v>
      </c>
      <c r="AE152" s="70">
        <f>IF(Y152&lt;&gt;0,(PerpetuityBaseValue*IF(PerpetuityGrowing=2,(1+Result!$G$28/100)^Specs!W152,1))/(1+Calculations!$D$1054)^$W152,0)</f>
        <v>0</v>
      </c>
      <c r="AF152" s="70">
        <f>IF(Y152&lt;&gt;0,(PerpetuityBaseValue*IF(PerpetuityGrowing=2,(1+Result!$G$28/100)^Specs!W152,1))/(1+Calculations!$D$1055)^$W152,0)</f>
        <v>0</v>
      </c>
    </row>
    <row r="153" spans="1:32" ht="12.75" customHeight="1" x14ac:dyDescent="0.35">
      <c r="A153" s="17"/>
      <c r="B153" s="17"/>
      <c r="C153" s="17"/>
      <c r="D153" s="17"/>
      <c r="E153" s="17"/>
      <c r="F153" s="36" t="str">
        <f t="shared" ca="1" si="20"/>
        <v>-</v>
      </c>
      <c r="G153" s="93">
        <f t="shared" si="21"/>
        <v>0</v>
      </c>
      <c r="H153" s="17"/>
      <c r="I153" s="17"/>
      <c r="J153" s="17"/>
      <c r="K153" s="17"/>
      <c r="L153" s="17"/>
      <c r="M153" s="17"/>
      <c r="N153" s="17"/>
      <c r="O153" s="17"/>
      <c r="P153" s="17"/>
      <c r="Q153" s="17"/>
      <c r="R153" s="17"/>
      <c r="S153" s="17"/>
      <c r="T153" s="17"/>
      <c r="U153" s="17"/>
      <c r="V153" s="129" t="str">
        <f t="shared" si="17"/>
        <v>75 years</v>
      </c>
      <c r="W153" s="17">
        <v>75</v>
      </c>
      <c r="X153" s="17" t="str">
        <f>IF(Language&lt;&gt;5,'Basic Values'!$B$9,IF(W153&lt;5,"lata","lat"))</f>
        <v>years</v>
      </c>
      <c r="Y153" s="17">
        <f t="shared" si="18"/>
        <v>0</v>
      </c>
      <c r="Z153" s="70">
        <f>IF(Y153&lt;&gt;0,(PerpetuityBaseValue*IF(PerpetuityGrowing=2,(1+Result!$G$28/100)^Specs!W153,1))/(1+DiscYear/100)^$W153,0)</f>
        <v>0</v>
      </c>
      <c r="AA153" s="17">
        <f t="shared" si="19"/>
        <v>0</v>
      </c>
      <c r="AB153" s="70">
        <f>IF(AA153&lt;&gt;0,(PerpetuityBaseValueEquity*IF(PerpetuityGrowing=2,1+Result!$G$108/100,1))/(1+DiscYearEquity/100)^$W153,0)</f>
        <v>0</v>
      </c>
      <c r="AC153" s="70">
        <f>IF(Y153&lt;&gt;0,(PerpetuityBaseValue*IF(PerpetuityGrowing=2,(1+Result!$G$28/100)^Specs!W153,1))/(1+Calculations!$D$1051)^$W153,0)</f>
        <v>0</v>
      </c>
      <c r="AD153" s="70">
        <f>IF(Y153&lt;&gt;0,(PerpetuityBaseValue*IF(PerpetuityGrowing=2,(1+Result!$G$28/100)^Specs!W153,1))/(1+Calculations!$D$1052)^$W153,0)</f>
        <v>0</v>
      </c>
      <c r="AE153" s="70">
        <f>IF(Y153&lt;&gt;0,(PerpetuityBaseValue*IF(PerpetuityGrowing=2,(1+Result!$G$28/100)^Specs!W153,1))/(1+Calculations!$D$1054)^$W153,0)</f>
        <v>0</v>
      </c>
      <c r="AF153" s="70">
        <f>IF(Y153&lt;&gt;0,(PerpetuityBaseValue*IF(PerpetuityGrowing=2,(1+Result!$G$28/100)^Specs!W153,1))/(1+Calculations!$D$1055)^$W153,0)</f>
        <v>0</v>
      </c>
    </row>
    <row r="154" spans="1:32" ht="12.75" customHeight="1" x14ac:dyDescent="0.35">
      <c r="A154" s="17"/>
      <c r="B154" s="17"/>
      <c r="C154" s="17"/>
      <c r="D154" s="17"/>
      <c r="E154" s="17"/>
      <c r="F154" s="36" t="str">
        <f t="shared" ca="1" si="20"/>
        <v>-</v>
      </c>
      <c r="G154" s="93">
        <f t="shared" si="21"/>
        <v>0</v>
      </c>
      <c r="H154" s="17"/>
      <c r="I154" s="17"/>
      <c r="J154" s="17"/>
      <c r="K154" s="17"/>
      <c r="L154" s="17"/>
      <c r="M154" s="17"/>
      <c r="N154" s="17"/>
      <c r="O154" s="17"/>
      <c r="P154" s="17"/>
      <c r="Q154" s="17"/>
      <c r="R154" s="17"/>
      <c r="S154" s="17"/>
      <c r="T154" s="17"/>
      <c r="U154" s="17"/>
      <c r="V154" s="129" t="str">
        <f t="shared" si="17"/>
        <v>76 years</v>
      </c>
      <c r="W154" s="17">
        <v>76</v>
      </c>
      <c r="X154" s="17" t="str">
        <f>IF(Language&lt;&gt;5,'Basic Values'!$B$9,IF(W154&lt;5,"lata","lat"))</f>
        <v>years</v>
      </c>
      <c r="Y154" s="17">
        <f t="shared" si="18"/>
        <v>0</v>
      </c>
      <c r="Z154" s="70">
        <f>IF(Y154&lt;&gt;0,(PerpetuityBaseValue*IF(PerpetuityGrowing=2,(1+Result!$G$28/100)^Specs!W154,1))/(1+DiscYear/100)^$W154,0)</f>
        <v>0</v>
      </c>
      <c r="AA154" s="17">
        <f t="shared" si="19"/>
        <v>0</v>
      </c>
      <c r="AB154" s="70">
        <f>IF(AA154&lt;&gt;0,(PerpetuityBaseValueEquity*IF(PerpetuityGrowing=2,1+Result!$G$108/100,1))/(1+DiscYearEquity/100)^$W154,0)</f>
        <v>0</v>
      </c>
      <c r="AC154" s="70">
        <f>IF(Y154&lt;&gt;0,(PerpetuityBaseValue*IF(PerpetuityGrowing=2,(1+Result!$G$28/100)^Specs!W154,1))/(1+Calculations!$D$1051)^$W154,0)</f>
        <v>0</v>
      </c>
      <c r="AD154" s="70">
        <f>IF(Y154&lt;&gt;0,(PerpetuityBaseValue*IF(PerpetuityGrowing=2,(1+Result!$G$28/100)^Specs!W154,1))/(1+Calculations!$D$1052)^$W154,0)</f>
        <v>0</v>
      </c>
      <c r="AE154" s="70">
        <f>IF(Y154&lt;&gt;0,(PerpetuityBaseValue*IF(PerpetuityGrowing=2,(1+Result!$G$28/100)^Specs!W154,1))/(1+Calculations!$D$1054)^$W154,0)</f>
        <v>0</v>
      </c>
      <c r="AF154" s="70">
        <f>IF(Y154&lt;&gt;0,(PerpetuityBaseValue*IF(PerpetuityGrowing=2,(1+Result!$G$28/100)^Specs!W154,1))/(1+Calculations!$D$1055)^$W154,0)</f>
        <v>0</v>
      </c>
    </row>
    <row r="155" spans="1:32" ht="12.75" customHeight="1" x14ac:dyDescent="0.35">
      <c r="A155" s="17"/>
      <c r="B155" s="17"/>
      <c r="C155" s="17"/>
      <c r="D155" s="17"/>
      <c r="E155" s="17"/>
      <c r="F155" s="36" t="str">
        <f t="shared" ca="1" si="20"/>
        <v>-</v>
      </c>
      <c r="G155" s="93">
        <f t="shared" si="21"/>
        <v>0</v>
      </c>
      <c r="H155" s="17"/>
      <c r="I155" s="17"/>
      <c r="J155" s="17"/>
      <c r="K155" s="17"/>
      <c r="L155" s="17"/>
      <c r="M155" s="17"/>
      <c r="N155" s="17"/>
      <c r="O155" s="17"/>
      <c r="P155" s="17"/>
      <c r="Q155" s="17"/>
      <c r="R155" s="17"/>
      <c r="S155" s="17"/>
      <c r="T155" s="17"/>
      <c r="U155" s="17"/>
      <c r="V155" s="129" t="str">
        <f t="shared" si="17"/>
        <v>77 years</v>
      </c>
      <c r="W155" s="17">
        <v>77</v>
      </c>
      <c r="X155" s="17" t="str">
        <f>IF(Language&lt;&gt;5,'Basic Values'!$B$9,IF(W155&lt;5,"lata","lat"))</f>
        <v>years</v>
      </c>
      <c r="Y155" s="17">
        <f t="shared" si="18"/>
        <v>0</v>
      </c>
      <c r="Z155" s="70">
        <f>IF(Y155&lt;&gt;0,(PerpetuityBaseValue*IF(PerpetuityGrowing=2,(1+Result!$G$28/100)^Specs!W155,1))/(1+DiscYear/100)^$W155,0)</f>
        <v>0</v>
      </c>
      <c r="AA155" s="17">
        <f t="shared" si="19"/>
        <v>0</v>
      </c>
      <c r="AB155" s="70">
        <f>IF(AA155&lt;&gt;0,(PerpetuityBaseValueEquity*IF(PerpetuityGrowing=2,1+Result!$G$108/100,1))/(1+DiscYearEquity/100)^$W155,0)</f>
        <v>0</v>
      </c>
      <c r="AC155" s="70">
        <f>IF(Y155&lt;&gt;0,(PerpetuityBaseValue*IF(PerpetuityGrowing=2,(1+Result!$G$28/100)^Specs!W155,1))/(1+Calculations!$D$1051)^$W155,0)</f>
        <v>0</v>
      </c>
      <c r="AD155" s="70">
        <f>IF(Y155&lt;&gt;0,(PerpetuityBaseValue*IF(PerpetuityGrowing=2,(1+Result!$G$28/100)^Specs!W155,1))/(1+Calculations!$D$1052)^$W155,0)</f>
        <v>0</v>
      </c>
      <c r="AE155" s="70">
        <f>IF(Y155&lt;&gt;0,(PerpetuityBaseValue*IF(PerpetuityGrowing=2,(1+Result!$G$28/100)^Specs!W155,1))/(1+Calculations!$D$1054)^$W155,0)</f>
        <v>0</v>
      </c>
      <c r="AF155" s="70">
        <f>IF(Y155&lt;&gt;0,(PerpetuityBaseValue*IF(PerpetuityGrowing=2,(1+Result!$G$28/100)^Specs!W155,1))/(1+Calculations!$D$1055)^$W155,0)</f>
        <v>0</v>
      </c>
    </row>
    <row r="156" spans="1:32" ht="12.75" customHeight="1" x14ac:dyDescent="0.35">
      <c r="A156" s="17"/>
      <c r="B156" s="17"/>
      <c r="C156" s="17"/>
      <c r="D156" s="17"/>
      <c r="E156" s="17"/>
      <c r="F156" s="29" t="str">
        <f t="shared" ca="1" si="20"/>
        <v>-</v>
      </c>
      <c r="G156" s="1240">
        <v>0</v>
      </c>
      <c r="H156" s="17"/>
      <c r="I156" s="17"/>
      <c r="J156" s="17"/>
      <c r="K156" s="17"/>
      <c r="L156" s="17"/>
      <c r="M156" s="17"/>
      <c r="N156" s="17"/>
      <c r="O156" s="17"/>
      <c r="P156" s="17"/>
      <c r="Q156" s="17"/>
      <c r="R156" s="17"/>
      <c r="S156" s="17"/>
      <c r="T156" s="17"/>
      <c r="U156" s="17"/>
      <c r="V156" s="129" t="str">
        <f t="shared" si="17"/>
        <v>78 years</v>
      </c>
      <c r="W156" s="17">
        <v>78</v>
      </c>
      <c r="X156" s="17" t="str">
        <f>IF(Language&lt;&gt;5,'Basic Values'!$B$9,IF(W156&lt;5,"lata","lat"))</f>
        <v>years</v>
      </c>
      <c r="Y156" s="17">
        <f t="shared" si="18"/>
        <v>0</v>
      </c>
      <c r="Z156" s="70">
        <f>IF(Y156&lt;&gt;0,(PerpetuityBaseValue*IF(PerpetuityGrowing=2,(1+Result!$G$28/100)^Specs!W156,1))/(1+DiscYear/100)^$W156,0)</f>
        <v>0</v>
      </c>
      <c r="AA156" s="17">
        <f t="shared" si="19"/>
        <v>0</v>
      </c>
      <c r="AB156" s="70">
        <f>IF(AA156&lt;&gt;0,(PerpetuityBaseValueEquity*IF(PerpetuityGrowing=2,1+Result!$G$108/100,1))/(1+DiscYearEquity/100)^$W156,0)</f>
        <v>0</v>
      </c>
      <c r="AC156" s="70">
        <f>IF(Y156&lt;&gt;0,(PerpetuityBaseValue*IF(PerpetuityGrowing=2,(1+Result!$G$28/100)^Specs!W156,1))/(1+Calculations!$D$1051)^$W156,0)</f>
        <v>0</v>
      </c>
      <c r="AD156" s="70">
        <f>IF(Y156&lt;&gt;0,(PerpetuityBaseValue*IF(PerpetuityGrowing=2,(1+Result!$G$28/100)^Specs!W156,1))/(1+Calculations!$D$1052)^$W156,0)</f>
        <v>0</v>
      </c>
      <c r="AE156" s="70">
        <f>IF(Y156&lt;&gt;0,(PerpetuityBaseValue*IF(PerpetuityGrowing=2,(1+Result!$G$28/100)^Specs!W156,1))/(1+Calculations!$D$1054)^$W156,0)</f>
        <v>0</v>
      </c>
      <c r="AF156" s="70">
        <f>IF(Y156&lt;&gt;0,(PerpetuityBaseValue*IF(PerpetuityGrowing=2,(1+Result!$G$28/100)^Specs!W156,1))/(1+Calculations!$D$1055)^$W156,0)</f>
        <v>0</v>
      </c>
    </row>
    <row r="157" spans="1:32" ht="12.75" customHeight="1" x14ac:dyDescent="0.35">
      <c r="A157" s="17"/>
      <c r="B157" s="17"/>
      <c r="C157" s="17"/>
      <c r="D157" s="17"/>
      <c r="E157" s="17"/>
      <c r="F157" s="36" t="str">
        <f t="shared" ca="1" si="20"/>
        <v>-</v>
      </c>
      <c r="G157" s="93">
        <f t="shared" si="21"/>
        <v>0</v>
      </c>
      <c r="H157" s="17"/>
      <c r="I157" s="17"/>
      <c r="J157" s="17"/>
      <c r="K157" s="17"/>
      <c r="L157" s="17"/>
      <c r="M157" s="17"/>
      <c r="N157" s="17"/>
      <c r="O157" s="17"/>
      <c r="P157" s="17"/>
      <c r="Q157" s="17"/>
      <c r="R157" s="17"/>
      <c r="S157" s="17"/>
      <c r="T157" s="17"/>
      <c r="U157" s="17"/>
      <c r="V157" s="129" t="str">
        <f t="shared" si="17"/>
        <v>79 years</v>
      </c>
      <c r="W157" s="17">
        <v>79</v>
      </c>
      <c r="X157" s="17" t="str">
        <f>IF(Language&lt;&gt;5,'Basic Values'!$B$9,IF(W157&lt;5,"lata","lat"))</f>
        <v>years</v>
      </c>
      <c r="Y157" s="17">
        <f t="shared" si="18"/>
        <v>0</v>
      </c>
      <c r="Z157" s="70">
        <f>IF(Y157&lt;&gt;0,(PerpetuityBaseValue*IF(PerpetuityGrowing=2,(1+Result!$G$28/100)^Specs!W157,1))/(1+DiscYear/100)^$W157,0)</f>
        <v>0</v>
      </c>
      <c r="AA157" s="17">
        <f t="shared" si="19"/>
        <v>0</v>
      </c>
      <c r="AB157" s="70">
        <f>IF(AA157&lt;&gt;0,(PerpetuityBaseValueEquity*IF(PerpetuityGrowing=2,1+Result!$G$108/100,1))/(1+DiscYearEquity/100)^$W157,0)</f>
        <v>0</v>
      </c>
      <c r="AC157" s="70">
        <f>IF(Y157&lt;&gt;0,(PerpetuityBaseValue*IF(PerpetuityGrowing=2,(1+Result!$G$28/100)^Specs!W157,1))/(1+Calculations!$D$1051)^$W157,0)</f>
        <v>0</v>
      </c>
      <c r="AD157" s="70">
        <f>IF(Y157&lt;&gt;0,(PerpetuityBaseValue*IF(PerpetuityGrowing=2,(1+Result!$G$28/100)^Specs!W157,1))/(1+Calculations!$D$1052)^$W157,0)</f>
        <v>0</v>
      </c>
      <c r="AE157" s="70">
        <f>IF(Y157&lt;&gt;0,(PerpetuityBaseValue*IF(PerpetuityGrowing=2,(1+Result!$G$28/100)^Specs!W157,1))/(1+Calculations!$D$1054)^$W157,0)</f>
        <v>0</v>
      </c>
      <c r="AF157" s="70">
        <f>IF(Y157&lt;&gt;0,(PerpetuityBaseValue*IF(PerpetuityGrowing=2,(1+Result!$G$28/100)^Specs!W157,1))/(1+Calculations!$D$1055)^$W157,0)</f>
        <v>0</v>
      </c>
    </row>
    <row r="158" spans="1:32" ht="12.75" customHeight="1" x14ac:dyDescent="0.35">
      <c r="A158" s="17"/>
      <c r="B158" s="17"/>
      <c r="C158" s="17"/>
      <c r="D158" s="17"/>
      <c r="E158" s="17"/>
      <c r="F158" s="36" t="str">
        <f t="shared" ca="1" si="20"/>
        <v>-</v>
      </c>
      <c r="G158" s="1239">
        <v>0</v>
      </c>
      <c r="H158" s="17"/>
      <c r="I158" s="17"/>
      <c r="J158" s="17"/>
      <c r="K158" s="17"/>
      <c r="L158" s="17"/>
      <c r="M158" s="17"/>
      <c r="N158" s="17"/>
      <c r="O158" s="17"/>
      <c r="P158" s="17"/>
      <c r="Q158" s="17"/>
      <c r="R158" s="17"/>
      <c r="S158" s="17"/>
      <c r="T158" s="17"/>
      <c r="U158" s="17"/>
      <c r="V158" s="129" t="str">
        <f t="shared" si="17"/>
        <v>80 years</v>
      </c>
      <c r="W158" s="17">
        <v>80</v>
      </c>
      <c r="X158" s="17" t="str">
        <f>IF(Language&lt;&gt;5,'Basic Values'!$B$9,IF(W158&lt;5,"lata","lat"))</f>
        <v>years</v>
      </c>
      <c r="Y158" s="17">
        <f t="shared" si="18"/>
        <v>0</v>
      </c>
      <c r="Z158" s="70">
        <f>IF(Y158&lt;&gt;0,(PerpetuityBaseValue*IF(PerpetuityGrowing=2,(1+Result!$G$28/100)^Specs!W158,1))/(1+DiscYear/100)^$W158,0)</f>
        <v>0</v>
      </c>
      <c r="AA158" s="17">
        <f t="shared" si="19"/>
        <v>0</v>
      </c>
      <c r="AB158" s="70">
        <f>IF(AA158&lt;&gt;0,(PerpetuityBaseValueEquity*IF(PerpetuityGrowing=2,1+Result!$G$108/100,1))/(1+DiscYearEquity/100)^$W158,0)</f>
        <v>0</v>
      </c>
      <c r="AC158" s="70">
        <f>IF(Y158&lt;&gt;0,(PerpetuityBaseValue*IF(PerpetuityGrowing=2,(1+Result!$G$28/100)^Specs!W158,1))/(1+Calculations!$D$1051)^$W158,0)</f>
        <v>0</v>
      </c>
      <c r="AD158" s="70">
        <f>IF(Y158&lt;&gt;0,(PerpetuityBaseValue*IF(PerpetuityGrowing=2,(1+Result!$G$28/100)^Specs!W158,1))/(1+Calculations!$D$1052)^$W158,0)</f>
        <v>0</v>
      </c>
      <c r="AE158" s="70">
        <f>IF(Y158&lt;&gt;0,(PerpetuityBaseValue*IF(PerpetuityGrowing=2,(1+Result!$G$28/100)^Specs!W158,1))/(1+Calculations!$D$1054)^$W158,0)</f>
        <v>0</v>
      </c>
      <c r="AF158" s="70">
        <f>IF(Y158&lt;&gt;0,(PerpetuityBaseValue*IF(PerpetuityGrowing=2,(1+Result!$G$28/100)^Specs!W158,1))/(1+Calculations!$D$1055)^$W158,0)</f>
        <v>0</v>
      </c>
    </row>
    <row r="159" spans="1:32" ht="12.75" customHeight="1" x14ac:dyDescent="0.35">
      <c r="A159" s="17"/>
      <c r="B159" s="17"/>
      <c r="C159" s="17"/>
      <c r="D159" s="17"/>
      <c r="E159" s="17"/>
      <c r="F159" s="36" t="str">
        <f t="shared" ca="1" si="20"/>
        <v>-</v>
      </c>
      <c r="G159" s="93">
        <f t="shared" si="21"/>
        <v>0</v>
      </c>
      <c r="H159" s="17"/>
      <c r="I159" s="17"/>
      <c r="J159" s="17"/>
      <c r="K159" s="17"/>
      <c r="L159" s="17"/>
      <c r="M159" s="17"/>
      <c r="N159" s="17"/>
      <c r="O159" s="17"/>
      <c r="P159" s="17"/>
      <c r="Q159" s="17"/>
      <c r="R159" s="17"/>
      <c r="S159" s="17"/>
      <c r="T159" s="17"/>
      <c r="U159" s="17"/>
      <c r="V159" s="129" t="str">
        <f t="shared" si="17"/>
        <v>81 years</v>
      </c>
      <c r="W159" s="17">
        <v>81</v>
      </c>
      <c r="X159" s="17" t="str">
        <f>IF(Language&lt;&gt;5,'Basic Values'!$B$9,IF(W159&lt;5,"lata","lat"))</f>
        <v>years</v>
      </c>
      <c r="Y159" s="17">
        <f t="shared" si="18"/>
        <v>0</v>
      </c>
      <c r="Z159" s="70">
        <f>IF(Y159&lt;&gt;0,(PerpetuityBaseValue*IF(PerpetuityGrowing=2,(1+Result!$G$28/100)^Specs!W159,1))/(1+DiscYear/100)^$W159,0)</f>
        <v>0</v>
      </c>
      <c r="AA159" s="17">
        <f t="shared" si="19"/>
        <v>0</v>
      </c>
      <c r="AB159" s="70">
        <f>IF(AA159&lt;&gt;0,(PerpetuityBaseValueEquity*IF(PerpetuityGrowing=2,1+Result!$G$108/100,1))/(1+DiscYearEquity/100)^$W159,0)</f>
        <v>0</v>
      </c>
      <c r="AC159" s="70">
        <f>IF(Y159&lt;&gt;0,(PerpetuityBaseValue*IF(PerpetuityGrowing=2,(1+Result!$G$28/100)^Specs!W159,1))/(1+Calculations!$D$1051)^$W159,0)</f>
        <v>0</v>
      </c>
      <c r="AD159" s="70">
        <f>IF(Y159&lt;&gt;0,(PerpetuityBaseValue*IF(PerpetuityGrowing=2,(1+Result!$G$28/100)^Specs!W159,1))/(1+Calculations!$D$1052)^$W159,0)</f>
        <v>0</v>
      </c>
      <c r="AE159" s="70">
        <f>IF(Y159&lt;&gt;0,(PerpetuityBaseValue*IF(PerpetuityGrowing=2,(1+Result!$G$28/100)^Specs!W159,1))/(1+Calculations!$D$1054)^$W159,0)</f>
        <v>0</v>
      </c>
      <c r="AF159" s="70">
        <f>IF(Y159&lt;&gt;0,(PerpetuityBaseValue*IF(PerpetuityGrowing=2,(1+Result!$G$28/100)^Specs!W159,1))/(1+Calculations!$D$1055)^$W159,0)</f>
        <v>0</v>
      </c>
    </row>
    <row r="160" spans="1:32" ht="12.75" customHeight="1" x14ac:dyDescent="0.35">
      <c r="A160" s="17"/>
      <c r="B160" s="17"/>
      <c r="C160" s="17"/>
      <c r="D160" s="17"/>
      <c r="E160" s="17"/>
      <c r="F160" s="36" t="str">
        <f t="shared" ca="1" si="20"/>
        <v>-</v>
      </c>
      <c r="G160" s="1239">
        <v>0</v>
      </c>
      <c r="H160" s="17"/>
      <c r="I160" s="17"/>
      <c r="J160" s="17"/>
      <c r="K160" s="17"/>
      <c r="L160" s="17"/>
      <c r="M160" s="17"/>
      <c r="N160" s="17"/>
      <c r="O160" s="17"/>
      <c r="P160" s="17"/>
      <c r="Q160" s="17"/>
      <c r="R160" s="17"/>
      <c r="S160" s="17"/>
      <c r="T160" s="17"/>
      <c r="U160" s="17"/>
      <c r="V160" s="129" t="str">
        <f t="shared" si="17"/>
        <v>82 years</v>
      </c>
      <c r="W160" s="17">
        <v>82</v>
      </c>
      <c r="X160" s="17" t="str">
        <f>IF(Language&lt;&gt;5,'Basic Values'!$B$9,IF(W160&lt;5,"lata","lat"))</f>
        <v>years</v>
      </c>
      <c r="Y160" s="17">
        <f t="shared" si="18"/>
        <v>0</v>
      </c>
      <c r="Z160" s="70">
        <f>IF(Y160&lt;&gt;0,(PerpetuityBaseValue*IF(PerpetuityGrowing=2,(1+Result!$G$28/100)^Specs!W160,1))/(1+DiscYear/100)^$W160,0)</f>
        <v>0</v>
      </c>
      <c r="AA160" s="17">
        <f t="shared" si="19"/>
        <v>0</v>
      </c>
      <c r="AB160" s="70">
        <f>IF(AA160&lt;&gt;0,(PerpetuityBaseValueEquity*IF(PerpetuityGrowing=2,1+Result!$G$108/100,1))/(1+DiscYearEquity/100)^$W160,0)</f>
        <v>0</v>
      </c>
      <c r="AC160" s="70">
        <f>IF(Y160&lt;&gt;0,(PerpetuityBaseValue*IF(PerpetuityGrowing=2,(1+Result!$G$28/100)^Specs!W160,1))/(1+Calculations!$D$1051)^$W160,0)</f>
        <v>0</v>
      </c>
      <c r="AD160" s="70">
        <f>IF(Y160&lt;&gt;0,(PerpetuityBaseValue*IF(PerpetuityGrowing=2,(1+Result!$G$28/100)^Specs!W160,1))/(1+Calculations!$D$1052)^$W160,0)</f>
        <v>0</v>
      </c>
      <c r="AE160" s="70">
        <f>IF(Y160&lt;&gt;0,(PerpetuityBaseValue*IF(PerpetuityGrowing=2,(1+Result!$G$28/100)^Specs!W160,1))/(1+Calculations!$D$1054)^$W160,0)</f>
        <v>0</v>
      </c>
      <c r="AF160" s="70">
        <f>IF(Y160&lt;&gt;0,(PerpetuityBaseValue*IF(PerpetuityGrowing=2,(1+Result!$G$28/100)^Specs!W160,1))/(1+Calculations!$D$1055)^$W160,0)</f>
        <v>0</v>
      </c>
    </row>
    <row r="161" spans="1:32" ht="12.75" customHeight="1" x14ac:dyDescent="0.35">
      <c r="A161" s="17"/>
      <c r="B161" s="17"/>
      <c r="C161" s="17"/>
      <c r="D161" s="17"/>
      <c r="E161" s="17"/>
      <c r="F161" s="36" t="str">
        <f t="shared" ca="1" si="20"/>
        <v>-</v>
      </c>
      <c r="G161" s="93">
        <f t="shared" si="21"/>
        <v>0</v>
      </c>
      <c r="H161" s="17"/>
      <c r="I161" s="17"/>
      <c r="J161" s="17"/>
      <c r="K161" s="17"/>
      <c r="L161" s="17"/>
      <c r="M161" s="17"/>
      <c r="N161" s="17"/>
      <c r="O161" s="17"/>
      <c r="P161" s="17"/>
      <c r="Q161" s="17"/>
      <c r="R161" s="17"/>
      <c r="S161" s="17"/>
      <c r="T161" s="17"/>
      <c r="U161" s="17"/>
      <c r="V161" s="129" t="str">
        <f t="shared" si="17"/>
        <v>83 years</v>
      </c>
      <c r="W161" s="17">
        <v>83</v>
      </c>
      <c r="X161" s="17" t="str">
        <f>IF(Language&lt;&gt;5,'Basic Values'!$B$9,IF(W161&lt;5,"lata","lat"))</f>
        <v>years</v>
      </c>
      <c r="Y161" s="17">
        <f t="shared" si="18"/>
        <v>0</v>
      </c>
      <c r="Z161" s="70">
        <f>IF(Y161&lt;&gt;0,(PerpetuityBaseValue*IF(PerpetuityGrowing=2,(1+Result!$G$28/100)^Specs!W161,1))/(1+DiscYear/100)^$W161,0)</f>
        <v>0</v>
      </c>
      <c r="AA161" s="17">
        <f t="shared" si="19"/>
        <v>0</v>
      </c>
      <c r="AB161" s="70">
        <f>IF(AA161&lt;&gt;0,(PerpetuityBaseValueEquity*IF(PerpetuityGrowing=2,1+Result!$G$108/100,1))/(1+DiscYearEquity/100)^$W161,0)</f>
        <v>0</v>
      </c>
      <c r="AC161" s="70">
        <f>IF(Y161&lt;&gt;0,(PerpetuityBaseValue*IF(PerpetuityGrowing=2,(1+Result!$G$28/100)^Specs!W161,1))/(1+Calculations!$D$1051)^$W161,0)</f>
        <v>0</v>
      </c>
      <c r="AD161" s="70">
        <f>IF(Y161&lt;&gt;0,(PerpetuityBaseValue*IF(PerpetuityGrowing=2,(1+Result!$G$28/100)^Specs!W161,1))/(1+Calculations!$D$1052)^$W161,0)</f>
        <v>0</v>
      </c>
      <c r="AE161" s="70">
        <f>IF(Y161&lt;&gt;0,(PerpetuityBaseValue*IF(PerpetuityGrowing=2,(1+Result!$G$28/100)^Specs!W161,1))/(1+Calculations!$D$1054)^$W161,0)</f>
        <v>0</v>
      </c>
      <c r="AF161" s="70">
        <f>IF(Y161&lt;&gt;0,(PerpetuityBaseValue*IF(PerpetuityGrowing=2,(1+Result!$G$28/100)^Specs!W161,1))/(1+Calculations!$D$1055)^$W161,0)</f>
        <v>0</v>
      </c>
    </row>
    <row r="162" spans="1:32" ht="12.75" customHeight="1" x14ac:dyDescent="0.35">
      <c r="A162" s="17"/>
      <c r="B162" s="17"/>
      <c r="C162" s="17"/>
      <c r="D162" s="17"/>
      <c r="E162" s="17"/>
      <c r="F162" s="36" t="str">
        <f t="shared" ca="1" si="20"/>
        <v>-</v>
      </c>
      <c r="G162" s="93">
        <f t="shared" si="21"/>
        <v>0</v>
      </c>
      <c r="H162" s="17"/>
      <c r="I162" s="17"/>
      <c r="J162" s="17"/>
      <c r="K162" s="17"/>
      <c r="L162" s="17"/>
      <c r="M162" s="17"/>
      <c r="N162" s="17"/>
      <c r="O162" s="17"/>
      <c r="P162" s="17"/>
      <c r="Q162" s="17"/>
      <c r="R162" s="17"/>
      <c r="S162" s="17"/>
      <c r="T162" s="17"/>
      <c r="U162" s="17"/>
      <c r="V162" s="129" t="str">
        <f t="shared" si="17"/>
        <v>84 years</v>
      </c>
      <c r="W162" s="17">
        <v>84</v>
      </c>
      <c r="X162" s="17" t="str">
        <f>IF(Language&lt;&gt;5,'Basic Values'!$B$9,IF(W162&lt;5,"lata","lat"))</f>
        <v>years</v>
      </c>
      <c r="Y162" s="17">
        <f t="shared" si="18"/>
        <v>0</v>
      </c>
      <c r="Z162" s="70">
        <f>IF(Y162&lt;&gt;0,(PerpetuityBaseValue*IF(PerpetuityGrowing=2,(1+Result!$G$28/100)^Specs!W162,1))/(1+DiscYear/100)^$W162,0)</f>
        <v>0</v>
      </c>
      <c r="AA162" s="17">
        <f t="shared" si="19"/>
        <v>0</v>
      </c>
      <c r="AB162" s="70">
        <f>IF(AA162&lt;&gt;0,(PerpetuityBaseValueEquity*IF(PerpetuityGrowing=2,1+Result!$G$108/100,1))/(1+DiscYearEquity/100)^$W162,0)</f>
        <v>0</v>
      </c>
      <c r="AC162" s="70">
        <f>IF(Y162&lt;&gt;0,(PerpetuityBaseValue*IF(PerpetuityGrowing=2,(1+Result!$G$28/100)^Specs!W162,1))/(1+Calculations!$D$1051)^$W162,0)</f>
        <v>0</v>
      </c>
      <c r="AD162" s="70">
        <f>IF(Y162&lt;&gt;0,(PerpetuityBaseValue*IF(PerpetuityGrowing=2,(1+Result!$G$28/100)^Specs!W162,1))/(1+Calculations!$D$1052)^$W162,0)</f>
        <v>0</v>
      </c>
      <c r="AE162" s="70">
        <f>IF(Y162&lt;&gt;0,(PerpetuityBaseValue*IF(PerpetuityGrowing=2,(1+Result!$G$28/100)^Specs!W162,1))/(1+Calculations!$D$1054)^$W162,0)</f>
        <v>0</v>
      </c>
      <c r="AF162" s="70">
        <f>IF(Y162&lt;&gt;0,(PerpetuityBaseValue*IF(PerpetuityGrowing=2,(1+Result!$G$28/100)^Specs!W162,1))/(1+Calculations!$D$1055)^$W162,0)</f>
        <v>0</v>
      </c>
    </row>
    <row r="163" spans="1:32" ht="12.75" customHeight="1" x14ac:dyDescent="0.35">
      <c r="A163" s="17"/>
      <c r="B163" s="17"/>
      <c r="C163" s="17"/>
      <c r="D163" s="17"/>
      <c r="E163" s="17"/>
      <c r="F163" s="36" t="str">
        <f t="shared" ca="1" si="20"/>
        <v>-</v>
      </c>
      <c r="G163" s="93">
        <f t="shared" si="21"/>
        <v>0</v>
      </c>
      <c r="H163" s="17"/>
      <c r="I163" s="17"/>
      <c r="J163" s="17"/>
      <c r="K163" s="17"/>
      <c r="L163" s="17"/>
      <c r="M163" s="17"/>
      <c r="N163" s="17"/>
      <c r="O163" s="17"/>
      <c r="P163" s="17"/>
      <c r="Q163" s="17"/>
      <c r="R163" s="17"/>
      <c r="S163" s="17"/>
      <c r="T163" s="17"/>
      <c r="U163" s="17"/>
      <c r="V163" s="129" t="str">
        <f t="shared" si="17"/>
        <v>85 years</v>
      </c>
      <c r="W163" s="17">
        <v>85</v>
      </c>
      <c r="X163" s="17" t="str">
        <f>IF(Language&lt;&gt;5,'Basic Values'!$B$9,IF(W163&lt;5,"lata","lat"))</f>
        <v>years</v>
      </c>
      <c r="Y163" s="17">
        <f t="shared" si="18"/>
        <v>0</v>
      </c>
      <c r="Z163" s="70">
        <f>IF(Y163&lt;&gt;0,(PerpetuityBaseValue*IF(PerpetuityGrowing=2,(1+Result!$G$28/100)^Specs!W163,1))/(1+DiscYear/100)^$W163,0)</f>
        <v>0</v>
      </c>
      <c r="AA163" s="17">
        <f t="shared" si="19"/>
        <v>0</v>
      </c>
      <c r="AB163" s="70">
        <f>IF(AA163&lt;&gt;0,(PerpetuityBaseValueEquity*IF(PerpetuityGrowing=2,1+Result!$G$108/100,1))/(1+DiscYearEquity/100)^$W163,0)</f>
        <v>0</v>
      </c>
      <c r="AC163" s="70">
        <f>IF(Y163&lt;&gt;0,(PerpetuityBaseValue*IF(PerpetuityGrowing=2,(1+Result!$G$28/100)^Specs!W163,1))/(1+Calculations!$D$1051)^$W163,0)</f>
        <v>0</v>
      </c>
      <c r="AD163" s="70">
        <f>IF(Y163&lt;&gt;0,(PerpetuityBaseValue*IF(PerpetuityGrowing=2,(1+Result!$G$28/100)^Specs!W163,1))/(1+Calculations!$D$1052)^$W163,0)</f>
        <v>0</v>
      </c>
      <c r="AE163" s="70">
        <f>IF(Y163&lt;&gt;0,(PerpetuityBaseValue*IF(PerpetuityGrowing=2,(1+Result!$G$28/100)^Specs!W163,1))/(1+Calculations!$D$1054)^$W163,0)</f>
        <v>0</v>
      </c>
      <c r="AF163" s="70">
        <f>IF(Y163&lt;&gt;0,(PerpetuityBaseValue*IF(PerpetuityGrowing=2,(1+Result!$G$28/100)^Specs!W163,1))/(1+Calculations!$D$1055)^$W163,0)</f>
        <v>0</v>
      </c>
    </row>
    <row r="164" spans="1:32" ht="12.75" customHeight="1" x14ac:dyDescent="0.35">
      <c r="A164" s="17"/>
      <c r="B164" s="17"/>
      <c r="C164" s="17"/>
      <c r="D164" s="17"/>
      <c r="E164" s="17"/>
      <c r="F164" s="36" t="str">
        <f t="shared" ca="1" si="20"/>
        <v>-</v>
      </c>
      <c r="G164" s="93">
        <f t="shared" si="21"/>
        <v>0</v>
      </c>
      <c r="H164" s="17"/>
      <c r="I164" s="17"/>
      <c r="J164" s="17"/>
      <c r="K164" s="17"/>
      <c r="L164" s="17"/>
      <c r="M164" s="17"/>
      <c r="N164" s="17"/>
      <c r="O164" s="17"/>
      <c r="P164" s="17"/>
      <c r="Q164" s="17"/>
      <c r="R164" s="17"/>
      <c r="S164" s="17"/>
      <c r="T164" s="17"/>
      <c r="U164" s="17"/>
      <c r="V164" s="129" t="str">
        <f t="shared" si="17"/>
        <v>86 years</v>
      </c>
      <c r="W164" s="17">
        <v>86</v>
      </c>
      <c r="X164" s="17" t="str">
        <f>IF(Language&lt;&gt;5,'Basic Values'!$B$9,IF(W164&lt;5,"lata","lat"))</f>
        <v>years</v>
      </c>
      <c r="Y164" s="17">
        <f t="shared" si="18"/>
        <v>0</v>
      </c>
      <c r="Z164" s="70">
        <f>IF(Y164&lt;&gt;0,(PerpetuityBaseValue*IF(PerpetuityGrowing=2,(1+Result!$G$28/100)^Specs!W164,1))/(1+DiscYear/100)^$W164,0)</f>
        <v>0</v>
      </c>
      <c r="AA164" s="17">
        <f t="shared" si="19"/>
        <v>0</v>
      </c>
      <c r="AB164" s="70">
        <f>IF(AA164&lt;&gt;0,(PerpetuityBaseValueEquity*IF(PerpetuityGrowing=2,1+Result!$G$108/100,1))/(1+DiscYearEquity/100)^$W164,0)</f>
        <v>0</v>
      </c>
      <c r="AC164" s="70">
        <f>IF(Y164&lt;&gt;0,(PerpetuityBaseValue*IF(PerpetuityGrowing=2,(1+Result!$G$28/100)^Specs!W164,1))/(1+Calculations!$D$1051)^$W164,0)</f>
        <v>0</v>
      </c>
      <c r="AD164" s="70">
        <f>IF(Y164&lt;&gt;0,(PerpetuityBaseValue*IF(PerpetuityGrowing=2,(1+Result!$G$28/100)^Specs!W164,1))/(1+Calculations!$D$1052)^$W164,0)</f>
        <v>0</v>
      </c>
      <c r="AE164" s="70">
        <f>IF(Y164&lt;&gt;0,(PerpetuityBaseValue*IF(PerpetuityGrowing=2,(1+Result!$G$28/100)^Specs!W164,1))/(1+Calculations!$D$1054)^$W164,0)</f>
        <v>0</v>
      </c>
      <c r="AF164" s="70">
        <f>IF(Y164&lt;&gt;0,(PerpetuityBaseValue*IF(PerpetuityGrowing=2,(1+Result!$G$28/100)^Specs!W164,1))/(1+Calculations!$D$1055)^$W164,0)</f>
        <v>0</v>
      </c>
    </row>
    <row r="165" spans="1:32" ht="12.75" customHeight="1" x14ac:dyDescent="0.35">
      <c r="A165" s="17"/>
      <c r="B165" s="17"/>
      <c r="C165" s="17"/>
      <c r="D165" s="17"/>
      <c r="E165" s="17"/>
      <c r="F165" s="36" t="str">
        <f t="shared" ca="1" si="20"/>
        <v>-</v>
      </c>
      <c r="G165" s="1239">
        <v>0</v>
      </c>
      <c r="H165" s="17"/>
      <c r="I165" s="17"/>
      <c r="J165" s="17"/>
      <c r="K165" s="17"/>
      <c r="L165" s="17"/>
      <c r="M165" s="17"/>
      <c r="N165" s="17"/>
      <c r="O165" s="17"/>
      <c r="P165" s="17"/>
      <c r="Q165" s="17"/>
      <c r="R165" s="17"/>
      <c r="S165" s="17"/>
      <c r="T165" s="17"/>
      <c r="U165" s="17"/>
      <c r="V165" s="129" t="str">
        <f t="shared" si="17"/>
        <v>87 years</v>
      </c>
      <c r="W165" s="17">
        <v>87</v>
      </c>
      <c r="X165" s="17" t="str">
        <f>IF(Language&lt;&gt;5,'Basic Values'!$B$9,IF(W165&lt;5,"lata","lat"))</f>
        <v>years</v>
      </c>
      <c r="Y165" s="17">
        <f t="shared" si="18"/>
        <v>0</v>
      </c>
      <c r="Z165" s="70">
        <f>IF(Y165&lt;&gt;0,(PerpetuityBaseValue*IF(PerpetuityGrowing=2,(1+Result!$G$28/100)^Specs!W165,1))/(1+DiscYear/100)^$W165,0)</f>
        <v>0</v>
      </c>
      <c r="AA165" s="17">
        <f t="shared" si="19"/>
        <v>0</v>
      </c>
      <c r="AB165" s="70">
        <f>IF(AA165&lt;&gt;0,(PerpetuityBaseValueEquity*IF(PerpetuityGrowing=2,1+Result!$G$108/100,1))/(1+DiscYearEquity/100)^$W165,0)</f>
        <v>0</v>
      </c>
      <c r="AC165" s="70">
        <f>IF(Y165&lt;&gt;0,(PerpetuityBaseValue*IF(PerpetuityGrowing=2,(1+Result!$G$28/100)^Specs!W165,1))/(1+Calculations!$D$1051)^$W165,0)</f>
        <v>0</v>
      </c>
      <c r="AD165" s="70">
        <f>IF(Y165&lt;&gt;0,(PerpetuityBaseValue*IF(PerpetuityGrowing=2,(1+Result!$G$28/100)^Specs!W165,1))/(1+Calculations!$D$1052)^$W165,0)</f>
        <v>0</v>
      </c>
      <c r="AE165" s="70">
        <f>IF(Y165&lt;&gt;0,(PerpetuityBaseValue*IF(PerpetuityGrowing=2,(1+Result!$G$28/100)^Specs!W165,1))/(1+Calculations!$D$1054)^$W165,0)</f>
        <v>0</v>
      </c>
      <c r="AF165" s="70">
        <f>IF(Y165&lt;&gt;0,(PerpetuityBaseValue*IF(PerpetuityGrowing=2,(1+Result!$G$28/100)^Specs!W165,1))/(1+Calculations!$D$1055)^$W165,0)</f>
        <v>0</v>
      </c>
    </row>
    <row r="166" spans="1:32" ht="12.75" customHeight="1" x14ac:dyDescent="0.35">
      <c r="A166" s="17"/>
      <c r="B166" s="17"/>
      <c r="C166" s="17"/>
      <c r="D166" s="17"/>
      <c r="E166" s="17"/>
      <c r="F166" s="36" t="str">
        <f t="shared" ca="1" si="20"/>
        <v>-</v>
      </c>
      <c r="G166" s="93">
        <f t="shared" si="21"/>
        <v>0</v>
      </c>
      <c r="H166" s="17"/>
      <c r="I166" s="17"/>
      <c r="J166" s="17"/>
      <c r="K166" s="17"/>
      <c r="L166" s="17"/>
      <c r="M166" s="17"/>
      <c r="N166" s="17"/>
      <c r="O166" s="17"/>
      <c r="P166" s="17"/>
      <c r="Q166" s="17"/>
      <c r="R166" s="17"/>
      <c r="S166" s="17"/>
      <c r="T166" s="17"/>
      <c r="U166" s="17"/>
      <c r="V166" s="129" t="str">
        <f t="shared" si="17"/>
        <v>88 years</v>
      </c>
      <c r="W166" s="17">
        <v>88</v>
      </c>
      <c r="X166" s="17" t="str">
        <f>IF(Language&lt;&gt;5,'Basic Values'!$B$9,IF(W166&lt;5,"lata","lat"))</f>
        <v>years</v>
      </c>
      <c r="Y166" s="17">
        <f t="shared" si="18"/>
        <v>0</v>
      </c>
      <c r="Z166" s="70">
        <f>IF(Y166&lt;&gt;0,(PerpetuityBaseValue*IF(PerpetuityGrowing=2,(1+Result!$G$28/100)^Specs!W166,1))/(1+DiscYear/100)^$W166,0)</f>
        <v>0</v>
      </c>
      <c r="AA166" s="17">
        <f t="shared" si="19"/>
        <v>0</v>
      </c>
      <c r="AB166" s="70">
        <f>IF(AA166&lt;&gt;0,(PerpetuityBaseValueEquity*IF(PerpetuityGrowing=2,1+Result!$G$108/100,1))/(1+DiscYearEquity/100)^$W166,0)</f>
        <v>0</v>
      </c>
      <c r="AC166" s="70">
        <f>IF(Y166&lt;&gt;0,(PerpetuityBaseValue*IF(PerpetuityGrowing=2,(1+Result!$G$28/100)^Specs!W166,1))/(1+Calculations!$D$1051)^$W166,0)</f>
        <v>0</v>
      </c>
      <c r="AD166" s="70">
        <f>IF(Y166&lt;&gt;0,(PerpetuityBaseValue*IF(PerpetuityGrowing=2,(1+Result!$G$28/100)^Specs!W166,1))/(1+Calculations!$D$1052)^$W166,0)</f>
        <v>0</v>
      </c>
      <c r="AE166" s="70">
        <f>IF(Y166&lt;&gt;0,(PerpetuityBaseValue*IF(PerpetuityGrowing=2,(1+Result!$G$28/100)^Specs!W166,1))/(1+Calculations!$D$1054)^$W166,0)</f>
        <v>0</v>
      </c>
      <c r="AF166" s="70">
        <f>IF(Y166&lt;&gt;0,(PerpetuityBaseValue*IF(PerpetuityGrowing=2,(1+Result!$G$28/100)^Specs!W166,1))/(1+Calculations!$D$1055)^$W166,0)</f>
        <v>0</v>
      </c>
    </row>
    <row r="167" spans="1:32" ht="12.75" customHeight="1" x14ac:dyDescent="0.35">
      <c r="A167" s="17"/>
      <c r="B167" s="17"/>
      <c r="C167" s="17"/>
      <c r="D167" s="17"/>
      <c r="E167" s="17"/>
      <c r="F167" s="36" t="str">
        <f t="shared" ca="1" si="20"/>
        <v>-</v>
      </c>
      <c r="G167" s="1239">
        <v>0</v>
      </c>
      <c r="H167" s="17"/>
      <c r="I167" s="17"/>
      <c r="J167" s="17"/>
      <c r="K167" s="17"/>
      <c r="L167" s="17"/>
      <c r="M167" s="17"/>
      <c r="N167" s="17"/>
      <c r="O167" s="17"/>
      <c r="P167" s="17"/>
      <c r="Q167" s="17"/>
      <c r="R167" s="17"/>
      <c r="S167" s="17"/>
      <c r="T167" s="17"/>
      <c r="U167" s="17"/>
      <c r="V167" s="129" t="str">
        <f t="shared" si="17"/>
        <v>89 years</v>
      </c>
      <c r="W167" s="17">
        <v>89</v>
      </c>
      <c r="X167" s="17" t="str">
        <f>IF(Language&lt;&gt;5,'Basic Values'!$B$9,IF(W167&lt;5,"lata","lat"))</f>
        <v>years</v>
      </c>
      <c r="Y167" s="17">
        <f t="shared" si="18"/>
        <v>0</v>
      </c>
      <c r="Z167" s="70">
        <f>IF(Y167&lt;&gt;0,(PerpetuityBaseValue*IF(PerpetuityGrowing=2,(1+Result!$G$28/100)^Specs!W167,1))/(1+DiscYear/100)^$W167,0)</f>
        <v>0</v>
      </c>
      <c r="AA167" s="17">
        <f t="shared" si="19"/>
        <v>0</v>
      </c>
      <c r="AB167" s="70">
        <f>IF(AA167&lt;&gt;0,(PerpetuityBaseValueEquity*IF(PerpetuityGrowing=2,1+Result!$G$108/100,1))/(1+DiscYearEquity/100)^$W167,0)</f>
        <v>0</v>
      </c>
      <c r="AC167" s="70">
        <f>IF(Y167&lt;&gt;0,(PerpetuityBaseValue*IF(PerpetuityGrowing=2,(1+Result!$G$28/100)^Specs!W167,1))/(1+Calculations!$D$1051)^$W167,0)</f>
        <v>0</v>
      </c>
      <c r="AD167" s="70">
        <f>IF(Y167&lt;&gt;0,(PerpetuityBaseValue*IF(PerpetuityGrowing=2,(1+Result!$G$28/100)^Specs!W167,1))/(1+Calculations!$D$1052)^$W167,0)</f>
        <v>0</v>
      </c>
      <c r="AE167" s="70">
        <f>IF(Y167&lt;&gt;0,(PerpetuityBaseValue*IF(PerpetuityGrowing=2,(1+Result!$G$28/100)^Specs!W167,1))/(1+Calculations!$D$1054)^$W167,0)</f>
        <v>0</v>
      </c>
      <c r="AF167" s="70">
        <f>IF(Y167&lt;&gt;0,(PerpetuityBaseValue*IF(PerpetuityGrowing=2,(1+Result!$G$28/100)^Specs!W167,1))/(1+Calculations!$D$1055)^$W167,0)</f>
        <v>0</v>
      </c>
    </row>
    <row r="168" spans="1:32" ht="12.75" customHeight="1" x14ac:dyDescent="0.35">
      <c r="A168" s="17"/>
      <c r="B168" s="17"/>
      <c r="C168" s="17"/>
      <c r="D168" s="17"/>
      <c r="E168" s="17"/>
      <c r="F168" s="36" t="str">
        <f t="shared" ca="1" si="20"/>
        <v>-</v>
      </c>
      <c r="G168" s="93">
        <f t="shared" si="21"/>
        <v>0</v>
      </c>
      <c r="H168" s="17"/>
      <c r="I168" s="17"/>
      <c r="J168" s="17"/>
      <c r="K168" s="17"/>
      <c r="L168" s="17"/>
      <c r="M168" s="17"/>
      <c r="N168" s="17"/>
      <c r="O168" s="17"/>
      <c r="P168" s="17"/>
      <c r="Q168" s="17"/>
      <c r="R168" s="17"/>
      <c r="S168" s="17"/>
      <c r="T168" s="17"/>
      <c r="U168" s="17"/>
      <c r="V168" s="129" t="str">
        <f t="shared" si="17"/>
        <v>90 years</v>
      </c>
      <c r="W168" s="17">
        <v>90</v>
      </c>
      <c r="X168" s="17" t="str">
        <f>IF(Language&lt;&gt;5,'Basic Values'!$B$9,IF(W168&lt;5,"lata","lat"))</f>
        <v>years</v>
      </c>
      <c r="Y168" s="17">
        <f t="shared" si="18"/>
        <v>0</v>
      </c>
      <c r="Z168" s="70">
        <f>IF(Y168&lt;&gt;0,(PerpetuityBaseValue*IF(PerpetuityGrowing=2,(1+Result!$G$28/100)^Specs!W168,1))/(1+DiscYear/100)^$W168,0)</f>
        <v>0</v>
      </c>
      <c r="AA168" s="17">
        <f t="shared" si="19"/>
        <v>0</v>
      </c>
      <c r="AB168" s="70">
        <f>IF(AA168&lt;&gt;0,(PerpetuityBaseValueEquity*IF(PerpetuityGrowing=2,1+Result!$G$108/100,1))/(1+DiscYearEquity/100)^$W168,0)</f>
        <v>0</v>
      </c>
      <c r="AC168" s="70">
        <f>IF(Y168&lt;&gt;0,(PerpetuityBaseValue*IF(PerpetuityGrowing=2,(1+Result!$G$28/100)^Specs!W168,1))/(1+Calculations!$D$1051)^$W168,0)</f>
        <v>0</v>
      </c>
      <c r="AD168" s="70">
        <f>IF(Y168&lt;&gt;0,(PerpetuityBaseValue*IF(PerpetuityGrowing=2,(1+Result!$G$28/100)^Specs!W168,1))/(1+Calculations!$D$1052)^$W168,0)</f>
        <v>0</v>
      </c>
      <c r="AE168" s="70">
        <f>IF(Y168&lt;&gt;0,(PerpetuityBaseValue*IF(PerpetuityGrowing=2,(1+Result!$G$28/100)^Specs!W168,1))/(1+Calculations!$D$1054)^$W168,0)</f>
        <v>0</v>
      </c>
      <c r="AF168" s="70">
        <f>IF(Y168&lt;&gt;0,(PerpetuityBaseValue*IF(PerpetuityGrowing=2,(1+Result!$G$28/100)^Specs!W168,1))/(1+Calculations!$D$1055)^$W168,0)</f>
        <v>0</v>
      </c>
    </row>
    <row r="169" spans="1:32" ht="12.75" customHeight="1" x14ac:dyDescent="0.35">
      <c r="A169" s="17"/>
      <c r="B169" s="17"/>
      <c r="C169" s="17"/>
      <c r="D169" s="17"/>
      <c r="E169" s="17"/>
      <c r="F169" s="36" t="str">
        <f t="shared" ca="1" si="20"/>
        <v>-</v>
      </c>
      <c r="G169" s="1239">
        <v>0</v>
      </c>
      <c r="H169" s="17"/>
      <c r="I169" s="17"/>
      <c r="J169" s="17"/>
      <c r="K169" s="17"/>
      <c r="L169" s="17"/>
      <c r="M169" s="17"/>
      <c r="N169" s="17"/>
      <c r="O169" s="17"/>
      <c r="P169" s="17"/>
      <c r="Q169" s="17"/>
      <c r="R169" s="17"/>
      <c r="S169" s="17"/>
      <c r="T169" s="17"/>
      <c r="U169" s="17"/>
      <c r="V169" s="129" t="str">
        <f t="shared" si="17"/>
        <v>91 years</v>
      </c>
      <c r="W169" s="17">
        <v>91</v>
      </c>
      <c r="X169" s="17" t="str">
        <f>IF(Language&lt;&gt;5,'Basic Values'!$B$9,IF(W169&lt;5,"lata","lat"))</f>
        <v>years</v>
      </c>
      <c r="Y169" s="17">
        <f t="shared" si="18"/>
        <v>0</v>
      </c>
      <c r="Z169" s="70">
        <f>IF(Y169&lt;&gt;0,(PerpetuityBaseValue*IF(PerpetuityGrowing=2,(1+Result!$G$28/100)^Specs!W169,1))/(1+DiscYear/100)^$W169,0)</f>
        <v>0</v>
      </c>
      <c r="AA169" s="17">
        <f t="shared" si="19"/>
        <v>0</v>
      </c>
      <c r="AB169" s="70">
        <f>IF(AA169&lt;&gt;0,(PerpetuityBaseValueEquity*IF(PerpetuityGrowing=2,1+Result!$G$108/100,1))/(1+DiscYearEquity/100)^$W169,0)</f>
        <v>0</v>
      </c>
      <c r="AC169" s="70">
        <f>IF(Y169&lt;&gt;0,(PerpetuityBaseValue*IF(PerpetuityGrowing=2,(1+Result!$G$28/100)^Specs!W169,1))/(1+Calculations!$D$1051)^$W169,0)</f>
        <v>0</v>
      </c>
      <c r="AD169" s="70">
        <f>IF(Y169&lt;&gt;0,(PerpetuityBaseValue*IF(PerpetuityGrowing=2,(1+Result!$G$28/100)^Specs!W169,1))/(1+Calculations!$D$1052)^$W169,0)</f>
        <v>0</v>
      </c>
      <c r="AE169" s="70">
        <f>IF(Y169&lt;&gt;0,(PerpetuityBaseValue*IF(PerpetuityGrowing=2,(1+Result!$G$28/100)^Specs!W169,1))/(1+Calculations!$D$1054)^$W169,0)</f>
        <v>0</v>
      </c>
      <c r="AF169" s="70">
        <f>IF(Y169&lt;&gt;0,(PerpetuityBaseValue*IF(PerpetuityGrowing=2,(1+Result!$G$28/100)^Specs!W169,1))/(1+Calculations!$D$1055)^$W169,0)</f>
        <v>0</v>
      </c>
    </row>
    <row r="170" spans="1:32" ht="12.75" customHeight="1" x14ac:dyDescent="0.35">
      <c r="A170" s="17"/>
      <c r="B170" s="17"/>
      <c r="C170" s="17"/>
      <c r="D170" s="17"/>
      <c r="E170" s="17"/>
      <c r="F170" s="36" t="str">
        <f t="shared" ca="1" si="20"/>
        <v>-</v>
      </c>
      <c r="G170" s="93">
        <f t="shared" si="21"/>
        <v>0</v>
      </c>
      <c r="H170" s="17"/>
      <c r="I170" s="17"/>
      <c r="J170" s="17"/>
      <c r="K170" s="17"/>
      <c r="L170" s="17"/>
      <c r="M170" s="17"/>
      <c r="N170" s="17"/>
      <c r="O170" s="17"/>
      <c r="P170" s="17"/>
      <c r="Q170" s="17"/>
      <c r="R170" s="17"/>
      <c r="S170" s="17"/>
      <c r="T170" s="17"/>
      <c r="U170" s="17"/>
      <c r="V170" s="129" t="str">
        <f t="shared" si="17"/>
        <v>92 years</v>
      </c>
      <c r="W170" s="17">
        <v>92</v>
      </c>
      <c r="X170" s="17" t="str">
        <f>IF(Language&lt;&gt;5,'Basic Values'!$B$9,IF(W170&lt;5,"lata","lat"))</f>
        <v>years</v>
      </c>
      <c r="Y170" s="17">
        <f t="shared" si="18"/>
        <v>0</v>
      </c>
      <c r="Z170" s="70">
        <f>IF(Y170&lt;&gt;0,(PerpetuityBaseValue*IF(PerpetuityGrowing=2,(1+Result!$G$28/100)^Specs!W170,1))/(1+DiscYear/100)^$W170,0)</f>
        <v>0</v>
      </c>
      <c r="AA170" s="17">
        <f t="shared" si="19"/>
        <v>0</v>
      </c>
      <c r="AB170" s="70">
        <f>IF(AA170&lt;&gt;0,(PerpetuityBaseValueEquity*IF(PerpetuityGrowing=2,1+Result!$G$108/100,1))/(1+DiscYearEquity/100)^$W170,0)</f>
        <v>0</v>
      </c>
      <c r="AC170" s="70">
        <f>IF(Y170&lt;&gt;0,(PerpetuityBaseValue*IF(PerpetuityGrowing=2,(1+Result!$G$28/100)^Specs!W170,1))/(1+Calculations!$D$1051)^$W170,0)</f>
        <v>0</v>
      </c>
      <c r="AD170" s="70">
        <f>IF(Y170&lt;&gt;0,(PerpetuityBaseValue*IF(PerpetuityGrowing=2,(1+Result!$G$28/100)^Specs!W170,1))/(1+Calculations!$D$1052)^$W170,0)</f>
        <v>0</v>
      </c>
      <c r="AE170" s="70">
        <f>IF(Y170&lt;&gt;0,(PerpetuityBaseValue*IF(PerpetuityGrowing=2,(1+Result!$G$28/100)^Specs!W170,1))/(1+Calculations!$D$1054)^$W170,0)</f>
        <v>0</v>
      </c>
      <c r="AF170" s="70">
        <f>IF(Y170&lt;&gt;0,(PerpetuityBaseValue*IF(PerpetuityGrowing=2,(1+Result!$G$28/100)^Specs!W170,1))/(1+Calculations!$D$1055)^$W170,0)</f>
        <v>0</v>
      </c>
    </row>
    <row r="171" spans="1:32" ht="12.75" customHeight="1" x14ac:dyDescent="0.35">
      <c r="A171" s="17"/>
      <c r="B171" s="17"/>
      <c r="C171" s="17"/>
      <c r="D171" s="17"/>
      <c r="E171" s="17"/>
      <c r="F171" s="43" t="str">
        <f t="shared" ca="1" si="20"/>
        <v>-</v>
      </c>
      <c r="G171" s="95">
        <f t="shared" si="21"/>
        <v>0</v>
      </c>
      <c r="H171" s="17"/>
      <c r="I171" s="17"/>
      <c r="J171" s="17"/>
      <c r="K171" s="17"/>
      <c r="L171" s="17"/>
      <c r="M171" s="17"/>
      <c r="N171" s="17"/>
      <c r="O171" s="17"/>
      <c r="P171" s="17"/>
      <c r="Q171" s="17"/>
      <c r="R171" s="17"/>
      <c r="S171" s="17"/>
      <c r="T171" s="17"/>
      <c r="U171" s="17"/>
      <c r="V171" s="129" t="str">
        <f t="shared" si="17"/>
        <v>93 years</v>
      </c>
      <c r="W171" s="17">
        <v>93</v>
      </c>
      <c r="X171" s="17" t="str">
        <f>IF(Language&lt;&gt;5,'Basic Values'!$B$9,IF(W171&lt;5,"lata","lat"))</f>
        <v>years</v>
      </c>
      <c r="Y171" s="17">
        <f t="shared" si="18"/>
        <v>0</v>
      </c>
      <c r="Z171" s="70">
        <f>IF(Y171&lt;&gt;0,(PerpetuityBaseValue*IF(PerpetuityGrowing=2,(1+Result!$G$28/100)^Specs!W171,1))/(1+DiscYear/100)^$W171,0)</f>
        <v>0</v>
      </c>
      <c r="AA171" s="17">
        <f t="shared" si="19"/>
        <v>0</v>
      </c>
      <c r="AB171" s="70">
        <f>IF(AA171&lt;&gt;0,(PerpetuityBaseValueEquity*IF(PerpetuityGrowing=2,1+Result!$G$108/100,1))/(1+DiscYearEquity/100)^$W171,0)</f>
        <v>0</v>
      </c>
      <c r="AC171" s="70">
        <f>IF(Y171&lt;&gt;0,(PerpetuityBaseValue*IF(PerpetuityGrowing=2,(1+Result!$G$28/100)^Specs!W171,1))/(1+Calculations!$D$1051)^$W171,0)</f>
        <v>0</v>
      </c>
      <c r="AD171" s="70">
        <f>IF(Y171&lt;&gt;0,(PerpetuityBaseValue*IF(PerpetuityGrowing=2,(1+Result!$G$28/100)^Specs!W171,1))/(1+Calculations!$D$1052)^$W171,0)</f>
        <v>0</v>
      </c>
      <c r="AE171" s="70">
        <f>IF(Y171&lt;&gt;0,(PerpetuityBaseValue*IF(PerpetuityGrowing=2,(1+Result!$G$28/100)^Specs!W171,1))/(1+Calculations!$D$1054)^$W171,0)</f>
        <v>0</v>
      </c>
      <c r="AF171" s="70">
        <f>IF(Y171&lt;&gt;0,(PerpetuityBaseValue*IF(PerpetuityGrowing=2,(1+Result!$G$28/100)^Specs!W171,1))/(1+Calculations!$D$1055)^$W171,0)</f>
        <v>0</v>
      </c>
    </row>
    <row r="172" spans="1:32" ht="12.75" customHeight="1" x14ac:dyDescent="0.35">
      <c r="A172" s="17"/>
      <c r="B172" s="17"/>
      <c r="C172" s="17"/>
      <c r="D172" s="17"/>
      <c r="E172" s="17"/>
      <c r="F172" s="96" t="s">
        <v>2168</v>
      </c>
      <c r="G172" s="17"/>
      <c r="H172" s="17"/>
      <c r="I172" s="17"/>
      <c r="J172" s="17"/>
      <c r="K172" s="17"/>
      <c r="L172" s="17"/>
      <c r="M172" s="17"/>
      <c r="N172" s="17"/>
      <c r="O172" s="17"/>
      <c r="P172" s="17"/>
      <c r="Q172" s="17"/>
      <c r="R172" s="17"/>
      <c r="S172" s="17"/>
      <c r="T172" s="17"/>
      <c r="U172" s="17"/>
      <c r="V172" s="129" t="str">
        <f t="shared" si="17"/>
        <v>94 years</v>
      </c>
      <c r="W172" s="17">
        <v>94</v>
      </c>
      <c r="X172" s="17" t="str">
        <f>IF(Language&lt;&gt;5,'Basic Values'!$B$9,IF(W172&lt;5,"lata","lat"))</f>
        <v>years</v>
      </c>
      <c r="Y172" s="17">
        <f t="shared" si="18"/>
        <v>0</v>
      </c>
      <c r="Z172" s="70">
        <f>IF(Y172&lt;&gt;0,(PerpetuityBaseValue*IF(PerpetuityGrowing=2,(1+Result!$G$28/100)^Specs!W172,1))/(1+DiscYear/100)^$W172,0)</f>
        <v>0</v>
      </c>
      <c r="AA172" s="17">
        <f t="shared" si="19"/>
        <v>0</v>
      </c>
      <c r="AB172" s="70">
        <f>IF(AA172&lt;&gt;0,(PerpetuityBaseValueEquity*IF(PerpetuityGrowing=2,1+Result!$G$108/100,1))/(1+DiscYearEquity/100)^$W172,0)</f>
        <v>0</v>
      </c>
      <c r="AC172" s="70">
        <f>IF(Y172&lt;&gt;0,(PerpetuityBaseValue*IF(PerpetuityGrowing=2,(1+Result!$G$28/100)^Specs!W172,1))/(1+Calculations!$D$1051)^$W172,0)</f>
        <v>0</v>
      </c>
      <c r="AD172" s="70">
        <f>IF(Y172&lt;&gt;0,(PerpetuityBaseValue*IF(PerpetuityGrowing=2,(1+Result!$G$28/100)^Specs!W172,1))/(1+Calculations!$D$1052)^$W172,0)</f>
        <v>0</v>
      </c>
      <c r="AE172" s="70">
        <f>IF(Y172&lt;&gt;0,(PerpetuityBaseValue*IF(PerpetuityGrowing=2,(1+Result!$G$28/100)^Specs!W172,1))/(1+Calculations!$D$1054)^$W172,0)</f>
        <v>0</v>
      </c>
      <c r="AF172" s="70">
        <f>IF(Y172&lt;&gt;0,(PerpetuityBaseValue*IF(PerpetuityGrowing=2,(1+Result!$G$28/100)^Specs!W172,1))/(1+Calculations!$D$1055)^$W172,0)</f>
        <v>0</v>
      </c>
    </row>
    <row r="173" spans="1:32" ht="12.75" customHeight="1" x14ac:dyDescent="0.35">
      <c r="A173" s="17"/>
      <c r="B173" s="17"/>
      <c r="C173" s="17"/>
      <c r="D173" s="17"/>
      <c r="E173" s="17"/>
      <c r="F173" s="1236">
        <f ca="1">IF(AND(G173&lt;&gt;G175,G176&lt;&gt;0),IF(G173&gt;-G176,G173,G175),G173)</f>
        <v>0</v>
      </c>
      <c r="G173" s="133">
        <f ca="1">MIN(F150:F171)</f>
        <v>0</v>
      </c>
      <c r="H173" s="17"/>
      <c r="I173" s="17"/>
      <c r="J173" s="17"/>
      <c r="K173" s="17"/>
      <c r="L173" s="17"/>
      <c r="M173" s="17"/>
      <c r="N173" s="17"/>
      <c r="O173" s="17"/>
      <c r="P173" s="17"/>
      <c r="Q173" s="17"/>
      <c r="R173" s="17"/>
      <c r="S173" s="17"/>
      <c r="T173" s="17"/>
      <c r="U173" s="17"/>
      <c r="V173" s="129" t="str">
        <f t="shared" si="17"/>
        <v>95 years</v>
      </c>
      <c r="W173" s="17">
        <v>95</v>
      </c>
      <c r="X173" s="17" t="str">
        <f>IF(Language&lt;&gt;5,'Basic Values'!$B$9,IF(W173&lt;5,"lata","lat"))</f>
        <v>years</v>
      </c>
      <c r="Y173" s="17">
        <f t="shared" si="18"/>
        <v>0</v>
      </c>
      <c r="Z173" s="70">
        <f>IF(Y173&lt;&gt;0,(PerpetuityBaseValue*IF(PerpetuityGrowing=2,(1+Result!$G$28/100)^Specs!W173,1))/(1+DiscYear/100)^$W173,0)</f>
        <v>0</v>
      </c>
      <c r="AA173" s="17">
        <f t="shared" si="19"/>
        <v>0</v>
      </c>
      <c r="AB173" s="70">
        <f>IF(AA173&lt;&gt;0,(PerpetuityBaseValueEquity*IF(PerpetuityGrowing=2,1+Result!$G$108/100,1))/(1+DiscYearEquity/100)^$W173,0)</f>
        <v>0</v>
      </c>
      <c r="AC173" s="70">
        <f>IF(Y173&lt;&gt;0,(PerpetuityBaseValue*IF(PerpetuityGrowing=2,(1+Result!$G$28/100)^Specs!W173,1))/(1+Calculations!$D$1051)^$W173,0)</f>
        <v>0</v>
      </c>
      <c r="AD173" s="70">
        <f>IF(Y173&lt;&gt;0,(PerpetuityBaseValue*IF(PerpetuityGrowing=2,(1+Result!$G$28/100)^Specs!W173,1))/(1+Calculations!$D$1052)^$W173,0)</f>
        <v>0</v>
      </c>
      <c r="AE173" s="70">
        <f>IF(Y173&lt;&gt;0,(PerpetuityBaseValue*IF(PerpetuityGrowing=2,(1+Result!$G$28/100)^Specs!W173,1))/(1+Calculations!$D$1054)^$W173,0)</f>
        <v>0</v>
      </c>
      <c r="AF173" s="70">
        <f>IF(Y173&lt;&gt;0,(PerpetuityBaseValue*IF(PerpetuityGrowing=2,(1+Result!$G$28/100)^Specs!W173,1))/(1+Calculations!$D$1055)^$W173,0)</f>
        <v>0</v>
      </c>
    </row>
    <row r="174" spans="1:32" ht="12.75" customHeight="1" x14ac:dyDescent="0.35">
      <c r="A174" s="17"/>
      <c r="B174" s="17"/>
      <c r="C174" s="17"/>
      <c r="D174" s="17"/>
      <c r="E174" s="17"/>
      <c r="F174" s="85" t="s">
        <v>2169</v>
      </c>
      <c r="G174" s="133">
        <f ca="1">ABS(SUMIF(IrrCashFlowEquity,"&gt;0")/-SUMIF(IrrCashFlowEquity,"&lt;0")-1)</f>
        <v>1.9665956921675321</v>
      </c>
      <c r="H174" s="17"/>
      <c r="I174" s="17"/>
      <c r="J174" s="17"/>
      <c r="K174" s="17"/>
      <c r="L174" s="17"/>
      <c r="M174" s="17"/>
      <c r="N174" s="17"/>
      <c r="O174" s="17"/>
      <c r="P174" s="17"/>
      <c r="Q174" s="17"/>
      <c r="R174" s="17"/>
      <c r="S174" s="17"/>
      <c r="T174" s="17"/>
      <c r="U174" s="17"/>
      <c r="V174" s="129" t="str">
        <f t="shared" si="17"/>
        <v>96 years</v>
      </c>
      <c r="W174" s="17">
        <v>96</v>
      </c>
      <c r="X174" s="17" t="str">
        <f>IF(Language&lt;&gt;5,'Basic Values'!$B$9,IF(W174&lt;5,"lata","lat"))</f>
        <v>years</v>
      </c>
      <c r="Y174" s="17">
        <f t="shared" si="18"/>
        <v>0</v>
      </c>
      <c r="Z174" s="70">
        <f>IF(Y174&lt;&gt;0,(PerpetuityBaseValue*IF(PerpetuityGrowing=2,(1+Result!$G$28/100)^Specs!W174,1))/(1+DiscYear/100)^$W174,0)</f>
        <v>0</v>
      </c>
      <c r="AA174" s="17">
        <f t="shared" si="19"/>
        <v>0</v>
      </c>
      <c r="AB174" s="70">
        <f>IF(AA174&lt;&gt;0,(PerpetuityBaseValueEquity*IF(PerpetuityGrowing=2,1+Result!$G$108/100,1))/(1+DiscYearEquity/100)^$W174,0)</f>
        <v>0</v>
      </c>
      <c r="AC174" s="70">
        <f>IF(Y174&lt;&gt;0,(PerpetuityBaseValue*IF(PerpetuityGrowing=2,(1+Result!$G$28/100)^Specs!W174,1))/(1+Calculations!$D$1051)^$W174,0)</f>
        <v>0</v>
      </c>
      <c r="AD174" s="70">
        <f>IF(Y174&lt;&gt;0,(PerpetuityBaseValue*IF(PerpetuityGrowing=2,(1+Result!$G$28/100)^Specs!W174,1))/(1+Calculations!$D$1052)^$W174,0)</f>
        <v>0</v>
      </c>
      <c r="AE174" s="70">
        <f>IF(Y174&lt;&gt;0,(PerpetuityBaseValue*IF(PerpetuityGrowing=2,(1+Result!$G$28/100)^Specs!W174,1))/(1+Calculations!$D$1054)^$W174,0)</f>
        <v>0</v>
      </c>
      <c r="AF174" s="70">
        <f>IF(Y174&lt;&gt;0,(PerpetuityBaseValue*IF(PerpetuityGrowing=2,(1+Result!$G$28/100)^Specs!W174,1))/(1+Calculations!$D$1055)^$W174,0)</f>
        <v>0</v>
      </c>
    </row>
    <row r="175" spans="1:32" ht="12.75" customHeight="1" x14ac:dyDescent="0.35">
      <c r="A175" s="17"/>
      <c r="B175" s="17"/>
      <c r="C175" s="17"/>
      <c r="D175" s="17"/>
      <c r="E175" s="17"/>
      <c r="F175" s="1236">
        <f ca="1">IF(AND(G173&lt;&gt;G175,G176&lt;&gt;0),IF(G175&gt;-G176,G175,G173),G175)</f>
        <v>0</v>
      </c>
      <c r="G175" s="133">
        <f ca="1">MAX(F150:F171)</f>
        <v>0</v>
      </c>
      <c r="H175" s="17"/>
      <c r="I175" s="17"/>
      <c r="J175" s="17"/>
      <c r="K175" s="17"/>
      <c r="L175" s="17"/>
      <c r="M175" s="17"/>
      <c r="N175" s="17"/>
      <c r="O175" s="17"/>
      <c r="P175" s="17"/>
      <c r="Q175" s="17"/>
      <c r="R175" s="17"/>
      <c r="S175" s="17"/>
      <c r="T175" s="17"/>
      <c r="U175" s="17"/>
      <c r="V175" s="129" t="str">
        <f t="shared" ref="V175:V178" si="22">W175&amp;" "&amp;X175</f>
        <v>97 years</v>
      </c>
      <c r="W175" s="17">
        <v>97</v>
      </c>
      <c r="X175" s="17" t="str">
        <f>IF(Language&lt;&gt;5,'Basic Values'!$B$9,IF(W175&lt;5,"lata","lat"))</f>
        <v>years</v>
      </c>
      <c r="Y175" s="17">
        <f t="shared" si="18"/>
        <v>0</v>
      </c>
      <c r="Z175" s="70">
        <f>IF(Y175&lt;&gt;0,(PerpetuityBaseValue*IF(PerpetuityGrowing=2,(1+Result!$G$28/100)^Specs!W175,1))/(1+DiscYear/100)^$W175,0)</f>
        <v>0</v>
      </c>
      <c r="AA175" s="17">
        <f t="shared" si="19"/>
        <v>0</v>
      </c>
      <c r="AB175" s="70">
        <f>IF(AA175&lt;&gt;0,(PerpetuityBaseValueEquity*IF(PerpetuityGrowing=2,1+Result!$G$108/100,1))/(1+DiscYearEquity/100)^$W175,0)</f>
        <v>0</v>
      </c>
      <c r="AC175" s="70">
        <f>IF(Y175&lt;&gt;0,(PerpetuityBaseValue*IF(PerpetuityGrowing=2,(1+Result!$G$28/100)^Specs!W175,1))/(1+Calculations!$D$1051)^$W175,0)</f>
        <v>0</v>
      </c>
      <c r="AD175" s="70">
        <f>IF(Y175&lt;&gt;0,(PerpetuityBaseValue*IF(PerpetuityGrowing=2,(1+Result!$G$28/100)^Specs!W175,1))/(1+Calculations!$D$1052)^$W175,0)</f>
        <v>0</v>
      </c>
      <c r="AE175" s="70">
        <f>IF(Y175&lt;&gt;0,(PerpetuityBaseValue*IF(PerpetuityGrowing=2,(1+Result!$G$28/100)^Specs!W175,1))/(1+Calculations!$D$1054)^$W175,0)</f>
        <v>0</v>
      </c>
      <c r="AF175" s="70">
        <f>IF(Y175&lt;&gt;0,(PerpetuityBaseValue*IF(PerpetuityGrowing=2,(1+Result!$G$28/100)^Specs!W175,1))/(1+Calculations!$D$1055)^$W175,0)</f>
        <v>0</v>
      </c>
    </row>
    <row r="176" spans="1:32" ht="12.75" customHeight="1" x14ac:dyDescent="0.35">
      <c r="A176" s="17"/>
      <c r="B176" s="17"/>
      <c r="C176" s="17"/>
      <c r="D176" s="17"/>
      <c r="E176" s="17"/>
      <c r="F176" s="17" t="s">
        <v>4846</v>
      </c>
      <c r="G176" s="133">
        <f ca="1">IF(ISERROR(G174),0,G174)</f>
        <v>1.9665956921675321</v>
      </c>
      <c r="H176" s="17"/>
      <c r="I176" s="17"/>
      <c r="J176" s="17"/>
      <c r="K176" s="17"/>
      <c r="L176" s="17"/>
      <c r="M176" s="17"/>
      <c r="N176" s="17"/>
      <c r="O176" s="17"/>
      <c r="P176" s="17"/>
      <c r="Q176" s="17"/>
      <c r="R176" s="17"/>
      <c r="S176" s="17"/>
      <c r="T176" s="17"/>
      <c r="U176" s="17"/>
      <c r="V176" s="129" t="str">
        <f t="shared" si="22"/>
        <v>98 years</v>
      </c>
      <c r="W176" s="17">
        <v>98</v>
      </c>
      <c r="X176" s="17" t="str">
        <f>IF(Language&lt;&gt;5,'Basic Values'!$B$9,IF(W176&lt;5,"lata","lat"))</f>
        <v>years</v>
      </c>
      <c r="Y176" s="17">
        <f t="shared" si="18"/>
        <v>0</v>
      </c>
      <c r="Z176" s="70">
        <f>IF(Y176&lt;&gt;0,(PerpetuityBaseValue*IF(PerpetuityGrowing=2,(1+Result!$G$28/100)^Specs!W176,1))/(1+DiscYear/100)^$W176,0)</f>
        <v>0</v>
      </c>
      <c r="AA176" s="17">
        <f t="shared" si="19"/>
        <v>0</v>
      </c>
      <c r="AB176" s="70">
        <f>IF(AA176&lt;&gt;0,(PerpetuityBaseValueEquity*IF(PerpetuityGrowing=2,1+Result!$G$108/100,1))/(1+DiscYearEquity/100)^$W176,0)</f>
        <v>0</v>
      </c>
      <c r="AC176" s="70">
        <f>IF(Y176&lt;&gt;0,(PerpetuityBaseValue*IF(PerpetuityGrowing=2,(1+Result!$G$28/100)^Specs!W176,1))/(1+Calculations!$D$1051)^$W176,0)</f>
        <v>0</v>
      </c>
      <c r="AD176" s="70">
        <f>IF(Y176&lt;&gt;0,(PerpetuityBaseValue*IF(PerpetuityGrowing=2,(1+Result!$G$28/100)^Specs!W176,1))/(1+Calculations!$D$1052)^$W176,0)</f>
        <v>0</v>
      </c>
      <c r="AE176" s="70">
        <f>IF(Y176&lt;&gt;0,(PerpetuityBaseValue*IF(PerpetuityGrowing=2,(1+Result!$G$28/100)^Specs!W176,1))/(1+Calculations!$D$1054)^$W176,0)</f>
        <v>0</v>
      </c>
      <c r="AF176" s="70">
        <f>IF(Y176&lt;&gt;0,(PerpetuityBaseValue*IF(PerpetuityGrowing=2,(1+Result!$G$28/100)^Specs!W176,1))/(1+Calculations!$D$1055)^$W176,0)</f>
        <v>0</v>
      </c>
    </row>
    <row r="177" spans="1:32" ht="12.75" customHeight="1" x14ac:dyDescent="0.35">
      <c r="A177" s="17"/>
      <c r="B177" s="17"/>
      <c r="C177" s="17"/>
      <c r="D177" s="17"/>
      <c r="E177" s="17"/>
      <c r="F177" s="28"/>
      <c r="G177" s="28"/>
      <c r="H177" s="17"/>
      <c r="I177" s="17"/>
      <c r="J177" s="17"/>
      <c r="K177" s="17"/>
      <c r="L177" s="17"/>
      <c r="M177" s="17"/>
      <c r="N177" s="17"/>
      <c r="O177" s="17"/>
      <c r="P177" s="17"/>
      <c r="Q177" s="17"/>
      <c r="R177" s="17"/>
      <c r="S177" s="17"/>
      <c r="T177" s="17"/>
      <c r="U177" s="17"/>
      <c r="V177" s="129" t="str">
        <f t="shared" si="22"/>
        <v>99 years</v>
      </c>
      <c r="W177" s="17">
        <v>99</v>
      </c>
      <c r="X177" s="17" t="str">
        <f>IF(Language&lt;&gt;5,'Basic Values'!$B$9,IF(W177&lt;5,"lata","lat"))</f>
        <v>years</v>
      </c>
      <c r="Y177" s="17">
        <f t="shared" si="18"/>
        <v>0</v>
      </c>
      <c r="Z177" s="70">
        <f>IF(Y177&lt;&gt;0,(PerpetuityBaseValue*IF(PerpetuityGrowing=2,(1+Result!$G$28/100)^Specs!W177,1))/(1+DiscYear/100)^$W177,0)</f>
        <v>0</v>
      </c>
      <c r="AA177" s="17">
        <f t="shared" si="19"/>
        <v>0</v>
      </c>
      <c r="AB177" s="70">
        <f>IF(AA177&lt;&gt;0,(PerpetuityBaseValueEquity*IF(PerpetuityGrowing=2,1+Result!$G$108/100,1))/(1+DiscYearEquity/100)^$W177,0)</f>
        <v>0</v>
      </c>
      <c r="AC177" s="70">
        <f>IF(Y177&lt;&gt;0,(PerpetuityBaseValue*IF(PerpetuityGrowing=2,(1+Result!$G$28/100)^Specs!W177,1))/(1+Calculations!$D$1051)^$W177,0)</f>
        <v>0</v>
      </c>
      <c r="AD177" s="70">
        <f>IF(Y177&lt;&gt;0,(PerpetuityBaseValue*IF(PerpetuityGrowing=2,(1+Result!$G$28/100)^Specs!W177,1))/(1+Calculations!$D$1052)^$W177,0)</f>
        <v>0</v>
      </c>
      <c r="AE177" s="70">
        <f>IF(Y177&lt;&gt;0,(PerpetuityBaseValue*IF(PerpetuityGrowing=2,(1+Result!$G$28/100)^Specs!W177,1))/(1+Calculations!$D$1054)^$W177,0)</f>
        <v>0</v>
      </c>
      <c r="AF177" s="70">
        <f>IF(Y177&lt;&gt;0,(PerpetuityBaseValue*IF(PerpetuityGrowing=2,(1+Result!$G$28/100)^Specs!W177,1))/(1+Calculations!$D$1055)^$W177,0)</f>
        <v>0</v>
      </c>
    </row>
    <row r="178" spans="1:32" ht="12.75" customHeight="1" x14ac:dyDescent="0.35">
      <c r="A178" s="17"/>
      <c r="B178" s="17"/>
      <c r="C178" s="17"/>
      <c r="D178" s="17"/>
      <c r="E178" s="17"/>
      <c r="F178" s="164" t="s">
        <v>2170</v>
      </c>
      <c r="G178" s="85">
        <f ca="1">IF(ISNA(G201),"-",OFFSET(G178,G201,0))</f>
        <v>0.59430318007659166</v>
      </c>
      <c r="H178" s="17"/>
      <c r="I178" s="17"/>
      <c r="J178" s="17"/>
      <c r="K178" s="17"/>
      <c r="L178" s="17"/>
      <c r="M178" s="17"/>
      <c r="N178" s="17"/>
      <c r="O178" s="17"/>
      <c r="P178" s="17"/>
      <c r="Q178" s="17"/>
      <c r="R178" s="17"/>
      <c r="S178" s="17"/>
      <c r="T178" s="17"/>
      <c r="U178" s="17"/>
      <c r="V178" s="130" t="str">
        <f t="shared" si="22"/>
        <v>100 years</v>
      </c>
      <c r="W178" s="17">
        <v>100</v>
      </c>
      <c r="X178" s="17" t="str">
        <f>IF(Language&lt;&gt;5,'Basic Values'!$B$9,IF(W178&lt;5,"lata","lat"))</f>
        <v>years</v>
      </c>
      <c r="Y178" s="17">
        <f t="shared" si="18"/>
        <v>0</v>
      </c>
      <c r="Z178" s="70">
        <f>IF(Y178&lt;&gt;0,(PerpetuityBaseValue*IF(PerpetuityGrowing=2,(1+Result!$G$28/100)^Specs!W178,1))/(1+DiscYear/100)^$W178,0)</f>
        <v>0</v>
      </c>
      <c r="AA178" s="17">
        <f t="shared" si="19"/>
        <v>0</v>
      </c>
      <c r="AB178" s="70">
        <f>IF(AA178&lt;&gt;0,(PerpetuityBaseValueEquity*IF(PerpetuityGrowing=2,1+Result!$G$108/100,1))/(1+DiscYearEquity/100)^$W178,0)</f>
        <v>0</v>
      </c>
      <c r="AC178" s="70">
        <f>IF(Y178&lt;&gt;0,(PerpetuityBaseValue*IF(PerpetuityGrowing=2,(1+Result!$G$28/100)^Specs!W178,1))/(1+Calculations!$D$1051)^$W178,0)</f>
        <v>0</v>
      </c>
      <c r="AD178" s="70">
        <f>IF(Y178&lt;&gt;0,(PerpetuityBaseValue*IF(PerpetuityGrowing=2,(1+Result!$G$28/100)^Specs!W178,1))/(1+Calculations!$D$1052)^$W178,0)</f>
        <v>0</v>
      </c>
      <c r="AE178" s="70">
        <f>IF(Y178&lt;&gt;0,(PerpetuityBaseValue*IF(PerpetuityGrowing=2,(1+Result!$G$28/100)^Specs!W178,1))/(1+Calculations!$D$1054)^$W178,0)</f>
        <v>0</v>
      </c>
      <c r="AF178" s="70">
        <f>IF(Y178&lt;&gt;0,(PerpetuityBaseValue*IF(PerpetuityGrowing=2,(1+Result!$G$28/100)^Specs!W178,1))/(1+Calculations!$D$1055)^$W178,0)</f>
        <v>0</v>
      </c>
    </row>
    <row r="179" spans="1:32" ht="12.75" customHeight="1" x14ac:dyDescent="0.35">
      <c r="A179" s="17"/>
      <c r="B179" s="17"/>
      <c r="C179" s="17"/>
      <c r="D179" s="17"/>
      <c r="E179" s="17"/>
      <c r="F179" s="29">
        <f>F180*0.5</f>
        <v>1.1316398208850442E-3</v>
      </c>
      <c r="G179" s="86">
        <f t="shared" ref="G179:G200" ca="1" si="23">(1+IRR(PreTaxCashFlow,$F179))^12-1</f>
        <v>0.59430318007659166</v>
      </c>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row>
    <row r="180" spans="1:32" ht="12.75" customHeight="1" x14ac:dyDescent="0.35">
      <c r="A180" s="17"/>
      <c r="B180" s="17"/>
      <c r="C180" s="17"/>
      <c r="D180" s="17"/>
      <c r="E180" s="17"/>
      <c r="F180" s="36">
        <f>DiscMonth</f>
        <v>2.2632796417700884E-3</v>
      </c>
      <c r="G180" s="87">
        <f t="shared" ca="1" si="23"/>
        <v>0.59430318007658811</v>
      </c>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row>
    <row r="181" spans="1:32" ht="12.75" customHeight="1" x14ac:dyDescent="0.35">
      <c r="A181" s="17"/>
      <c r="B181" s="17"/>
      <c r="C181" s="17"/>
      <c r="D181" s="17"/>
      <c r="E181" s="17"/>
      <c r="F181" s="36">
        <f>F180*1.5</f>
        <v>3.3949194626551327E-3</v>
      </c>
      <c r="G181" s="87">
        <f t="shared" ca="1" si="23"/>
        <v>0.59430318007658811</v>
      </c>
      <c r="H181" s="17"/>
      <c r="I181" s="17"/>
      <c r="J181" s="17"/>
      <c r="K181" s="17"/>
      <c r="L181" s="17"/>
      <c r="M181" s="17"/>
      <c r="N181" s="17"/>
      <c r="O181" s="17"/>
      <c r="P181" s="17"/>
      <c r="Q181" s="17"/>
      <c r="R181" s="17"/>
      <c r="S181" s="17"/>
      <c r="T181" s="17"/>
      <c r="U181" s="17"/>
      <c r="V181" s="1189" t="s">
        <v>5270</v>
      </c>
      <c r="W181" s="1190" t="s">
        <v>5271</v>
      </c>
      <c r="X181" s="1190" t="s">
        <v>1987</v>
      </c>
      <c r="Y181" s="1191" t="s">
        <v>5272</v>
      </c>
      <c r="Z181" s="17"/>
      <c r="AA181" s="17"/>
      <c r="AB181" s="17"/>
      <c r="AC181" s="17"/>
      <c r="AD181" s="17"/>
      <c r="AE181" s="17"/>
      <c r="AF181" s="17"/>
    </row>
    <row r="182" spans="1:32" ht="12.75" customHeight="1" x14ac:dyDescent="0.35">
      <c r="A182" s="17"/>
      <c r="B182" s="17"/>
      <c r="C182" s="17"/>
      <c r="D182" s="17"/>
      <c r="E182" s="17"/>
      <c r="F182" s="36">
        <f>-F179</f>
        <v>-1.1316398208850442E-3</v>
      </c>
      <c r="G182" s="87">
        <f t="shared" ca="1" si="23"/>
        <v>0.59430318007658811</v>
      </c>
      <c r="H182" s="17"/>
      <c r="I182" s="17"/>
      <c r="J182" s="17"/>
      <c r="K182" s="17"/>
      <c r="L182" s="17"/>
      <c r="M182" s="17"/>
      <c r="N182" s="17"/>
      <c r="O182" s="17"/>
      <c r="P182" s="17"/>
      <c r="Q182" s="17"/>
      <c r="R182" s="17"/>
      <c r="S182" s="17"/>
      <c r="T182" s="17"/>
      <c r="U182" s="17"/>
      <c r="V182" s="1192" t="s">
        <v>696</v>
      </c>
      <c r="W182" s="1193">
        <v>1</v>
      </c>
      <c r="X182" s="1193">
        <v>1</v>
      </c>
      <c r="Y182" s="1194" t="s">
        <v>695</v>
      </c>
      <c r="Z182" s="17"/>
      <c r="AA182" s="17"/>
      <c r="AB182" s="17"/>
      <c r="AC182" s="17"/>
      <c r="AD182" s="17"/>
      <c r="AE182" s="17"/>
      <c r="AF182" s="17"/>
    </row>
    <row r="183" spans="1:32" ht="12.75" customHeight="1" x14ac:dyDescent="0.35">
      <c r="A183" s="17"/>
      <c r="B183" s="17"/>
      <c r="C183" s="17"/>
      <c r="D183" s="17"/>
      <c r="E183" s="17"/>
      <c r="F183" s="36">
        <f>-F180</f>
        <v>-2.2632796417700884E-3</v>
      </c>
      <c r="G183" s="87">
        <f t="shared" ca="1" si="23"/>
        <v>0.59430318007658811</v>
      </c>
      <c r="H183" s="17"/>
      <c r="I183" s="17"/>
      <c r="J183" s="17"/>
      <c r="K183" s="17"/>
      <c r="L183" s="17"/>
      <c r="M183" s="17"/>
      <c r="N183" s="17"/>
      <c r="O183" s="17"/>
      <c r="P183" s="17"/>
      <c r="Q183" s="17"/>
      <c r="R183" s="17"/>
      <c r="S183" s="17"/>
      <c r="T183" s="17"/>
      <c r="U183" s="17"/>
      <c r="V183" s="1195" t="s">
        <v>696</v>
      </c>
      <c r="W183" s="1196">
        <v>1</v>
      </c>
      <c r="X183" s="1196">
        <v>2</v>
      </c>
      <c r="Y183" s="1197" t="s">
        <v>5018</v>
      </c>
      <c r="Z183" s="17"/>
      <c r="AA183" s="17"/>
      <c r="AB183" s="17"/>
      <c r="AC183" s="17"/>
      <c r="AD183" s="17"/>
      <c r="AE183" s="17"/>
      <c r="AF183" s="17"/>
    </row>
    <row r="184" spans="1:32" ht="12.75" customHeight="1" x14ac:dyDescent="0.35">
      <c r="A184" s="17"/>
      <c r="B184" s="17"/>
      <c r="C184" s="17"/>
      <c r="D184" s="17"/>
      <c r="E184" s="17"/>
      <c r="F184" s="36">
        <f>-F181</f>
        <v>-3.3949194626551327E-3</v>
      </c>
      <c r="G184" s="87">
        <f t="shared" ca="1" si="23"/>
        <v>0.59430318007659166</v>
      </c>
      <c r="H184" s="17"/>
      <c r="I184" s="17"/>
      <c r="J184" s="17"/>
      <c r="K184" s="17"/>
      <c r="L184" s="17"/>
      <c r="M184" s="17"/>
      <c r="N184" s="17"/>
      <c r="O184" s="17"/>
      <c r="P184" s="17"/>
      <c r="Q184" s="17"/>
      <c r="R184" s="17"/>
      <c r="S184" s="17"/>
      <c r="T184" s="17"/>
      <c r="U184" s="17"/>
      <c r="V184" s="1195" t="s">
        <v>696</v>
      </c>
      <c r="W184" s="1196">
        <v>1</v>
      </c>
      <c r="X184" s="1196">
        <v>3</v>
      </c>
      <c r="Y184" s="1197" t="s">
        <v>5019</v>
      </c>
      <c r="Z184" s="17"/>
      <c r="AA184" s="17"/>
      <c r="AB184" s="17"/>
      <c r="AC184" s="17"/>
      <c r="AD184" s="17"/>
      <c r="AE184" s="17"/>
      <c r="AF184" s="17"/>
    </row>
    <row r="185" spans="1:32" ht="12.75" customHeight="1" x14ac:dyDescent="0.35">
      <c r="A185" s="17"/>
      <c r="B185" s="17"/>
      <c r="C185" s="17"/>
      <c r="D185" s="17"/>
      <c r="E185" s="17"/>
      <c r="F185" s="90">
        <v>-1</v>
      </c>
      <c r="G185" s="1240">
        <f ca="1">G186</f>
        <v>0.59430318007659166</v>
      </c>
      <c r="H185" s="17"/>
      <c r="I185" s="17"/>
      <c r="J185" s="17"/>
      <c r="K185" s="17"/>
      <c r="L185" s="17"/>
      <c r="M185" s="17"/>
      <c r="N185" s="17"/>
      <c r="O185" s="17"/>
      <c r="P185" s="17"/>
      <c r="Q185" s="17"/>
      <c r="R185" s="17"/>
      <c r="S185" s="17"/>
      <c r="T185" s="17"/>
      <c r="U185" s="17"/>
      <c r="V185" s="1195" t="s">
        <v>696</v>
      </c>
      <c r="W185" s="1196">
        <v>1</v>
      </c>
      <c r="X185" s="1196">
        <v>4</v>
      </c>
      <c r="Y185" s="1197" t="s">
        <v>5020</v>
      </c>
      <c r="Z185" s="17"/>
      <c r="AA185" s="17"/>
      <c r="AB185" s="17"/>
      <c r="AC185" s="17"/>
      <c r="AD185" s="17"/>
      <c r="AE185" s="17"/>
      <c r="AF185" s="17"/>
    </row>
    <row r="186" spans="1:32" ht="12.75" customHeight="1" x14ac:dyDescent="0.35">
      <c r="A186" s="17"/>
      <c r="B186" s="17"/>
      <c r="C186" s="17"/>
      <c r="D186" s="17"/>
      <c r="E186" s="17"/>
      <c r="F186" s="92">
        <v>-9.5462094216042792E-2</v>
      </c>
      <c r="G186" s="93">
        <f t="shared" ca="1" si="23"/>
        <v>0.59430318007659166</v>
      </c>
      <c r="H186" s="17"/>
      <c r="I186" s="17"/>
      <c r="J186" s="17"/>
      <c r="K186" s="17"/>
      <c r="L186" s="17"/>
      <c r="M186" s="17"/>
      <c r="N186" s="17"/>
      <c r="O186" s="17"/>
      <c r="P186" s="17"/>
      <c r="Q186" s="17"/>
      <c r="R186" s="17"/>
      <c r="S186" s="17"/>
      <c r="T186" s="17"/>
      <c r="U186" s="17"/>
      <c r="V186" s="1198" t="s">
        <v>696</v>
      </c>
      <c r="W186" s="1199">
        <v>1</v>
      </c>
      <c r="X186" s="1199">
        <v>5</v>
      </c>
      <c r="Y186" s="1200" t="s">
        <v>5021</v>
      </c>
      <c r="Z186" s="17"/>
      <c r="AA186" s="17"/>
      <c r="AB186" s="17"/>
      <c r="AC186" s="17"/>
      <c r="AD186" s="17"/>
      <c r="AE186" s="17"/>
      <c r="AF186" s="17"/>
    </row>
    <row r="187" spans="1:32" ht="12.75" customHeight="1" x14ac:dyDescent="0.35">
      <c r="A187" s="17"/>
      <c r="B187" s="17"/>
      <c r="C187" s="17"/>
      <c r="D187" s="17"/>
      <c r="E187" s="17"/>
      <c r="F187" s="92">
        <v>-4.1675471372851991E-2</v>
      </c>
      <c r="G187" s="1239">
        <f ca="1">G188</f>
        <v>0.59430318007658811</v>
      </c>
      <c r="H187" s="17"/>
      <c r="I187" s="17"/>
      <c r="J187" s="17"/>
      <c r="K187" s="17"/>
      <c r="L187" s="17"/>
      <c r="M187" s="17"/>
      <c r="N187" s="17"/>
      <c r="O187" s="17"/>
      <c r="P187" s="17"/>
      <c r="Q187" s="17"/>
      <c r="R187" s="17"/>
      <c r="S187" s="17"/>
      <c r="T187" s="17"/>
      <c r="U187" s="17"/>
      <c r="V187" s="1192" t="s">
        <v>709</v>
      </c>
      <c r="W187" s="1193">
        <v>2</v>
      </c>
      <c r="X187" s="1193">
        <v>1</v>
      </c>
      <c r="Y187" s="1194" t="s">
        <v>713</v>
      </c>
      <c r="Z187" s="17"/>
      <c r="AA187" s="17"/>
      <c r="AB187" s="17"/>
      <c r="AC187" s="17"/>
      <c r="AD187" s="17"/>
      <c r="AE187" s="17"/>
      <c r="AF187" s="17"/>
    </row>
    <row r="188" spans="1:32" ht="12.75" customHeight="1" x14ac:dyDescent="0.35">
      <c r="A188" s="17"/>
      <c r="B188" s="17"/>
      <c r="C188" s="17"/>
      <c r="D188" s="17"/>
      <c r="E188" s="17"/>
      <c r="F188" s="92">
        <v>-2.9285530376777613E-2</v>
      </c>
      <c r="G188" s="93">
        <f t="shared" ca="1" si="23"/>
        <v>0.59430318007658811</v>
      </c>
      <c r="H188" s="17"/>
      <c r="I188" s="17"/>
      <c r="J188" s="17"/>
      <c r="K188" s="17"/>
      <c r="L188" s="17"/>
      <c r="M188" s="17"/>
      <c r="N188" s="17"/>
      <c r="O188" s="17"/>
      <c r="P188" s="17"/>
      <c r="Q188" s="17"/>
      <c r="R188" s="17"/>
      <c r="S188" s="17"/>
      <c r="T188" s="17"/>
      <c r="U188" s="17"/>
      <c r="V188" s="1195" t="s">
        <v>709</v>
      </c>
      <c r="W188" s="1196">
        <v>2</v>
      </c>
      <c r="X188" s="1196">
        <v>2</v>
      </c>
      <c r="Y188" s="1197" t="s">
        <v>4958</v>
      </c>
      <c r="Z188" s="17"/>
      <c r="AA188" s="17"/>
      <c r="AB188" s="17"/>
      <c r="AC188" s="17"/>
      <c r="AD188" s="17"/>
      <c r="AE188" s="17"/>
      <c r="AF188" s="17"/>
    </row>
    <row r="189" spans="1:32" ht="12.75" customHeight="1" x14ac:dyDescent="0.35">
      <c r="A189" s="17"/>
      <c r="B189" s="17"/>
      <c r="C189" s="17"/>
      <c r="D189" s="17"/>
      <c r="E189" s="17"/>
      <c r="F189" s="92">
        <v>-1.8423470126248342E-2</v>
      </c>
      <c r="G189" s="1239">
        <f ca="1">G190</f>
        <v>0.59430318007658811</v>
      </c>
      <c r="H189" s="17"/>
      <c r="I189" s="17"/>
      <c r="J189" s="17"/>
      <c r="K189" s="17"/>
      <c r="L189" s="17"/>
      <c r="M189" s="17"/>
      <c r="N189" s="17"/>
      <c r="O189" s="17"/>
      <c r="P189" s="17"/>
      <c r="Q189" s="17"/>
      <c r="R189" s="17"/>
      <c r="S189" s="17"/>
      <c r="T189" s="17"/>
      <c r="U189" s="17"/>
      <c r="V189" s="1195" t="s">
        <v>709</v>
      </c>
      <c r="W189" s="1196">
        <v>2</v>
      </c>
      <c r="X189" s="1196">
        <v>3</v>
      </c>
      <c r="Y189" s="1197" t="s">
        <v>4961</v>
      </c>
      <c r="Z189" s="17"/>
      <c r="AA189" s="17"/>
      <c r="AB189" s="17"/>
      <c r="AC189" s="17"/>
      <c r="AD189" s="17"/>
      <c r="AE189" s="17"/>
      <c r="AF189" s="17"/>
    </row>
    <row r="190" spans="1:32" ht="12.75" customHeight="1" x14ac:dyDescent="0.35">
      <c r="A190" s="17"/>
      <c r="B190" s="17"/>
      <c r="C190" s="17"/>
      <c r="D190" s="17"/>
      <c r="E190" s="17"/>
      <c r="F190" s="92">
        <v>-8.7416109546967213E-3</v>
      </c>
      <c r="G190" s="93">
        <f t="shared" ca="1" si="23"/>
        <v>0.59430318007658811</v>
      </c>
      <c r="H190" s="17"/>
      <c r="I190" s="17"/>
      <c r="J190" s="17"/>
      <c r="K190" s="17"/>
      <c r="L190" s="17"/>
      <c r="M190" s="17"/>
      <c r="N190" s="17"/>
      <c r="O190" s="17"/>
      <c r="P190" s="17"/>
      <c r="Q190" s="17"/>
      <c r="R190" s="17"/>
      <c r="S190" s="17"/>
      <c r="T190" s="17"/>
      <c r="U190" s="17"/>
      <c r="V190" s="1195" t="s">
        <v>709</v>
      </c>
      <c r="W190" s="1196">
        <v>2</v>
      </c>
      <c r="X190" s="1196">
        <v>4</v>
      </c>
      <c r="Y190" s="1197" t="s">
        <v>5123</v>
      </c>
      <c r="Z190" s="17"/>
      <c r="AA190" s="17"/>
      <c r="AB190" s="17"/>
      <c r="AC190" s="17"/>
      <c r="AD190" s="17"/>
      <c r="AE190" s="17"/>
      <c r="AF190" s="17"/>
    </row>
    <row r="191" spans="1:32" ht="12.75" customHeight="1" x14ac:dyDescent="0.35">
      <c r="A191" s="17"/>
      <c r="B191" s="17"/>
      <c r="C191" s="17"/>
      <c r="D191" s="17"/>
      <c r="E191" s="17"/>
      <c r="F191" s="92">
        <v>-4.2653187775606449E-3</v>
      </c>
      <c r="G191" s="93">
        <f t="shared" ca="1" si="23"/>
        <v>0.59430318007658811</v>
      </c>
      <c r="H191" s="17"/>
      <c r="I191" s="17"/>
      <c r="J191" s="17"/>
      <c r="K191" s="17"/>
      <c r="L191" s="17"/>
      <c r="M191" s="17"/>
      <c r="N191" s="17"/>
      <c r="O191" s="17"/>
      <c r="P191" s="17"/>
      <c r="Q191" s="17"/>
      <c r="R191" s="17"/>
      <c r="S191" s="17"/>
      <c r="T191" s="17"/>
      <c r="U191" s="17"/>
      <c r="V191" s="1198" t="s">
        <v>709</v>
      </c>
      <c r="W191" s="1199">
        <v>2</v>
      </c>
      <c r="X191" s="1199">
        <v>5</v>
      </c>
      <c r="Y191" s="1200" t="s">
        <v>5009</v>
      </c>
      <c r="Z191" s="17"/>
      <c r="AA191" s="17"/>
      <c r="AB191" s="17"/>
      <c r="AC191" s="17"/>
      <c r="AD191" s="17"/>
      <c r="AE191" s="17"/>
      <c r="AF191" s="17"/>
    </row>
    <row r="192" spans="1:32" ht="12.75" customHeight="1" x14ac:dyDescent="0.35">
      <c r="A192" s="17"/>
      <c r="B192" s="17"/>
      <c r="C192" s="17"/>
      <c r="D192" s="17"/>
      <c r="E192" s="17"/>
      <c r="F192" s="92">
        <v>1</v>
      </c>
      <c r="G192" s="93">
        <f t="shared" ca="1" si="23"/>
        <v>0.59430318007658811</v>
      </c>
      <c r="H192" s="17"/>
      <c r="I192" s="17"/>
      <c r="J192" s="17"/>
      <c r="K192" s="17"/>
      <c r="L192" s="17"/>
      <c r="M192" s="17"/>
      <c r="N192" s="17"/>
      <c r="O192" s="17"/>
      <c r="P192" s="17"/>
      <c r="Q192" s="17"/>
      <c r="R192" s="17"/>
      <c r="S192" s="17"/>
      <c r="T192" s="17"/>
      <c r="U192" s="17"/>
      <c r="V192" s="1192" t="s">
        <v>719</v>
      </c>
      <c r="W192" s="1193">
        <v>3</v>
      </c>
      <c r="X192" s="1193">
        <v>1</v>
      </c>
      <c r="Y192" s="1194" t="s">
        <v>718</v>
      </c>
      <c r="Z192" s="17"/>
      <c r="AA192" s="17"/>
      <c r="AB192" s="17"/>
      <c r="AC192" s="17"/>
      <c r="AD192" s="17"/>
      <c r="AE192" s="17"/>
      <c r="AF192" s="17"/>
    </row>
    <row r="193" spans="1:32" ht="12.75" customHeight="1" x14ac:dyDescent="0.35">
      <c r="A193" s="17"/>
      <c r="B193" s="17"/>
      <c r="C193" s="17"/>
      <c r="D193" s="17"/>
      <c r="E193" s="17"/>
      <c r="F193" s="92">
        <v>9.5872691135244326E-2</v>
      </c>
      <c r="G193" s="93">
        <f t="shared" ca="1" si="23"/>
        <v>0.59430318007658811</v>
      </c>
      <c r="H193" s="17"/>
      <c r="I193" s="17"/>
      <c r="J193" s="17"/>
      <c r="K193" s="17"/>
      <c r="L193" s="17"/>
      <c r="M193" s="17"/>
      <c r="N193" s="17"/>
      <c r="O193" s="17"/>
      <c r="P193" s="17"/>
      <c r="Q193" s="17"/>
      <c r="R193" s="17"/>
      <c r="S193" s="17"/>
      <c r="T193" s="17"/>
      <c r="U193" s="17"/>
      <c r="V193" s="1195" t="s">
        <v>719</v>
      </c>
      <c r="W193" s="1196">
        <v>3</v>
      </c>
      <c r="X193" s="1196">
        <v>2</v>
      </c>
      <c r="Y193" s="1197" t="s">
        <v>5034</v>
      </c>
      <c r="Z193" s="17"/>
      <c r="AA193" s="17"/>
      <c r="AB193" s="17"/>
      <c r="AC193" s="17"/>
      <c r="AD193" s="17"/>
      <c r="AE193" s="17"/>
      <c r="AF193" s="17"/>
    </row>
    <row r="194" spans="1:32" ht="12.75" customHeight="1" x14ac:dyDescent="0.35">
      <c r="A194" s="17"/>
      <c r="B194" s="17"/>
      <c r="C194" s="17"/>
      <c r="D194" s="17"/>
      <c r="E194" s="17"/>
      <c r="F194" s="92">
        <v>5.946309435929531E-2</v>
      </c>
      <c r="G194" s="1239">
        <f ca="1">G195</f>
        <v>0.59430318007659166</v>
      </c>
      <c r="H194" s="17"/>
      <c r="I194" s="17"/>
      <c r="J194" s="17"/>
      <c r="K194" s="17"/>
      <c r="L194" s="17"/>
      <c r="M194" s="17"/>
      <c r="N194" s="17"/>
      <c r="O194" s="17"/>
      <c r="P194" s="17"/>
      <c r="Q194" s="17"/>
      <c r="R194" s="17"/>
      <c r="S194" s="17"/>
      <c r="T194" s="17"/>
      <c r="U194" s="17"/>
      <c r="V194" s="1195" t="s">
        <v>719</v>
      </c>
      <c r="W194" s="1196">
        <v>3</v>
      </c>
      <c r="X194" s="1196">
        <v>3</v>
      </c>
      <c r="Y194" s="1197" t="s">
        <v>5036</v>
      </c>
      <c r="Z194" s="17"/>
      <c r="AA194" s="17"/>
      <c r="AB194" s="17"/>
      <c r="AC194" s="17"/>
      <c r="AD194" s="17"/>
      <c r="AE194" s="17"/>
      <c r="AF194" s="17"/>
    </row>
    <row r="195" spans="1:32" ht="12.75" customHeight="1" x14ac:dyDescent="0.35">
      <c r="A195" s="17"/>
      <c r="B195" s="17"/>
      <c r="C195" s="17"/>
      <c r="D195" s="17"/>
      <c r="E195" s="17"/>
      <c r="F195" s="92">
        <v>4.521125295294337E-2</v>
      </c>
      <c r="G195" s="93">
        <f t="shared" ca="1" si="23"/>
        <v>0.59430318007659166</v>
      </c>
      <c r="H195" s="17"/>
      <c r="I195" s="17"/>
      <c r="J195" s="17"/>
      <c r="K195" s="17"/>
      <c r="L195" s="17"/>
      <c r="M195" s="17"/>
      <c r="N195" s="17"/>
      <c r="O195" s="17"/>
      <c r="P195" s="17"/>
      <c r="Q195" s="17"/>
      <c r="R195" s="17"/>
      <c r="S195" s="17"/>
      <c r="T195" s="17"/>
      <c r="U195" s="17"/>
      <c r="V195" s="1195" t="s">
        <v>719</v>
      </c>
      <c r="W195" s="1196">
        <v>3</v>
      </c>
      <c r="X195" s="1196">
        <v>4</v>
      </c>
      <c r="Y195" s="1197" t="s">
        <v>5038</v>
      </c>
      <c r="Z195" s="17"/>
      <c r="AA195" s="17"/>
      <c r="AB195" s="17"/>
      <c r="AC195" s="17"/>
      <c r="AD195" s="17"/>
      <c r="AE195" s="17"/>
      <c r="AF195" s="17"/>
    </row>
    <row r="196" spans="1:32" ht="12.75" customHeight="1" x14ac:dyDescent="0.35">
      <c r="A196" s="17"/>
      <c r="B196" s="17"/>
      <c r="C196" s="17"/>
      <c r="D196" s="17"/>
      <c r="E196" s="17"/>
      <c r="F196" s="92">
        <v>2.8436155726361267E-2</v>
      </c>
      <c r="G196" s="1239">
        <f ca="1">G197</f>
        <v>0.59430318007658811</v>
      </c>
      <c r="H196" s="17"/>
      <c r="I196" s="17"/>
      <c r="J196" s="17"/>
      <c r="K196" s="17"/>
      <c r="L196" s="17"/>
      <c r="M196" s="17"/>
      <c r="N196" s="17"/>
      <c r="O196" s="17"/>
      <c r="P196" s="17"/>
      <c r="Q196" s="17"/>
      <c r="R196" s="17"/>
      <c r="S196" s="17"/>
      <c r="T196" s="17"/>
      <c r="U196" s="17"/>
      <c r="V196" s="1198" t="s">
        <v>719</v>
      </c>
      <c r="W196" s="1199">
        <v>3</v>
      </c>
      <c r="X196" s="1199">
        <v>5</v>
      </c>
      <c r="Y196" s="1200" t="s">
        <v>5040</v>
      </c>
      <c r="Z196" s="17"/>
      <c r="AA196" s="17"/>
      <c r="AB196" s="17"/>
      <c r="AC196" s="17"/>
      <c r="AD196" s="17"/>
      <c r="AE196" s="17"/>
      <c r="AF196" s="17"/>
    </row>
    <row r="197" spans="1:32" ht="12.75" customHeight="1" x14ac:dyDescent="0.35">
      <c r="A197" s="17"/>
      <c r="B197" s="17"/>
      <c r="C197" s="17"/>
      <c r="D197" s="17"/>
      <c r="E197" s="17"/>
      <c r="F197" s="92">
        <v>1.5309470499731193E-2</v>
      </c>
      <c r="G197" s="93">
        <f t="shared" ca="1" si="23"/>
        <v>0.59430318007658811</v>
      </c>
      <c r="H197" s="17"/>
      <c r="I197" s="17"/>
      <c r="J197" s="17"/>
      <c r="K197" s="17"/>
      <c r="L197" s="17"/>
      <c r="M197" s="17"/>
      <c r="N197" s="17"/>
      <c r="O197" s="17"/>
      <c r="P197" s="17"/>
      <c r="Q197" s="17"/>
      <c r="R197" s="17"/>
      <c r="S197" s="17"/>
      <c r="T197" s="17"/>
      <c r="U197" s="17"/>
      <c r="V197" s="1201" t="s">
        <v>452</v>
      </c>
      <c r="W197" s="1202"/>
      <c r="X197" s="1202"/>
      <c r="Y197" s="1191" t="s">
        <v>5273</v>
      </c>
      <c r="Z197" s="17"/>
      <c r="AA197" s="17"/>
      <c r="AB197" s="17"/>
      <c r="AC197" s="17"/>
      <c r="AD197" s="17"/>
      <c r="AE197" s="17"/>
      <c r="AF197" s="17"/>
    </row>
    <row r="198" spans="1:32" ht="12.75" customHeight="1" x14ac:dyDescent="0.35">
      <c r="A198" s="17"/>
      <c r="B198" s="17"/>
      <c r="C198" s="17"/>
      <c r="D198" s="17"/>
      <c r="E198" s="17"/>
      <c r="F198" s="92">
        <v>7.9741404289037643E-3</v>
      </c>
      <c r="G198" s="1239">
        <f ca="1">G199</f>
        <v>0.59430318007658811</v>
      </c>
      <c r="H198" s="17"/>
      <c r="I198" s="17"/>
      <c r="J198" s="17"/>
      <c r="K198" s="17"/>
      <c r="L198" s="17"/>
      <c r="M198" s="17"/>
      <c r="N198" s="17"/>
      <c r="O198" s="17"/>
      <c r="P198" s="17"/>
      <c r="Q198" s="17"/>
      <c r="R198" s="17"/>
      <c r="S198" s="17"/>
      <c r="T198" s="17"/>
      <c r="U198" s="17"/>
      <c r="V198" s="1192" t="s">
        <v>696</v>
      </c>
      <c r="W198" s="1193">
        <v>1</v>
      </c>
      <c r="X198" s="1193">
        <v>1</v>
      </c>
      <c r="Y198" s="1194" t="s">
        <v>697</v>
      </c>
      <c r="Z198" s="17"/>
      <c r="AA198" s="17"/>
      <c r="AB198" s="17"/>
      <c r="AC198" s="17"/>
      <c r="AD198" s="17"/>
      <c r="AE198" s="17"/>
      <c r="AF198" s="17"/>
    </row>
    <row r="199" spans="1:32" ht="12.75" customHeight="1" x14ac:dyDescent="0.35">
      <c r="A199" s="17"/>
      <c r="B199" s="17"/>
      <c r="C199" s="17"/>
      <c r="D199" s="17"/>
      <c r="E199" s="17"/>
      <c r="F199" s="92">
        <v>4.0741237836483535E-3</v>
      </c>
      <c r="G199" s="93">
        <f t="shared" ca="1" si="23"/>
        <v>0.59430318007658811</v>
      </c>
      <c r="H199" s="17"/>
      <c r="I199" s="17"/>
      <c r="J199" s="17"/>
      <c r="K199" s="17"/>
      <c r="L199" s="17"/>
      <c r="M199" s="17"/>
      <c r="N199" s="17"/>
      <c r="O199" s="17"/>
      <c r="P199" s="17"/>
      <c r="Q199" s="17"/>
      <c r="R199" s="17"/>
      <c r="S199" s="17"/>
      <c r="T199" s="17"/>
      <c r="U199" s="17"/>
      <c r="V199" s="1195" t="s">
        <v>696</v>
      </c>
      <c r="W199" s="1196">
        <v>1</v>
      </c>
      <c r="X199" s="1196">
        <v>2</v>
      </c>
      <c r="Y199" s="1197" t="s">
        <v>5022</v>
      </c>
      <c r="Z199" s="17"/>
      <c r="AA199" s="17"/>
      <c r="AB199" s="17"/>
      <c r="AC199" s="17"/>
      <c r="AD199" s="17"/>
      <c r="AE199" s="17"/>
      <c r="AF199" s="17"/>
    </row>
    <row r="200" spans="1:32" ht="12.75" customHeight="1" x14ac:dyDescent="0.35">
      <c r="A200" s="17"/>
      <c r="B200" s="17"/>
      <c r="C200" s="17"/>
      <c r="D200" s="17"/>
      <c r="E200" s="17"/>
      <c r="F200" s="94">
        <v>2.0598362698427408E-3</v>
      </c>
      <c r="G200" s="95">
        <f t="shared" ca="1" si="23"/>
        <v>0.59430318007658811</v>
      </c>
      <c r="H200" s="17"/>
      <c r="I200" s="17"/>
      <c r="J200" s="17"/>
      <c r="K200" s="17"/>
      <c r="L200" s="17"/>
      <c r="M200" s="17"/>
      <c r="N200" s="17"/>
      <c r="O200" s="17"/>
      <c r="P200" s="17"/>
      <c r="Q200" s="17"/>
      <c r="R200" s="17"/>
      <c r="S200" s="17"/>
      <c r="T200" s="17"/>
      <c r="U200" s="17"/>
      <c r="V200" s="1195" t="s">
        <v>696</v>
      </c>
      <c r="W200" s="1196">
        <v>1</v>
      </c>
      <c r="X200" s="1196">
        <v>3</v>
      </c>
      <c r="Y200" s="1197" t="s">
        <v>5023</v>
      </c>
      <c r="Z200" s="17"/>
      <c r="AA200" s="17"/>
      <c r="AB200" s="17"/>
      <c r="AC200" s="17"/>
      <c r="AD200" s="17"/>
      <c r="AE200" s="17"/>
      <c r="AF200" s="17"/>
    </row>
    <row r="201" spans="1:32" ht="12.75" customHeight="1" x14ac:dyDescent="0.35">
      <c r="A201" s="17"/>
      <c r="B201" s="17"/>
      <c r="C201" s="17"/>
      <c r="D201" s="17"/>
      <c r="E201" s="17"/>
      <c r="F201" s="17"/>
      <c r="G201" s="21">
        <f ca="1">MATCH(1,G202:G223,0)</f>
        <v>1</v>
      </c>
      <c r="H201" s="17"/>
      <c r="I201" s="17"/>
      <c r="J201" s="17"/>
      <c r="K201" s="17"/>
      <c r="L201" s="17"/>
      <c r="M201" s="17"/>
      <c r="N201" s="17"/>
      <c r="O201" s="17"/>
      <c r="P201" s="17"/>
      <c r="Q201" s="17"/>
      <c r="R201" s="17"/>
      <c r="S201" s="17"/>
      <c r="T201" s="17"/>
      <c r="U201" s="17"/>
      <c r="V201" s="1195" t="s">
        <v>696</v>
      </c>
      <c r="W201" s="1196">
        <v>1</v>
      </c>
      <c r="X201" s="1196">
        <v>4</v>
      </c>
      <c r="Y201" s="1197" t="s">
        <v>5024</v>
      </c>
      <c r="Z201" s="17"/>
      <c r="AA201" s="17"/>
      <c r="AB201" s="17"/>
      <c r="AC201" s="17"/>
      <c r="AD201" s="17"/>
      <c r="AE201" s="17"/>
      <c r="AF201" s="17"/>
    </row>
    <row r="202" spans="1:32" ht="12.75" customHeight="1" x14ac:dyDescent="0.35">
      <c r="A202" s="17"/>
      <c r="B202" s="17"/>
      <c r="C202" s="17"/>
      <c r="D202" s="17"/>
      <c r="E202" s="17"/>
      <c r="F202" s="29">
        <f t="shared" ref="F202:F223" ca="1" si="24">IF(G202=1,G179,$G$178)</f>
        <v>0.59430318007659166</v>
      </c>
      <c r="G202" s="91">
        <f t="shared" ref="G202:G223" ca="1" si="25">IF(ISERROR(G179),0,1)</f>
        <v>1</v>
      </c>
      <c r="H202" s="17"/>
      <c r="I202" s="17"/>
      <c r="J202" s="17"/>
      <c r="K202" s="17"/>
      <c r="L202" s="17"/>
      <c r="M202" s="17"/>
      <c r="N202" s="17"/>
      <c r="O202" s="17"/>
      <c r="P202" s="17"/>
      <c r="Q202" s="17"/>
      <c r="R202" s="17"/>
      <c r="S202" s="17"/>
      <c r="T202" s="17"/>
      <c r="U202" s="17"/>
      <c r="V202" s="1198" t="s">
        <v>696</v>
      </c>
      <c r="W202" s="1199">
        <v>1</v>
      </c>
      <c r="X202" s="1199">
        <v>5</v>
      </c>
      <c r="Y202" s="1200" t="s">
        <v>5025</v>
      </c>
      <c r="Z202" s="17"/>
      <c r="AA202" s="17"/>
      <c r="AB202" s="17"/>
      <c r="AC202" s="17"/>
      <c r="AD202" s="17"/>
      <c r="AE202" s="17"/>
      <c r="AF202" s="17"/>
    </row>
    <row r="203" spans="1:32" ht="12.75" customHeight="1" x14ac:dyDescent="0.35">
      <c r="A203" s="17"/>
      <c r="B203" s="17"/>
      <c r="C203" s="17"/>
      <c r="D203" s="17"/>
      <c r="E203" s="17"/>
      <c r="F203" s="36">
        <f t="shared" ca="1" si="24"/>
        <v>0.59430318007658811</v>
      </c>
      <c r="G203" s="93">
        <f t="shared" ca="1" si="25"/>
        <v>1</v>
      </c>
      <c r="H203" s="17"/>
      <c r="I203" s="17"/>
      <c r="J203" s="17"/>
      <c r="K203" s="17"/>
      <c r="L203" s="17"/>
      <c r="M203" s="17"/>
      <c r="N203" s="17"/>
      <c r="O203" s="17"/>
      <c r="P203" s="17"/>
      <c r="Q203" s="17"/>
      <c r="R203" s="17"/>
      <c r="S203" s="17"/>
      <c r="T203" s="17"/>
      <c r="U203" s="17"/>
      <c r="V203" s="1192" t="s">
        <v>709</v>
      </c>
      <c r="W203" s="1193">
        <v>2</v>
      </c>
      <c r="X203" s="1193">
        <v>1</v>
      </c>
      <c r="Y203" s="1194" t="s">
        <v>712</v>
      </c>
      <c r="Z203" s="17"/>
      <c r="AA203" s="17"/>
      <c r="AB203" s="17"/>
      <c r="AC203" s="17"/>
      <c r="AD203" s="17"/>
      <c r="AE203" s="17"/>
      <c r="AF203" s="17"/>
    </row>
    <row r="204" spans="1:32" ht="12.75" customHeight="1" x14ac:dyDescent="0.35">
      <c r="A204" s="17"/>
      <c r="B204" s="17"/>
      <c r="C204" s="17"/>
      <c r="D204" s="17"/>
      <c r="E204" s="17"/>
      <c r="F204" s="36">
        <f t="shared" ca="1" si="24"/>
        <v>0.59430318007658811</v>
      </c>
      <c r="G204" s="93">
        <f t="shared" ca="1" si="25"/>
        <v>1</v>
      </c>
      <c r="H204" s="17"/>
      <c r="I204" s="17"/>
      <c r="J204" s="17"/>
      <c r="K204" s="17"/>
      <c r="L204" s="17"/>
      <c r="M204" s="17"/>
      <c r="N204" s="17"/>
      <c r="O204" s="17"/>
      <c r="P204" s="17"/>
      <c r="Q204" s="17"/>
      <c r="R204" s="17"/>
      <c r="S204" s="17"/>
      <c r="T204" s="17"/>
      <c r="U204" s="17"/>
      <c r="V204" s="1195" t="s">
        <v>709</v>
      </c>
      <c r="W204" s="1196">
        <v>2</v>
      </c>
      <c r="X204" s="1196">
        <v>2</v>
      </c>
      <c r="Y204" s="1197" t="s">
        <v>4957</v>
      </c>
      <c r="Z204" s="17"/>
      <c r="AA204" s="17"/>
      <c r="AB204" s="17"/>
      <c r="AC204" s="17"/>
      <c r="AD204" s="17"/>
      <c r="AE204" s="17"/>
      <c r="AF204" s="17"/>
    </row>
    <row r="205" spans="1:32" ht="12.75" customHeight="1" x14ac:dyDescent="0.35">
      <c r="A205" s="17"/>
      <c r="B205" s="17"/>
      <c r="C205" s="17"/>
      <c r="D205" s="17"/>
      <c r="E205" s="17"/>
      <c r="F205" s="36">
        <f t="shared" ca="1" si="24"/>
        <v>0.59430318007658811</v>
      </c>
      <c r="G205" s="93">
        <f t="shared" ca="1" si="25"/>
        <v>1</v>
      </c>
      <c r="H205" s="17"/>
      <c r="I205" s="17"/>
      <c r="J205" s="17"/>
      <c r="K205" s="17"/>
      <c r="L205" s="17"/>
      <c r="M205" s="17"/>
      <c r="N205" s="17"/>
      <c r="O205" s="17"/>
      <c r="P205" s="17"/>
      <c r="Q205" s="17"/>
      <c r="R205" s="17"/>
      <c r="S205" s="17"/>
      <c r="T205" s="17"/>
      <c r="U205" s="17"/>
      <c r="V205" s="1195" t="s">
        <v>709</v>
      </c>
      <c r="W205" s="1196">
        <v>2</v>
      </c>
      <c r="X205" s="1196">
        <v>3</v>
      </c>
      <c r="Y205" s="1197" t="s">
        <v>4960</v>
      </c>
      <c r="Z205" s="17"/>
      <c r="AA205" s="17"/>
      <c r="AB205" s="17"/>
      <c r="AC205" s="17"/>
      <c r="AD205" s="17"/>
      <c r="AE205" s="17"/>
      <c r="AF205" s="17"/>
    </row>
    <row r="206" spans="1:32" ht="12.75" customHeight="1" x14ac:dyDescent="0.35">
      <c r="A206" s="17"/>
      <c r="B206" s="17"/>
      <c r="C206" s="17"/>
      <c r="D206" s="17"/>
      <c r="E206" s="17"/>
      <c r="F206" s="36">
        <f t="shared" ca="1" si="24"/>
        <v>0.59430318007658811</v>
      </c>
      <c r="G206" s="93">
        <f t="shared" ca="1" si="25"/>
        <v>1</v>
      </c>
      <c r="H206" s="17"/>
      <c r="I206" s="17"/>
      <c r="J206" s="17"/>
      <c r="K206" s="17"/>
      <c r="L206" s="17"/>
      <c r="M206" s="17"/>
      <c r="N206" s="17"/>
      <c r="O206" s="17"/>
      <c r="P206" s="17"/>
      <c r="Q206" s="17"/>
      <c r="R206" s="17"/>
      <c r="S206" s="17"/>
      <c r="T206" s="17"/>
      <c r="U206" s="17"/>
      <c r="V206" s="1195" t="s">
        <v>709</v>
      </c>
      <c r="W206" s="1196">
        <v>2</v>
      </c>
      <c r="X206" s="1196">
        <v>4</v>
      </c>
      <c r="Y206" s="1197" t="s">
        <v>4963</v>
      </c>
      <c r="Z206" s="17"/>
      <c r="AA206" s="17"/>
      <c r="AB206" s="17"/>
      <c r="AC206" s="17"/>
      <c r="AD206" s="17"/>
      <c r="AE206" s="17"/>
      <c r="AF206" s="17"/>
    </row>
    <row r="207" spans="1:32" ht="12.75" customHeight="1" x14ac:dyDescent="0.35">
      <c r="A207" s="17"/>
      <c r="B207" s="17"/>
      <c r="C207" s="17"/>
      <c r="D207" s="17"/>
      <c r="E207" s="17"/>
      <c r="F207" s="36">
        <f t="shared" ca="1" si="24"/>
        <v>0.59430318007659166</v>
      </c>
      <c r="G207" s="93">
        <f t="shared" ca="1" si="25"/>
        <v>1</v>
      </c>
      <c r="H207" s="17"/>
      <c r="I207" s="17"/>
      <c r="J207" s="17"/>
      <c r="K207" s="17"/>
      <c r="L207" s="17"/>
      <c r="M207" s="17"/>
      <c r="N207" s="17"/>
      <c r="O207" s="17"/>
      <c r="P207" s="17"/>
      <c r="Q207" s="17"/>
      <c r="R207" s="17"/>
      <c r="S207" s="17"/>
      <c r="T207" s="17"/>
      <c r="U207" s="17"/>
      <c r="V207" s="1198" t="s">
        <v>709</v>
      </c>
      <c r="W207" s="1199">
        <v>2</v>
      </c>
      <c r="X207" s="1199">
        <v>5</v>
      </c>
      <c r="Y207" s="1200" t="s">
        <v>5008</v>
      </c>
      <c r="Z207" s="17"/>
      <c r="AA207" s="17"/>
      <c r="AB207" s="17"/>
      <c r="AC207" s="17"/>
      <c r="AD207" s="17"/>
      <c r="AE207" s="17"/>
      <c r="AF207" s="17"/>
    </row>
    <row r="208" spans="1:32" ht="12.75" customHeight="1" x14ac:dyDescent="0.35">
      <c r="A208" s="17"/>
      <c r="B208" s="17"/>
      <c r="C208" s="17"/>
      <c r="D208" s="17"/>
      <c r="E208" s="17"/>
      <c r="F208" s="29">
        <f t="shared" ca="1" si="24"/>
        <v>0.59430318007659166</v>
      </c>
      <c r="G208" s="1240">
        <v>0</v>
      </c>
      <c r="H208" s="17"/>
      <c r="I208" s="17"/>
      <c r="J208" s="17"/>
      <c r="K208" s="17"/>
      <c r="L208" s="17"/>
      <c r="M208" s="17"/>
      <c r="N208" s="17"/>
      <c r="O208" s="17"/>
      <c r="P208" s="17"/>
      <c r="Q208" s="17"/>
      <c r="R208" s="17"/>
      <c r="S208" s="17"/>
      <c r="T208" s="17"/>
      <c r="U208" s="17"/>
      <c r="V208" s="1192" t="s">
        <v>719</v>
      </c>
      <c r="W208" s="1193">
        <v>3</v>
      </c>
      <c r="X208" s="1193">
        <v>1</v>
      </c>
      <c r="Y208" s="1194" t="s">
        <v>720</v>
      </c>
      <c r="Z208" s="17"/>
      <c r="AA208" s="17"/>
      <c r="AB208" s="17"/>
      <c r="AC208" s="17"/>
      <c r="AD208" s="17"/>
      <c r="AE208" s="17"/>
      <c r="AF208" s="17"/>
    </row>
    <row r="209" spans="1:32" ht="12.75" customHeight="1" x14ac:dyDescent="0.35">
      <c r="A209" s="17"/>
      <c r="B209" s="17"/>
      <c r="C209" s="17"/>
      <c r="D209" s="17"/>
      <c r="E209" s="17"/>
      <c r="F209" s="36">
        <f t="shared" ca="1" si="24"/>
        <v>0.59430318007659166</v>
      </c>
      <c r="G209" s="93">
        <f t="shared" ca="1" si="25"/>
        <v>1</v>
      </c>
      <c r="H209" s="17"/>
      <c r="I209" s="17"/>
      <c r="J209" s="17"/>
      <c r="K209" s="17"/>
      <c r="L209" s="17"/>
      <c r="M209" s="17"/>
      <c r="N209" s="17"/>
      <c r="O209" s="17"/>
      <c r="P209" s="17"/>
      <c r="Q209" s="17"/>
      <c r="R209" s="17"/>
      <c r="S209" s="17"/>
      <c r="T209" s="17"/>
      <c r="U209" s="17"/>
      <c r="V209" s="1195" t="s">
        <v>719</v>
      </c>
      <c r="W209" s="1196">
        <v>3</v>
      </c>
      <c r="X209" s="1196">
        <v>2</v>
      </c>
      <c r="Y209" s="1197" t="s">
        <v>5035</v>
      </c>
      <c r="Z209" s="17"/>
      <c r="AA209" s="17"/>
      <c r="AB209" s="17"/>
      <c r="AC209" s="17"/>
      <c r="AD209" s="17"/>
      <c r="AE209" s="17"/>
      <c r="AF209" s="17"/>
    </row>
    <row r="210" spans="1:32" ht="12.75" customHeight="1" x14ac:dyDescent="0.35">
      <c r="A210" s="17"/>
      <c r="B210" s="17"/>
      <c r="C210" s="17"/>
      <c r="D210" s="17"/>
      <c r="E210" s="17"/>
      <c r="F210" s="36">
        <f t="shared" ca="1" si="24"/>
        <v>0.59430318007659166</v>
      </c>
      <c r="G210" s="1239">
        <v>0</v>
      </c>
      <c r="H210" s="17"/>
      <c r="I210" s="17"/>
      <c r="J210" s="17"/>
      <c r="K210" s="17"/>
      <c r="L210" s="17"/>
      <c r="M210" s="17"/>
      <c r="N210" s="17"/>
      <c r="O210" s="17"/>
      <c r="P210" s="17"/>
      <c r="Q210" s="17"/>
      <c r="R210" s="17"/>
      <c r="S210" s="17"/>
      <c r="T210" s="17"/>
      <c r="U210" s="17"/>
      <c r="V210" s="1195" t="s">
        <v>719</v>
      </c>
      <c r="W210" s="1196">
        <v>3</v>
      </c>
      <c r="X210" s="1196">
        <v>3</v>
      </c>
      <c r="Y210" s="1197" t="s">
        <v>5037</v>
      </c>
      <c r="Z210" s="17"/>
      <c r="AA210" s="17"/>
      <c r="AB210" s="17"/>
      <c r="AC210" s="17"/>
      <c r="AD210" s="17"/>
      <c r="AE210" s="17"/>
      <c r="AF210" s="17"/>
    </row>
    <row r="211" spans="1:32" ht="12.75" customHeight="1" x14ac:dyDescent="0.35">
      <c r="A211" s="17"/>
      <c r="B211" s="17"/>
      <c r="C211" s="17"/>
      <c r="D211" s="17"/>
      <c r="E211" s="17"/>
      <c r="F211" s="36">
        <f t="shared" ca="1" si="24"/>
        <v>0.59430318007658811</v>
      </c>
      <c r="G211" s="93">
        <f t="shared" ca="1" si="25"/>
        <v>1</v>
      </c>
      <c r="H211" s="17"/>
      <c r="I211" s="17"/>
      <c r="J211" s="17"/>
      <c r="K211" s="17"/>
      <c r="L211" s="17"/>
      <c r="M211" s="17"/>
      <c r="N211" s="17"/>
      <c r="O211" s="17"/>
      <c r="P211" s="17"/>
      <c r="Q211" s="17"/>
      <c r="R211" s="17"/>
      <c r="S211" s="17"/>
      <c r="T211" s="17"/>
      <c r="U211" s="17"/>
      <c r="V211" s="1195" t="s">
        <v>719</v>
      </c>
      <c r="W211" s="1196">
        <v>3</v>
      </c>
      <c r="X211" s="1196">
        <v>4</v>
      </c>
      <c r="Y211" s="1197" t="s">
        <v>5039</v>
      </c>
      <c r="Z211" s="17"/>
      <c r="AA211" s="17"/>
      <c r="AB211" s="17"/>
      <c r="AC211" s="17"/>
      <c r="AD211" s="17"/>
      <c r="AE211" s="17"/>
      <c r="AF211" s="17"/>
    </row>
    <row r="212" spans="1:32" ht="12.75" customHeight="1" x14ac:dyDescent="0.35">
      <c r="A212" s="17"/>
      <c r="B212" s="17"/>
      <c r="C212" s="17"/>
      <c r="D212" s="17"/>
      <c r="E212" s="17"/>
      <c r="F212" s="36">
        <f t="shared" ca="1" si="24"/>
        <v>0.59430318007659166</v>
      </c>
      <c r="G212" s="1239">
        <v>0</v>
      </c>
      <c r="H212" s="17"/>
      <c r="I212" s="17"/>
      <c r="J212" s="17"/>
      <c r="K212" s="17"/>
      <c r="L212" s="17"/>
      <c r="M212" s="17"/>
      <c r="N212" s="17"/>
      <c r="O212" s="17"/>
      <c r="P212" s="17"/>
      <c r="Q212" s="17"/>
      <c r="R212" s="17"/>
      <c r="S212" s="17"/>
      <c r="T212" s="17"/>
      <c r="U212" s="17"/>
      <c r="V212" s="1198" t="s">
        <v>719</v>
      </c>
      <c r="W212" s="1199">
        <v>3</v>
      </c>
      <c r="X212" s="1199">
        <v>5</v>
      </c>
      <c r="Y212" s="1200" t="s">
        <v>5041</v>
      </c>
      <c r="Z212" s="17"/>
      <c r="AA212" s="17"/>
      <c r="AB212" s="17"/>
      <c r="AC212" s="17"/>
      <c r="AD212" s="17"/>
      <c r="AE212" s="17"/>
      <c r="AF212" s="17"/>
    </row>
    <row r="213" spans="1:32" ht="12.75" customHeight="1" x14ac:dyDescent="0.35">
      <c r="A213" s="17"/>
      <c r="B213" s="17"/>
      <c r="C213" s="17"/>
      <c r="D213" s="17"/>
      <c r="E213" s="17"/>
      <c r="F213" s="36">
        <f t="shared" ca="1" si="24"/>
        <v>0.59430318007658811</v>
      </c>
      <c r="G213" s="93">
        <f t="shared" ca="1" si="25"/>
        <v>1</v>
      </c>
      <c r="H213" s="17"/>
      <c r="I213" s="17"/>
      <c r="J213" s="17"/>
      <c r="K213" s="17"/>
      <c r="L213" s="17"/>
      <c r="M213" s="17"/>
      <c r="N213" s="17"/>
      <c r="O213" s="17"/>
      <c r="P213" s="17"/>
      <c r="Q213" s="17"/>
      <c r="R213" s="17"/>
      <c r="S213" s="17"/>
      <c r="T213" s="17"/>
      <c r="U213" s="17"/>
      <c r="V213" s="1203" t="s">
        <v>5141</v>
      </c>
      <c r="W213" s="1204"/>
      <c r="X213" s="1204"/>
      <c r="Y213" s="1191" t="s">
        <v>5274</v>
      </c>
      <c r="Z213" s="17"/>
      <c r="AA213" s="17"/>
      <c r="AB213" s="17"/>
      <c r="AC213" s="17"/>
      <c r="AD213" s="17"/>
      <c r="AE213" s="17"/>
      <c r="AF213" s="17"/>
    </row>
    <row r="214" spans="1:32" ht="12.75" customHeight="1" x14ac:dyDescent="0.35">
      <c r="A214" s="17"/>
      <c r="B214" s="17"/>
      <c r="C214" s="17"/>
      <c r="D214" s="17"/>
      <c r="E214" s="17"/>
      <c r="F214" s="36">
        <f t="shared" ca="1" si="24"/>
        <v>0.59430318007658811</v>
      </c>
      <c r="G214" s="93">
        <f t="shared" ca="1" si="25"/>
        <v>1</v>
      </c>
      <c r="H214" s="17"/>
      <c r="I214" s="17"/>
      <c r="J214" s="17"/>
      <c r="K214" s="17"/>
      <c r="L214" s="17"/>
      <c r="M214" s="17"/>
      <c r="N214" s="17"/>
      <c r="O214" s="17"/>
      <c r="P214" s="17"/>
      <c r="Q214" s="17"/>
      <c r="R214" s="17"/>
      <c r="S214" s="17"/>
      <c r="T214" s="17"/>
      <c r="U214" s="17"/>
      <c r="V214" s="1192" t="s">
        <v>696</v>
      </c>
      <c r="W214" s="1193">
        <v>1</v>
      </c>
      <c r="X214" s="1193">
        <v>1</v>
      </c>
      <c r="Y214" s="1194" t="s">
        <v>698</v>
      </c>
      <c r="Z214" s="17"/>
      <c r="AA214" s="17"/>
      <c r="AB214" s="17"/>
      <c r="AC214" s="17"/>
      <c r="AD214" s="17"/>
      <c r="AE214" s="17"/>
      <c r="AF214" s="17"/>
    </row>
    <row r="215" spans="1:32" ht="12.75" customHeight="1" x14ac:dyDescent="0.35">
      <c r="A215" s="17"/>
      <c r="B215" s="17"/>
      <c r="C215" s="17"/>
      <c r="D215" s="17"/>
      <c r="E215" s="17"/>
      <c r="F215" s="36">
        <f t="shared" ca="1" si="24"/>
        <v>0.59430318007658811</v>
      </c>
      <c r="G215" s="93">
        <f t="shared" ca="1" si="25"/>
        <v>1</v>
      </c>
      <c r="H215" s="17"/>
      <c r="I215" s="17"/>
      <c r="J215" s="17"/>
      <c r="K215" s="17"/>
      <c r="L215" s="17"/>
      <c r="M215" s="17"/>
      <c r="N215" s="17"/>
      <c r="O215" s="17"/>
      <c r="P215" s="17"/>
      <c r="Q215" s="17"/>
      <c r="R215" s="17"/>
      <c r="S215" s="17"/>
      <c r="T215" s="17"/>
      <c r="U215" s="17"/>
      <c r="V215" s="1195" t="s">
        <v>696</v>
      </c>
      <c r="W215" s="1196">
        <v>1</v>
      </c>
      <c r="X215" s="1196">
        <v>2</v>
      </c>
      <c r="Y215" s="1197" t="s">
        <v>5026</v>
      </c>
      <c r="Z215" s="17"/>
      <c r="AA215" s="17"/>
      <c r="AB215" s="17"/>
      <c r="AC215" s="17"/>
      <c r="AD215" s="17"/>
      <c r="AE215" s="17"/>
      <c r="AF215" s="17"/>
    </row>
    <row r="216" spans="1:32" ht="12.75" customHeight="1" x14ac:dyDescent="0.35">
      <c r="A216" s="17"/>
      <c r="B216" s="17"/>
      <c r="C216" s="17"/>
      <c r="D216" s="17"/>
      <c r="E216" s="17"/>
      <c r="F216" s="36">
        <f t="shared" ca="1" si="24"/>
        <v>0.59430318007658811</v>
      </c>
      <c r="G216" s="93">
        <f t="shared" ca="1" si="25"/>
        <v>1</v>
      </c>
      <c r="H216" s="17"/>
      <c r="I216" s="17"/>
      <c r="J216" s="17"/>
      <c r="K216" s="17"/>
      <c r="L216" s="17"/>
      <c r="M216" s="17"/>
      <c r="N216" s="17"/>
      <c r="O216" s="17"/>
      <c r="P216" s="17"/>
      <c r="Q216" s="17"/>
      <c r="R216" s="17"/>
      <c r="S216" s="17"/>
      <c r="T216" s="17"/>
      <c r="U216" s="17"/>
      <c r="V216" s="1195" t="s">
        <v>696</v>
      </c>
      <c r="W216" s="1196">
        <v>1</v>
      </c>
      <c r="X216" s="1196">
        <v>3</v>
      </c>
      <c r="Y216" s="1197" t="s">
        <v>5027</v>
      </c>
      <c r="Z216" s="17"/>
      <c r="AA216" s="17"/>
      <c r="AB216" s="17"/>
      <c r="AC216" s="17"/>
      <c r="AD216" s="17"/>
      <c r="AE216" s="17"/>
      <c r="AF216" s="17"/>
    </row>
    <row r="217" spans="1:32" ht="12.75" customHeight="1" x14ac:dyDescent="0.35">
      <c r="A217" s="17"/>
      <c r="B217" s="17"/>
      <c r="C217" s="17"/>
      <c r="D217" s="17"/>
      <c r="E217" s="17"/>
      <c r="F217" s="36">
        <f t="shared" ca="1" si="24"/>
        <v>0.59430318007659166</v>
      </c>
      <c r="G217" s="1239">
        <v>0</v>
      </c>
      <c r="H217" s="17"/>
      <c r="I217" s="17"/>
      <c r="J217" s="17"/>
      <c r="K217" s="17"/>
      <c r="L217" s="17"/>
      <c r="M217" s="17"/>
      <c r="N217" s="17"/>
      <c r="O217" s="17"/>
      <c r="P217" s="17"/>
      <c r="Q217" s="17"/>
      <c r="R217" s="17"/>
      <c r="S217" s="17"/>
      <c r="T217" s="17"/>
      <c r="U217" s="17"/>
      <c r="V217" s="1195" t="s">
        <v>696</v>
      </c>
      <c r="W217" s="1196">
        <v>1</v>
      </c>
      <c r="X217" s="1196">
        <v>4</v>
      </c>
      <c r="Y217" s="1197" t="s">
        <v>5028</v>
      </c>
      <c r="Z217" s="17"/>
      <c r="AA217" s="17"/>
      <c r="AB217" s="17"/>
      <c r="AC217" s="17"/>
      <c r="AD217" s="17"/>
      <c r="AE217" s="17"/>
      <c r="AF217" s="17"/>
    </row>
    <row r="218" spans="1:32" ht="12.75" customHeight="1" x14ac:dyDescent="0.35">
      <c r="A218" s="17"/>
      <c r="B218" s="17"/>
      <c r="C218" s="17"/>
      <c r="D218" s="17"/>
      <c r="E218" s="17"/>
      <c r="F218" s="36">
        <f t="shared" ca="1" si="24"/>
        <v>0.59430318007659166</v>
      </c>
      <c r="G218" s="93">
        <f t="shared" ca="1" si="25"/>
        <v>1</v>
      </c>
      <c r="H218" s="17"/>
      <c r="I218" s="17"/>
      <c r="J218" s="17"/>
      <c r="K218" s="17"/>
      <c r="L218" s="17"/>
      <c r="M218" s="17"/>
      <c r="N218" s="17"/>
      <c r="O218" s="17"/>
      <c r="P218" s="17"/>
      <c r="Q218" s="17"/>
      <c r="R218" s="17"/>
      <c r="S218" s="17"/>
      <c r="T218" s="17"/>
      <c r="U218" s="17"/>
      <c r="V218" s="1198" t="s">
        <v>696</v>
      </c>
      <c r="W218" s="1199">
        <v>1</v>
      </c>
      <c r="X218" s="1199">
        <v>5</v>
      </c>
      <c r="Y218" s="1200" t="s">
        <v>5029</v>
      </c>
      <c r="Z218" s="17"/>
      <c r="AA218" s="17"/>
      <c r="AB218" s="17"/>
      <c r="AC218" s="17"/>
      <c r="AD218" s="17"/>
      <c r="AE218" s="17"/>
      <c r="AF218" s="17"/>
    </row>
    <row r="219" spans="1:32" ht="12.75" customHeight="1" x14ac:dyDescent="0.35">
      <c r="A219" s="17"/>
      <c r="B219" s="17"/>
      <c r="C219" s="17"/>
      <c r="D219" s="17"/>
      <c r="E219" s="17"/>
      <c r="F219" s="36">
        <f t="shared" ca="1" si="24"/>
        <v>0.59430318007659166</v>
      </c>
      <c r="G219" s="1239">
        <v>0</v>
      </c>
      <c r="H219" s="17"/>
      <c r="I219" s="17"/>
      <c r="J219" s="17"/>
      <c r="K219" s="17"/>
      <c r="L219" s="17"/>
      <c r="M219" s="17"/>
      <c r="N219" s="17"/>
      <c r="O219" s="17"/>
      <c r="P219" s="17"/>
      <c r="Q219" s="17"/>
      <c r="R219" s="17"/>
      <c r="S219" s="17"/>
      <c r="T219" s="17"/>
      <c r="U219" s="17"/>
      <c r="V219" s="1192" t="s">
        <v>709</v>
      </c>
      <c r="W219" s="1193">
        <v>2</v>
      </c>
      <c r="X219" s="1193">
        <v>1</v>
      </c>
      <c r="Y219" s="1191" t="s">
        <v>5117</v>
      </c>
      <c r="Z219" s="17"/>
      <c r="AA219" s="17"/>
      <c r="AB219" s="17"/>
      <c r="AC219" s="17"/>
      <c r="AD219" s="17"/>
      <c r="AE219" s="17"/>
      <c r="AF219" s="17"/>
    </row>
    <row r="220" spans="1:32" ht="12.75" customHeight="1" x14ac:dyDescent="0.35">
      <c r="A220" s="17"/>
      <c r="B220" s="17"/>
      <c r="C220" s="17"/>
      <c r="D220" s="17"/>
      <c r="E220" s="17"/>
      <c r="F220" s="36">
        <f t="shared" ca="1" si="24"/>
        <v>0.59430318007658811</v>
      </c>
      <c r="G220" s="93">
        <f t="shared" ca="1" si="25"/>
        <v>1</v>
      </c>
      <c r="H220" s="17"/>
      <c r="I220" s="17"/>
      <c r="J220" s="17"/>
      <c r="K220" s="17"/>
      <c r="L220" s="17"/>
      <c r="M220" s="17"/>
      <c r="N220" s="17"/>
      <c r="O220" s="17"/>
      <c r="P220" s="17"/>
      <c r="Q220" s="17"/>
      <c r="R220" s="17"/>
      <c r="S220" s="17"/>
      <c r="T220" s="17"/>
      <c r="U220" s="17"/>
      <c r="V220" s="1195" t="s">
        <v>709</v>
      </c>
      <c r="W220" s="1196">
        <v>2</v>
      </c>
      <c r="X220" s="1196">
        <v>2</v>
      </c>
      <c r="Y220" s="1205" t="s">
        <v>5118</v>
      </c>
      <c r="Z220" s="17"/>
      <c r="AA220" s="17"/>
      <c r="AB220" s="17"/>
      <c r="AC220" s="17"/>
      <c r="AD220" s="17"/>
      <c r="AE220" s="17"/>
      <c r="AF220" s="17"/>
    </row>
    <row r="221" spans="1:32" ht="12.75" customHeight="1" x14ac:dyDescent="0.35">
      <c r="A221" s="17"/>
      <c r="B221" s="17"/>
      <c r="C221" s="17"/>
      <c r="D221" s="17"/>
      <c r="E221" s="17"/>
      <c r="F221" s="36">
        <f t="shared" ca="1" si="24"/>
        <v>0.59430318007659166</v>
      </c>
      <c r="G221" s="1239">
        <v>0</v>
      </c>
      <c r="H221" s="17"/>
      <c r="I221" s="17"/>
      <c r="J221" s="17"/>
      <c r="K221" s="17"/>
      <c r="L221" s="17"/>
      <c r="M221" s="17"/>
      <c r="N221" s="17"/>
      <c r="O221" s="17"/>
      <c r="P221" s="17"/>
      <c r="Q221" s="17"/>
      <c r="R221" s="17"/>
      <c r="S221" s="17"/>
      <c r="T221" s="17"/>
      <c r="U221" s="17"/>
      <c r="V221" s="1195" t="s">
        <v>709</v>
      </c>
      <c r="W221" s="1196">
        <v>2</v>
      </c>
      <c r="X221" s="1196">
        <v>3</v>
      </c>
      <c r="Y221" s="1205" t="s">
        <v>5119</v>
      </c>
      <c r="Z221" s="17"/>
      <c r="AA221" s="17"/>
      <c r="AB221" s="17"/>
      <c r="AC221" s="17"/>
      <c r="AD221" s="17"/>
      <c r="AE221" s="17"/>
      <c r="AF221" s="17"/>
    </row>
    <row r="222" spans="1:32" ht="12.75" customHeight="1" x14ac:dyDescent="0.35">
      <c r="A222" s="17"/>
      <c r="B222" s="17"/>
      <c r="C222" s="17"/>
      <c r="D222" s="17"/>
      <c r="E222" s="17"/>
      <c r="F222" s="36">
        <f t="shared" ca="1" si="24"/>
        <v>0.59430318007658811</v>
      </c>
      <c r="G222" s="93">
        <f t="shared" ca="1" si="25"/>
        <v>1</v>
      </c>
      <c r="H222" s="17"/>
      <c r="I222" s="17"/>
      <c r="J222" s="17"/>
      <c r="K222" s="17"/>
      <c r="L222" s="17"/>
      <c r="M222" s="17"/>
      <c r="N222" s="17"/>
      <c r="O222" s="17"/>
      <c r="P222" s="17"/>
      <c r="Q222" s="17"/>
      <c r="R222" s="17"/>
      <c r="S222" s="17"/>
      <c r="T222" s="17"/>
      <c r="U222" s="17"/>
      <c r="V222" s="1195" t="s">
        <v>709</v>
      </c>
      <c r="W222" s="1196">
        <v>2</v>
      </c>
      <c r="X222" s="1196">
        <v>4</v>
      </c>
      <c r="Y222" s="1205" t="s">
        <v>5120</v>
      </c>
      <c r="Z222" s="17"/>
      <c r="AA222" s="17"/>
      <c r="AB222" s="17"/>
      <c r="AC222" s="17"/>
      <c r="AD222" s="17"/>
      <c r="AE222" s="17"/>
      <c r="AF222" s="17"/>
    </row>
    <row r="223" spans="1:32" ht="12.75" customHeight="1" x14ac:dyDescent="0.35">
      <c r="A223" s="17"/>
      <c r="B223" s="17"/>
      <c r="C223" s="17"/>
      <c r="D223" s="17"/>
      <c r="E223" s="17"/>
      <c r="F223" s="43">
        <f t="shared" ca="1" si="24"/>
        <v>0.59430318007658811</v>
      </c>
      <c r="G223" s="95">
        <f t="shared" ca="1" si="25"/>
        <v>1</v>
      </c>
      <c r="H223" s="17"/>
      <c r="I223" s="17"/>
      <c r="J223" s="17"/>
      <c r="K223" s="17"/>
      <c r="L223" s="17"/>
      <c r="M223" s="17"/>
      <c r="N223" s="17"/>
      <c r="O223" s="17"/>
      <c r="P223" s="17"/>
      <c r="Q223" s="17"/>
      <c r="R223" s="17"/>
      <c r="S223" s="17"/>
      <c r="T223" s="17"/>
      <c r="U223" s="17"/>
      <c r="V223" s="1198" t="s">
        <v>709</v>
      </c>
      <c r="W223" s="1199">
        <v>2</v>
      </c>
      <c r="X223" s="1199">
        <v>5</v>
      </c>
      <c r="Y223" s="1206" t="s">
        <v>5121</v>
      </c>
      <c r="Z223" s="17"/>
      <c r="AA223" s="17"/>
      <c r="AB223" s="17"/>
      <c r="AC223" s="17"/>
      <c r="AD223" s="17"/>
      <c r="AE223" s="17"/>
      <c r="AF223" s="17"/>
    </row>
    <row r="224" spans="1:32" ht="12.75" customHeight="1" x14ac:dyDescent="0.35">
      <c r="A224" s="17"/>
      <c r="B224" s="17"/>
      <c r="C224" s="17"/>
      <c r="D224" s="17"/>
      <c r="E224" s="17"/>
      <c r="F224" s="96" t="s">
        <v>2171</v>
      </c>
      <c r="G224" s="17"/>
      <c r="H224" s="17"/>
      <c r="I224" s="17"/>
      <c r="J224" s="17"/>
      <c r="K224" s="17"/>
      <c r="L224" s="17"/>
      <c r="M224" s="17"/>
      <c r="N224" s="17"/>
      <c r="O224" s="17"/>
      <c r="P224" s="17"/>
      <c r="Q224" s="17"/>
      <c r="R224" s="17"/>
      <c r="S224" s="17"/>
      <c r="T224" s="17"/>
      <c r="U224" s="17"/>
      <c r="V224" s="1192" t="s">
        <v>719</v>
      </c>
      <c r="W224" s="1193">
        <v>3</v>
      </c>
      <c r="X224" s="1193">
        <v>1</v>
      </c>
      <c r="Y224" s="1194" t="s">
        <v>721</v>
      </c>
      <c r="Z224" s="17"/>
      <c r="AA224" s="17"/>
      <c r="AB224" s="17"/>
      <c r="AC224" s="17"/>
      <c r="AD224" s="17"/>
      <c r="AE224" s="17"/>
      <c r="AF224" s="17"/>
    </row>
    <row r="225" spans="1:32" ht="12.75" customHeight="1" x14ac:dyDescent="0.35">
      <c r="A225" s="17"/>
      <c r="B225" s="17"/>
      <c r="C225" s="17"/>
      <c r="D225" s="17"/>
      <c r="E225" s="17"/>
      <c r="F225" s="85">
        <f ca="1">IF(AND(G225&lt;&gt;G227,G228&lt;&gt;0),IF(G225&gt;-G228,G225,G227),G225)</f>
        <v>0.59430318007658811</v>
      </c>
      <c r="G225" s="17">
        <f ca="1">MIN(F202:F223)</f>
        <v>0.59430318007658811</v>
      </c>
      <c r="H225" s="17"/>
      <c r="I225" s="17"/>
      <c r="J225" s="17"/>
      <c r="K225" s="17"/>
      <c r="L225" s="17"/>
      <c r="M225" s="17"/>
      <c r="N225" s="17"/>
      <c r="O225" s="17"/>
      <c r="P225" s="17"/>
      <c r="Q225" s="17"/>
      <c r="R225" s="17"/>
      <c r="S225" s="17"/>
      <c r="T225" s="17"/>
      <c r="U225" s="17"/>
      <c r="V225" s="1195" t="s">
        <v>719</v>
      </c>
      <c r="W225" s="1196">
        <v>3</v>
      </c>
      <c r="X225" s="1196">
        <v>2</v>
      </c>
      <c r="Y225" s="1197" t="s">
        <v>5042</v>
      </c>
      <c r="Z225" s="17"/>
      <c r="AA225" s="17"/>
      <c r="AB225" s="17"/>
      <c r="AC225" s="17"/>
      <c r="AD225" s="17"/>
      <c r="AE225" s="17"/>
      <c r="AF225" s="17"/>
    </row>
    <row r="226" spans="1:32" ht="12.75" customHeight="1" x14ac:dyDescent="0.35">
      <c r="A226" s="17"/>
      <c r="B226" s="17"/>
      <c r="C226" s="17"/>
      <c r="D226" s="17"/>
      <c r="E226" s="17"/>
      <c r="F226" s="85" t="s">
        <v>2172</v>
      </c>
      <c r="G226" s="17">
        <f ca="1">ABS(SUMIF(PreTaxCashFlow,"&gt;0")/-SUMIF(PreTaxCashFlow,"&lt;0")-1)</f>
        <v>2.8180233335089064</v>
      </c>
      <c r="H226" s="17"/>
      <c r="I226" s="17"/>
      <c r="J226" s="17"/>
      <c r="K226" s="17"/>
      <c r="L226" s="17"/>
      <c r="M226" s="17"/>
      <c r="N226" s="17"/>
      <c r="O226" s="17"/>
      <c r="P226" s="17"/>
      <c r="Q226" s="17"/>
      <c r="R226" s="17"/>
      <c r="S226" s="17"/>
      <c r="T226" s="17"/>
      <c r="U226" s="17"/>
      <c r="V226" s="1195" t="s">
        <v>719</v>
      </c>
      <c r="W226" s="1196">
        <v>3</v>
      </c>
      <c r="X226" s="1196">
        <v>3</v>
      </c>
      <c r="Y226" s="1197" t="s">
        <v>5043</v>
      </c>
      <c r="Z226" s="17"/>
      <c r="AA226" s="17"/>
      <c r="AB226" s="17"/>
      <c r="AC226" s="17"/>
      <c r="AD226" s="17"/>
      <c r="AE226" s="17"/>
      <c r="AF226" s="17"/>
    </row>
    <row r="227" spans="1:32" ht="12.75" customHeight="1" x14ac:dyDescent="0.35">
      <c r="A227" s="17"/>
      <c r="B227" s="17"/>
      <c r="C227" s="17"/>
      <c r="D227" s="17"/>
      <c r="E227" s="17"/>
      <c r="F227" s="85">
        <f ca="1">IF(AND(G225&lt;&gt;G227,G228&lt;&gt;0),IF(G227&gt;-G228,G227,G225),G227)</f>
        <v>0.59430318007659166</v>
      </c>
      <c r="G227" s="17">
        <f ca="1">MAX(F202:F223)</f>
        <v>0.59430318007659166</v>
      </c>
      <c r="H227" s="17"/>
      <c r="I227" s="17"/>
      <c r="J227" s="17"/>
      <c r="K227" s="17"/>
      <c r="L227" s="17"/>
      <c r="M227" s="17"/>
      <c r="N227" s="17"/>
      <c r="O227" s="17"/>
      <c r="P227" s="17"/>
      <c r="Q227" s="17"/>
      <c r="R227" s="17"/>
      <c r="S227" s="17"/>
      <c r="T227" s="17"/>
      <c r="U227" s="17"/>
      <c r="V227" s="1195" t="s">
        <v>719</v>
      </c>
      <c r="W227" s="1196">
        <v>3</v>
      </c>
      <c r="X227" s="1196">
        <v>4</v>
      </c>
      <c r="Y227" s="1197" t="s">
        <v>5044</v>
      </c>
      <c r="Z227" s="17"/>
      <c r="AA227" s="17"/>
      <c r="AB227" s="17"/>
      <c r="AC227" s="17"/>
      <c r="AD227" s="17"/>
      <c r="AE227" s="17"/>
      <c r="AF227" s="17"/>
    </row>
    <row r="228" spans="1:32" ht="12.75" customHeight="1" x14ac:dyDescent="0.35">
      <c r="A228" s="17"/>
      <c r="B228" s="17"/>
      <c r="C228" s="17"/>
      <c r="D228" s="17"/>
      <c r="E228" s="17"/>
      <c r="F228" s="17"/>
      <c r="G228" s="17">
        <f ca="1">IF(ISERROR(G226),0,G226)</f>
        <v>2.8180233335089064</v>
      </c>
      <c r="H228" s="17"/>
      <c r="I228" s="17"/>
      <c r="J228" s="17"/>
      <c r="K228" s="17"/>
      <c r="L228" s="17"/>
      <c r="M228" s="17"/>
      <c r="N228" s="17"/>
      <c r="O228" s="17"/>
      <c r="P228" s="17"/>
      <c r="Q228" s="17"/>
      <c r="R228" s="17"/>
      <c r="S228" s="17"/>
      <c r="T228" s="17"/>
      <c r="U228" s="17"/>
      <c r="V228" s="1198" t="s">
        <v>719</v>
      </c>
      <c r="W228" s="1199">
        <v>3</v>
      </c>
      <c r="X228" s="1199">
        <v>5</v>
      </c>
      <c r="Y228" s="1200" t="s">
        <v>5045</v>
      </c>
      <c r="Z228" s="17"/>
      <c r="AA228" s="17"/>
      <c r="AB228" s="17"/>
      <c r="AC228" s="17"/>
      <c r="AD228" s="17"/>
      <c r="AE228" s="17"/>
      <c r="AF228" s="17"/>
    </row>
    <row r="229" spans="1:32" ht="12.75" customHeight="1" x14ac:dyDescent="0.35">
      <c r="A229" s="17"/>
      <c r="B229" s="17"/>
      <c r="C229" s="17"/>
      <c r="D229" s="17"/>
      <c r="E229" s="17"/>
      <c r="F229" s="164" t="s">
        <v>2173</v>
      </c>
      <c r="G229" s="85" t="str">
        <f ca="1">IF(ISNA(G252),"-",OFFSET(G229,G252,0))</f>
        <v>-</v>
      </c>
      <c r="H229" s="17"/>
      <c r="I229" s="17"/>
      <c r="J229" s="17"/>
      <c r="K229" s="17"/>
      <c r="L229" s="17"/>
      <c r="M229" s="17"/>
      <c r="N229" s="17"/>
      <c r="O229" s="17"/>
      <c r="P229" s="17"/>
      <c r="Q229" s="17"/>
      <c r="R229" s="17"/>
      <c r="S229" s="17"/>
      <c r="T229" s="17"/>
      <c r="U229" s="17"/>
      <c r="V229" s="1207" t="s">
        <v>5275</v>
      </c>
      <c r="W229" s="1208"/>
      <c r="X229" s="1208"/>
      <c r="Y229" s="1191" t="s">
        <v>5276</v>
      </c>
      <c r="Z229" s="17"/>
      <c r="AA229" s="17"/>
      <c r="AB229" s="17"/>
      <c r="AC229" s="17"/>
      <c r="AD229" s="17"/>
      <c r="AE229" s="17"/>
      <c r="AF229" s="17"/>
    </row>
    <row r="230" spans="1:32" ht="12.75" customHeight="1" x14ac:dyDescent="0.35">
      <c r="A230" s="17"/>
      <c r="B230" s="17"/>
      <c r="C230" s="17"/>
      <c r="D230" s="17"/>
      <c r="E230" s="17"/>
      <c r="F230" s="29">
        <f>F231*0.5</f>
        <v>1.1316398208850442E-3</v>
      </c>
      <c r="G230" s="86" t="e">
        <f t="shared" ref="G230:G235" si="26">IF(FCFEinUse=1,(1+IRR(PreTaxCashFlowEquity,$F230))^12-1,NA())</f>
        <v>#N/A</v>
      </c>
      <c r="H230" s="17"/>
      <c r="I230" s="17"/>
      <c r="J230" s="17"/>
      <c r="K230" s="17"/>
      <c r="L230" s="17"/>
      <c r="M230" s="17"/>
      <c r="N230" s="17"/>
      <c r="O230" s="17"/>
      <c r="P230" s="17"/>
      <c r="Q230" s="17"/>
      <c r="R230" s="17"/>
      <c r="S230" s="17"/>
      <c r="T230" s="17"/>
      <c r="U230" s="17"/>
      <c r="V230" s="1192" t="s">
        <v>696</v>
      </c>
      <c r="W230" s="1193">
        <v>1</v>
      </c>
      <c r="X230" s="1193">
        <v>1</v>
      </c>
      <c r="Y230" s="1194" t="s">
        <v>699</v>
      </c>
      <c r="Z230" s="17"/>
      <c r="AA230" s="17"/>
      <c r="AB230" s="17"/>
      <c r="AC230" s="17"/>
      <c r="AD230" s="17"/>
      <c r="AE230" s="17"/>
      <c r="AF230" s="17"/>
    </row>
    <row r="231" spans="1:32" ht="12.75" customHeight="1" x14ac:dyDescent="0.35">
      <c r="A231" s="17"/>
      <c r="B231" s="17"/>
      <c r="C231" s="17"/>
      <c r="D231" s="17"/>
      <c r="E231" s="17"/>
      <c r="F231" s="36">
        <f>DiscMonth</f>
        <v>2.2632796417700884E-3</v>
      </c>
      <c r="G231" s="87" t="e">
        <f t="shared" si="26"/>
        <v>#N/A</v>
      </c>
      <c r="H231" s="17"/>
      <c r="I231" s="17"/>
      <c r="J231" s="17"/>
      <c r="K231" s="17"/>
      <c r="L231" s="17"/>
      <c r="M231" s="17"/>
      <c r="N231" s="17"/>
      <c r="O231" s="17"/>
      <c r="P231" s="17"/>
      <c r="Q231" s="17"/>
      <c r="R231" s="17"/>
      <c r="S231" s="17"/>
      <c r="T231" s="17"/>
      <c r="U231" s="17"/>
      <c r="V231" s="1195" t="s">
        <v>696</v>
      </c>
      <c r="W231" s="1196">
        <v>1</v>
      </c>
      <c r="X231" s="1196">
        <v>2</v>
      </c>
      <c r="Y231" s="1197" t="s">
        <v>5030</v>
      </c>
      <c r="Z231" s="17"/>
      <c r="AA231" s="17"/>
      <c r="AB231" s="17"/>
      <c r="AC231" s="17"/>
      <c r="AD231" s="17"/>
      <c r="AE231" s="17"/>
      <c r="AF231" s="17"/>
    </row>
    <row r="232" spans="1:32" ht="12.75" customHeight="1" x14ac:dyDescent="0.35">
      <c r="A232" s="17"/>
      <c r="B232" s="17"/>
      <c r="C232" s="17"/>
      <c r="D232" s="17"/>
      <c r="E232" s="17"/>
      <c r="F232" s="36">
        <f>F231*1.5</f>
        <v>3.3949194626551327E-3</v>
      </c>
      <c r="G232" s="87" t="e">
        <f t="shared" si="26"/>
        <v>#N/A</v>
      </c>
      <c r="H232" s="17"/>
      <c r="I232" s="17"/>
      <c r="J232" s="17"/>
      <c r="K232" s="17"/>
      <c r="L232" s="17"/>
      <c r="M232" s="17"/>
      <c r="N232" s="17"/>
      <c r="O232" s="17"/>
      <c r="P232" s="17"/>
      <c r="Q232" s="17"/>
      <c r="R232" s="17"/>
      <c r="S232" s="17"/>
      <c r="T232" s="17"/>
      <c r="U232" s="17"/>
      <c r="V232" s="1195" t="s">
        <v>696</v>
      </c>
      <c r="W232" s="1196">
        <v>1</v>
      </c>
      <c r="X232" s="1196">
        <v>3</v>
      </c>
      <c r="Y232" s="1197" t="s">
        <v>5032</v>
      </c>
      <c r="Z232" s="17"/>
      <c r="AA232" s="17"/>
      <c r="AB232" s="17"/>
      <c r="AC232" s="17"/>
      <c r="AD232" s="17"/>
      <c r="AE232" s="17"/>
      <c r="AF232" s="17"/>
    </row>
    <row r="233" spans="1:32" ht="12.75" customHeight="1" x14ac:dyDescent="0.35">
      <c r="A233" s="17"/>
      <c r="B233" s="17"/>
      <c r="C233" s="17"/>
      <c r="D233" s="17"/>
      <c r="E233" s="17"/>
      <c r="F233" s="36">
        <f>-F230</f>
        <v>-1.1316398208850442E-3</v>
      </c>
      <c r="G233" s="87" t="e">
        <f t="shared" si="26"/>
        <v>#N/A</v>
      </c>
      <c r="H233" s="17"/>
      <c r="I233" s="17"/>
      <c r="J233" s="17"/>
      <c r="K233" s="17"/>
      <c r="L233" s="17"/>
      <c r="M233" s="17"/>
      <c r="N233" s="17"/>
      <c r="O233" s="17"/>
      <c r="P233" s="17"/>
      <c r="Q233" s="17"/>
      <c r="R233" s="17"/>
      <c r="S233" s="17"/>
      <c r="T233" s="17"/>
      <c r="U233" s="17"/>
      <c r="V233" s="1195" t="s">
        <v>696</v>
      </c>
      <c r="W233" s="1196">
        <v>1</v>
      </c>
      <c r="X233" s="1196">
        <v>4</v>
      </c>
      <c r="Y233" s="1197" t="s">
        <v>5033</v>
      </c>
      <c r="Z233" s="17"/>
      <c r="AA233" s="17"/>
      <c r="AB233" s="17"/>
      <c r="AC233" s="17"/>
      <c r="AD233" s="17"/>
      <c r="AE233" s="17"/>
      <c r="AF233" s="17"/>
    </row>
    <row r="234" spans="1:32" ht="12.75" customHeight="1" x14ac:dyDescent="0.35">
      <c r="A234" s="17"/>
      <c r="B234" s="17"/>
      <c r="C234" s="17"/>
      <c r="D234" s="17"/>
      <c r="E234" s="17"/>
      <c r="F234" s="36">
        <f>-F231</f>
        <v>-2.2632796417700884E-3</v>
      </c>
      <c r="G234" s="87" t="e">
        <f t="shared" si="26"/>
        <v>#N/A</v>
      </c>
      <c r="H234" s="17"/>
      <c r="I234" s="17"/>
      <c r="J234" s="17"/>
      <c r="K234" s="17"/>
      <c r="L234" s="17"/>
      <c r="M234" s="17"/>
      <c r="N234" s="17"/>
      <c r="O234" s="17"/>
      <c r="P234" s="17"/>
      <c r="Q234" s="17"/>
      <c r="R234" s="17"/>
      <c r="S234" s="17"/>
      <c r="T234" s="17"/>
      <c r="U234" s="17"/>
      <c r="V234" s="1198" t="s">
        <v>696</v>
      </c>
      <c r="W234" s="1199">
        <v>1</v>
      </c>
      <c r="X234" s="1199">
        <v>5</v>
      </c>
      <c r="Y234" s="1200" t="s">
        <v>5031</v>
      </c>
      <c r="Z234" s="17"/>
      <c r="AA234" s="17"/>
      <c r="AB234" s="17"/>
      <c r="AC234" s="17"/>
      <c r="AD234" s="17"/>
      <c r="AE234" s="17"/>
      <c r="AF234" s="17"/>
    </row>
    <row r="235" spans="1:32" ht="12.75" customHeight="1" x14ac:dyDescent="0.35">
      <c r="A235" s="17"/>
      <c r="B235" s="17"/>
      <c r="C235" s="17"/>
      <c r="D235" s="17"/>
      <c r="E235" s="17"/>
      <c r="F235" s="36">
        <f>-F232</f>
        <v>-3.3949194626551327E-3</v>
      </c>
      <c r="G235" s="87" t="e">
        <f t="shared" si="26"/>
        <v>#N/A</v>
      </c>
      <c r="H235" s="17"/>
      <c r="I235" s="17"/>
      <c r="J235" s="17"/>
      <c r="K235" s="17"/>
      <c r="L235" s="17"/>
      <c r="M235" s="17"/>
      <c r="N235" s="17"/>
      <c r="O235" s="17"/>
      <c r="P235" s="17"/>
      <c r="Q235" s="17"/>
      <c r="R235" s="17"/>
      <c r="S235" s="17"/>
      <c r="T235" s="17"/>
      <c r="U235" s="17"/>
      <c r="V235" s="1192" t="s">
        <v>709</v>
      </c>
      <c r="W235" s="1193">
        <v>2</v>
      </c>
      <c r="X235" s="1193">
        <v>1</v>
      </c>
      <c r="Y235" s="1194" t="s">
        <v>711</v>
      </c>
      <c r="Z235" s="17"/>
      <c r="AA235" s="17"/>
      <c r="AB235" s="17"/>
      <c r="AC235" s="17"/>
      <c r="AD235" s="17"/>
      <c r="AE235" s="17"/>
      <c r="AF235" s="17"/>
    </row>
    <row r="236" spans="1:32" ht="12.75" customHeight="1" x14ac:dyDescent="0.35">
      <c r="A236" s="17"/>
      <c r="B236" s="17"/>
      <c r="C236" s="17"/>
      <c r="D236" s="17"/>
      <c r="E236" s="17"/>
      <c r="F236" s="90">
        <v>-1</v>
      </c>
      <c r="G236" s="1240" t="e">
        <f>G237</f>
        <v>#N/A</v>
      </c>
      <c r="H236" s="17"/>
      <c r="I236" s="17"/>
      <c r="J236" s="17"/>
      <c r="K236" s="17"/>
      <c r="L236" s="17"/>
      <c r="M236" s="17"/>
      <c r="N236" s="17"/>
      <c r="O236" s="17"/>
      <c r="P236" s="17"/>
      <c r="Q236" s="17"/>
      <c r="R236" s="17"/>
      <c r="S236" s="17"/>
      <c r="T236" s="17"/>
      <c r="U236" s="17"/>
      <c r="V236" s="1195" t="s">
        <v>709</v>
      </c>
      <c r="W236" s="1196">
        <v>2</v>
      </c>
      <c r="X236" s="1196">
        <v>2</v>
      </c>
      <c r="Y236" s="1197" t="s">
        <v>4956</v>
      </c>
      <c r="Z236" s="17"/>
      <c r="AA236" s="17"/>
      <c r="AB236" s="17"/>
      <c r="AC236" s="17"/>
      <c r="AD236" s="17"/>
      <c r="AE236" s="17"/>
      <c r="AF236" s="17"/>
    </row>
    <row r="237" spans="1:32" ht="12.75" customHeight="1" x14ac:dyDescent="0.35">
      <c r="A237" s="17"/>
      <c r="B237" s="17"/>
      <c r="C237" s="17"/>
      <c r="D237" s="17"/>
      <c r="E237" s="17"/>
      <c r="F237" s="92">
        <v>-9.5462094216042792E-2</v>
      </c>
      <c r="G237" s="93" t="e">
        <f>IF(FCFEinUse=1,(1+IRR(PreTaxCashFlowEquity,$F237))^12-1,NA())</f>
        <v>#N/A</v>
      </c>
      <c r="H237" s="17"/>
      <c r="I237" s="17"/>
      <c r="J237" s="17"/>
      <c r="K237" s="17"/>
      <c r="L237" s="17"/>
      <c r="M237" s="17"/>
      <c r="N237" s="17"/>
      <c r="O237" s="17"/>
      <c r="P237" s="17"/>
      <c r="Q237" s="17"/>
      <c r="R237" s="17"/>
      <c r="S237" s="17"/>
      <c r="T237" s="17"/>
      <c r="U237" s="17"/>
      <c r="V237" s="1195" t="s">
        <v>709</v>
      </c>
      <c r="W237" s="1196">
        <v>2</v>
      </c>
      <c r="X237" s="1196">
        <v>3</v>
      </c>
      <c r="Y237" s="1197" t="s">
        <v>4959</v>
      </c>
      <c r="Z237" s="17"/>
      <c r="AA237" s="17"/>
      <c r="AB237" s="17"/>
      <c r="AC237" s="17"/>
      <c r="AD237" s="17"/>
      <c r="AE237" s="17"/>
      <c r="AF237" s="17"/>
    </row>
    <row r="238" spans="1:32" ht="12.75" customHeight="1" x14ac:dyDescent="0.35">
      <c r="A238" s="17"/>
      <c r="B238" s="17"/>
      <c r="C238" s="17"/>
      <c r="D238" s="17"/>
      <c r="E238" s="17"/>
      <c r="F238" s="92">
        <v>-4.1675471372851991E-2</v>
      </c>
      <c r="G238" s="1239" t="e">
        <f>G239</f>
        <v>#N/A</v>
      </c>
      <c r="H238" s="17"/>
      <c r="I238" s="17"/>
      <c r="J238" s="17"/>
      <c r="K238" s="17"/>
      <c r="L238" s="17"/>
      <c r="M238" s="17"/>
      <c r="N238" s="17"/>
      <c r="O238" s="17"/>
      <c r="P238" s="17"/>
      <c r="Q238" s="17"/>
      <c r="R238" s="17"/>
      <c r="S238" s="17"/>
      <c r="T238" s="17"/>
      <c r="U238" s="17"/>
      <c r="V238" s="1195" t="s">
        <v>709</v>
      </c>
      <c r="W238" s="1196">
        <v>2</v>
      </c>
      <c r="X238" s="1196">
        <v>4</v>
      </c>
      <c r="Y238" s="1197" t="s">
        <v>4962</v>
      </c>
      <c r="Z238" s="17"/>
      <c r="AA238" s="17"/>
      <c r="AB238" s="17"/>
      <c r="AC238" s="17"/>
      <c r="AD238" s="17"/>
      <c r="AE238" s="17"/>
      <c r="AF238" s="17"/>
    </row>
    <row r="239" spans="1:32" ht="12.75" customHeight="1" x14ac:dyDescent="0.35">
      <c r="A239" s="17"/>
      <c r="B239" s="17"/>
      <c r="C239" s="17"/>
      <c r="D239" s="17"/>
      <c r="E239" s="17"/>
      <c r="F239" s="92">
        <v>-2.9285530376777613E-2</v>
      </c>
      <c r="G239" s="93" t="e">
        <f>IF(FCFEinUse=1,(1+IRR(PreTaxCashFlowEquity,$F239))^12-1,NA())</f>
        <v>#N/A</v>
      </c>
      <c r="H239" s="17"/>
      <c r="I239" s="17"/>
      <c r="J239" s="17"/>
      <c r="K239" s="17"/>
      <c r="L239" s="17"/>
      <c r="M239" s="17"/>
      <c r="N239" s="17"/>
      <c r="O239" s="17"/>
      <c r="P239" s="17"/>
      <c r="Q239" s="17"/>
      <c r="R239" s="17"/>
      <c r="S239" s="17"/>
      <c r="T239" s="17"/>
      <c r="U239" s="17"/>
      <c r="V239" s="1198" t="s">
        <v>709</v>
      </c>
      <c r="W239" s="1199">
        <v>2</v>
      </c>
      <c r="X239" s="1199">
        <v>5</v>
      </c>
      <c r="Y239" s="1200" t="s">
        <v>5007</v>
      </c>
      <c r="Z239" s="17"/>
      <c r="AA239" s="17"/>
      <c r="AB239" s="17"/>
      <c r="AC239" s="17"/>
      <c r="AD239" s="17"/>
      <c r="AE239" s="17"/>
      <c r="AF239" s="17"/>
    </row>
    <row r="240" spans="1:32" ht="12.75" customHeight="1" x14ac:dyDescent="0.35">
      <c r="A240" s="17"/>
      <c r="B240" s="17"/>
      <c r="C240" s="17"/>
      <c r="D240" s="17"/>
      <c r="E240" s="17"/>
      <c r="F240" s="92">
        <v>-1.8423470126248342E-2</v>
      </c>
      <c r="G240" s="1239" t="e">
        <f>G241</f>
        <v>#N/A</v>
      </c>
      <c r="H240" s="17"/>
      <c r="I240" s="17"/>
      <c r="J240" s="17"/>
      <c r="K240" s="17"/>
      <c r="L240" s="17"/>
      <c r="M240" s="17"/>
      <c r="N240" s="17"/>
      <c r="O240" s="17"/>
      <c r="P240" s="17"/>
      <c r="Q240" s="17"/>
      <c r="R240" s="17"/>
      <c r="S240" s="17"/>
      <c r="T240" s="17"/>
      <c r="U240" s="17"/>
      <c r="V240" s="1192" t="s">
        <v>719</v>
      </c>
      <c r="W240" s="1193">
        <v>3</v>
      </c>
      <c r="X240" s="1193">
        <v>1</v>
      </c>
      <c r="Y240" s="1194" t="s">
        <v>722</v>
      </c>
      <c r="Z240" s="17"/>
      <c r="AA240" s="17"/>
      <c r="AB240" s="17"/>
      <c r="AC240" s="17"/>
      <c r="AD240" s="17"/>
      <c r="AE240" s="17"/>
      <c r="AF240" s="17"/>
    </row>
    <row r="241" spans="1:32" ht="12.75" customHeight="1" x14ac:dyDescent="0.35">
      <c r="A241" s="17"/>
      <c r="B241" s="17"/>
      <c r="C241" s="17"/>
      <c r="D241" s="17"/>
      <c r="E241" s="17"/>
      <c r="F241" s="92">
        <v>-8.7416109546967213E-3</v>
      </c>
      <c r="G241" s="93" t="e">
        <f>IF(FCFEinUse=1,(1+IRR(PreTaxCashFlowEquity,$F241))^12-1,NA())</f>
        <v>#N/A</v>
      </c>
      <c r="H241" s="17"/>
      <c r="I241" s="17"/>
      <c r="J241" s="17"/>
      <c r="K241" s="17"/>
      <c r="L241" s="17"/>
      <c r="M241" s="17"/>
      <c r="N241" s="17"/>
      <c r="O241" s="17"/>
      <c r="P241" s="17"/>
      <c r="Q241" s="17"/>
      <c r="R241" s="17"/>
      <c r="S241" s="17"/>
      <c r="T241" s="17"/>
      <c r="U241" s="17"/>
      <c r="V241" s="1195" t="s">
        <v>719</v>
      </c>
      <c r="W241" s="1196">
        <v>3</v>
      </c>
      <c r="X241" s="1196">
        <v>2</v>
      </c>
      <c r="Y241" s="1197" t="s">
        <v>5046</v>
      </c>
      <c r="Z241" s="17"/>
      <c r="AA241" s="17"/>
      <c r="AB241" s="17"/>
      <c r="AC241" s="17"/>
      <c r="AD241" s="17"/>
      <c r="AE241" s="17"/>
      <c r="AF241" s="17"/>
    </row>
    <row r="242" spans="1:32" ht="12.75" customHeight="1" x14ac:dyDescent="0.35">
      <c r="A242" s="17"/>
      <c r="B242" s="17"/>
      <c r="C242" s="17"/>
      <c r="D242" s="17"/>
      <c r="E242" s="17"/>
      <c r="F242" s="92">
        <v>-4.2653187775606449E-3</v>
      </c>
      <c r="G242" s="93" t="e">
        <f>IF(FCFEinUse=1,(1+IRR(PreTaxCashFlowEquity,$F242))^12-1,NA())</f>
        <v>#N/A</v>
      </c>
      <c r="H242" s="17"/>
      <c r="I242" s="17"/>
      <c r="J242" s="17"/>
      <c r="K242" s="17"/>
      <c r="L242" s="17"/>
      <c r="M242" s="17"/>
      <c r="N242" s="17"/>
      <c r="O242" s="17"/>
      <c r="P242" s="17"/>
      <c r="Q242" s="17"/>
      <c r="R242" s="17"/>
      <c r="S242" s="17"/>
      <c r="T242" s="17"/>
      <c r="U242" s="17"/>
      <c r="V242" s="1195" t="s">
        <v>719</v>
      </c>
      <c r="W242" s="1196">
        <v>3</v>
      </c>
      <c r="X242" s="1196">
        <v>3</v>
      </c>
      <c r="Y242" s="1197" t="s">
        <v>5047</v>
      </c>
      <c r="Z242" s="17"/>
      <c r="AA242" s="17"/>
      <c r="AB242" s="17"/>
      <c r="AC242" s="17"/>
      <c r="AD242" s="17"/>
      <c r="AE242" s="17"/>
      <c r="AF242" s="17"/>
    </row>
    <row r="243" spans="1:32" ht="12.75" customHeight="1" x14ac:dyDescent="0.35">
      <c r="A243" s="17"/>
      <c r="B243" s="17"/>
      <c r="C243" s="17"/>
      <c r="D243" s="17"/>
      <c r="E243" s="17"/>
      <c r="F243" s="92">
        <v>1</v>
      </c>
      <c r="G243" s="93" t="e">
        <f>IF(FCFEinUse=1,(1+IRR(PreTaxCashFlowEquity,$F243))^12-1,NA())</f>
        <v>#N/A</v>
      </c>
      <c r="H243" s="17"/>
      <c r="I243" s="17"/>
      <c r="J243" s="17"/>
      <c r="K243" s="17"/>
      <c r="L243" s="17"/>
      <c r="M243" s="17"/>
      <c r="N243" s="17"/>
      <c r="O243" s="17"/>
      <c r="P243" s="17"/>
      <c r="Q243" s="17"/>
      <c r="R243" s="17"/>
      <c r="S243" s="17"/>
      <c r="T243" s="17"/>
      <c r="U243" s="17"/>
      <c r="V243" s="1195" t="s">
        <v>719</v>
      </c>
      <c r="W243" s="1196">
        <v>3</v>
      </c>
      <c r="X243" s="1196">
        <v>4</v>
      </c>
      <c r="Y243" s="1197" t="s">
        <v>5048</v>
      </c>
      <c r="Z243" s="17"/>
      <c r="AA243" s="17"/>
      <c r="AB243" s="17"/>
      <c r="AC243" s="17"/>
      <c r="AD243" s="17"/>
      <c r="AE243" s="17"/>
      <c r="AF243" s="17"/>
    </row>
    <row r="244" spans="1:32" ht="12.75" customHeight="1" x14ac:dyDescent="0.35">
      <c r="A244" s="17"/>
      <c r="B244" s="17"/>
      <c r="C244" s="17"/>
      <c r="D244" s="17"/>
      <c r="E244" s="17"/>
      <c r="F244" s="92">
        <v>9.5872691135244326E-2</v>
      </c>
      <c r="G244" s="93" t="e">
        <f>IF(FCFEinUse=1,(1+IRR(PreTaxCashFlowEquity,$F244))^12-1,NA())</f>
        <v>#N/A</v>
      </c>
      <c r="H244" s="17"/>
      <c r="I244" s="17"/>
      <c r="J244" s="17"/>
      <c r="K244" s="17"/>
      <c r="L244" s="17"/>
      <c r="M244" s="17"/>
      <c r="N244" s="17"/>
      <c r="O244" s="17"/>
      <c r="P244" s="17"/>
      <c r="Q244" s="17"/>
      <c r="R244" s="17"/>
      <c r="S244" s="17"/>
      <c r="T244" s="17"/>
      <c r="U244" s="17"/>
      <c r="V244" s="1198" t="s">
        <v>719</v>
      </c>
      <c r="W244" s="1199">
        <v>3</v>
      </c>
      <c r="X244" s="1199">
        <v>5</v>
      </c>
      <c r="Y244" s="1200" t="s">
        <v>5049</v>
      </c>
      <c r="Z244" s="17"/>
      <c r="AA244" s="17"/>
      <c r="AB244" s="17"/>
      <c r="AC244" s="17"/>
      <c r="AD244" s="17"/>
      <c r="AE244" s="17"/>
      <c r="AF244" s="17"/>
    </row>
    <row r="245" spans="1:32" ht="12.75" customHeight="1" x14ac:dyDescent="0.35">
      <c r="A245" s="17"/>
      <c r="B245" s="17"/>
      <c r="C245" s="17"/>
      <c r="D245" s="17"/>
      <c r="E245" s="17"/>
      <c r="F245" s="92">
        <v>5.946309435929531E-2</v>
      </c>
      <c r="G245" s="1239" t="e">
        <f>G246</f>
        <v>#N/A</v>
      </c>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c r="AE245" s="17"/>
      <c r="AF245" s="17"/>
    </row>
    <row r="246" spans="1:32" ht="12.75" customHeight="1" x14ac:dyDescent="0.35">
      <c r="A246" s="17"/>
      <c r="B246" s="17"/>
      <c r="C246" s="17"/>
      <c r="D246" s="17"/>
      <c r="E246" s="17"/>
      <c r="F246" s="92">
        <v>4.521125295294337E-2</v>
      </c>
      <c r="G246" s="93" t="e">
        <f>IF(FCFEinUse=1,(1+IRR(PreTaxCashFlowEquity,$F246))^12-1,NA())</f>
        <v>#N/A</v>
      </c>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row>
    <row r="247" spans="1:32" ht="12.75" customHeight="1" x14ac:dyDescent="0.35">
      <c r="A247" s="17"/>
      <c r="B247" s="17"/>
      <c r="C247" s="17"/>
      <c r="D247" s="17"/>
      <c r="E247" s="17"/>
      <c r="F247" s="92">
        <v>2.8436155726361267E-2</v>
      </c>
      <c r="G247" s="1239" t="e">
        <f>G248</f>
        <v>#N/A</v>
      </c>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c r="AE247" s="17"/>
      <c r="AF247" s="17"/>
    </row>
    <row r="248" spans="1:32" ht="12.75" customHeight="1" x14ac:dyDescent="0.35">
      <c r="A248" s="17"/>
      <c r="B248" s="17"/>
      <c r="C248" s="17"/>
      <c r="D248" s="17"/>
      <c r="E248" s="17"/>
      <c r="F248" s="92">
        <v>1.5309470499731193E-2</v>
      </c>
      <c r="G248" s="93" t="e">
        <f>IF(FCFEinUse=1,(1+IRR(PreTaxCashFlowEquity,$F248))^12-1,NA())</f>
        <v>#N/A</v>
      </c>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c r="AE248" s="17"/>
      <c r="AF248" s="17"/>
    </row>
    <row r="249" spans="1:32" ht="12.75" customHeight="1" x14ac:dyDescent="0.35">
      <c r="A249" s="17"/>
      <c r="B249" s="17"/>
      <c r="C249" s="17"/>
      <c r="D249" s="17"/>
      <c r="E249" s="17"/>
      <c r="F249" s="92">
        <v>7.9741404289037643E-3</v>
      </c>
      <c r="G249" s="1239" t="e">
        <f>G250</f>
        <v>#N/A</v>
      </c>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c r="AE249" s="17"/>
      <c r="AF249" s="17"/>
    </row>
    <row r="250" spans="1:32" ht="12.75" customHeight="1" x14ac:dyDescent="0.35">
      <c r="A250" s="17"/>
      <c r="B250" s="17"/>
      <c r="C250" s="17"/>
      <c r="D250" s="17"/>
      <c r="E250" s="17"/>
      <c r="F250" s="92">
        <v>4.0741237836483535E-3</v>
      </c>
      <c r="G250" s="93" t="e">
        <f>IF(FCFEinUse=1,(1+IRR(PreTaxCashFlowEquity,$F250))^12-1,NA())</f>
        <v>#N/A</v>
      </c>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c r="AE250" s="17"/>
      <c r="AF250" s="17"/>
    </row>
    <row r="251" spans="1:32" ht="12.75" customHeight="1" x14ac:dyDescent="0.35">
      <c r="A251" s="17"/>
      <c r="B251" s="17"/>
      <c r="C251" s="17"/>
      <c r="D251" s="17"/>
      <c r="E251" s="17"/>
      <c r="F251" s="94">
        <v>2.0598362698427408E-3</v>
      </c>
      <c r="G251" s="95" t="e">
        <f>IF(FCFEinUse=1,(1+IRR(PreTaxCashFlowEquity,$F251))^12-1,NA())</f>
        <v>#N/A</v>
      </c>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c r="AE251" s="17"/>
      <c r="AF251" s="17"/>
    </row>
    <row r="252" spans="1:32" ht="12.75" customHeight="1" x14ac:dyDescent="0.35">
      <c r="A252" s="17"/>
      <c r="B252" s="17"/>
      <c r="C252" s="17"/>
      <c r="D252" s="17"/>
      <c r="E252" s="17"/>
      <c r="F252" s="17"/>
      <c r="G252" s="21" t="e">
        <f>MATCH(1,G253:G274,0)</f>
        <v>#N/A</v>
      </c>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row>
    <row r="253" spans="1:32" ht="12.75" customHeight="1" x14ac:dyDescent="0.35">
      <c r="A253" s="17"/>
      <c r="B253" s="17"/>
      <c r="C253" s="17"/>
      <c r="D253" s="17"/>
      <c r="E253" s="17"/>
      <c r="F253" s="29" t="str">
        <f t="shared" ref="F253:F274" ca="1" si="27">IF(G253=1,G230,$G$229)</f>
        <v>-</v>
      </c>
      <c r="G253" s="91">
        <f t="shared" ref="G253:G274" si="28">IF(ISERROR(G230),0,1)</f>
        <v>0</v>
      </c>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c r="AE253" s="17"/>
      <c r="AF253" s="17"/>
    </row>
    <row r="254" spans="1:32" ht="12.75" customHeight="1" x14ac:dyDescent="0.35">
      <c r="A254" s="17"/>
      <c r="B254" s="17"/>
      <c r="C254" s="17"/>
      <c r="D254" s="17"/>
      <c r="E254" s="17"/>
      <c r="F254" s="36" t="str">
        <f t="shared" ca="1" si="27"/>
        <v>-</v>
      </c>
      <c r="G254" s="93">
        <f t="shared" si="28"/>
        <v>0</v>
      </c>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c r="AE254" s="17"/>
      <c r="AF254" s="17"/>
    </row>
    <row r="255" spans="1:32" ht="12.75" customHeight="1" x14ac:dyDescent="0.35">
      <c r="A255" s="17"/>
      <c r="B255" s="17"/>
      <c r="C255" s="17"/>
      <c r="D255" s="17"/>
      <c r="E255" s="17"/>
      <c r="F255" s="36" t="str">
        <f t="shared" ca="1" si="27"/>
        <v>-</v>
      </c>
      <c r="G255" s="93">
        <f t="shared" si="28"/>
        <v>0</v>
      </c>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c r="AE255" s="17"/>
      <c r="AF255" s="17"/>
    </row>
    <row r="256" spans="1:32" ht="12.75" customHeight="1" x14ac:dyDescent="0.35">
      <c r="A256" s="17"/>
      <c r="B256" s="17"/>
      <c r="C256" s="17"/>
      <c r="D256" s="17"/>
      <c r="E256" s="17"/>
      <c r="F256" s="36" t="str">
        <f t="shared" ca="1" si="27"/>
        <v>-</v>
      </c>
      <c r="G256" s="93">
        <f t="shared" si="28"/>
        <v>0</v>
      </c>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c r="AE256" s="17"/>
      <c r="AF256" s="17"/>
    </row>
    <row r="257" spans="1:32" ht="12.75" customHeight="1" x14ac:dyDescent="0.35">
      <c r="A257" s="17"/>
      <c r="B257" s="17"/>
      <c r="C257" s="17"/>
      <c r="D257" s="17"/>
      <c r="E257" s="17"/>
      <c r="F257" s="36" t="str">
        <f t="shared" ca="1" si="27"/>
        <v>-</v>
      </c>
      <c r="G257" s="93">
        <f t="shared" si="28"/>
        <v>0</v>
      </c>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row>
    <row r="258" spans="1:32" ht="12.75" customHeight="1" x14ac:dyDescent="0.35">
      <c r="A258" s="17"/>
      <c r="B258" s="17"/>
      <c r="C258" s="17"/>
      <c r="D258" s="17"/>
      <c r="E258" s="17"/>
      <c r="F258" s="36" t="str">
        <f t="shared" ca="1" si="27"/>
        <v>-</v>
      </c>
      <c r="G258" s="93">
        <f t="shared" si="28"/>
        <v>0</v>
      </c>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row>
    <row r="259" spans="1:32" ht="12.75" customHeight="1" x14ac:dyDescent="0.35">
      <c r="A259" s="17"/>
      <c r="B259" s="17"/>
      <c r="C259" s="17"/>
      <c r="D259" s="17"/>
      <c r="E259" s="17"/>
      <c r="F259" s="29" t="str">
        <f t="shared" ca="1" si="27"/>
        <v>-</v>
      </c>
      <c r="G259" s="1240">
        <v>0</v>
      </c>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c r="AE259" s="17"/>
      <c r="AF259" s="17"/>
    </row>
    <row r="260" spans="1:32" ht="12.75" customHeight="1" x14ac:dyDescent="0.35">
      <c r="A260" s="17"/>
      <c r="B260" s="17"/>
      <c r="C260" s="17"/>
      <c r="D260" s="17"/>
      <c r="E260" s="17"/>
      <c r="F260" s="36" t="str">
        <f t="shared" ca="1" si="27"/>
        <v>-</v>
      </c>
      <c r="G260" s="93">
        <f t="shared" si="28"/>
        <v>0</v>
      </c>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c r="AE260" s="17"/>
      <c r="AF260" s="17"/>
    </row>
    <row r="261" spans="1:32" ht="12.75" customHeight="1" x14ac:dyDescent="0.35">
      <c r="A261" s="17"/>
      <c r="B261" s="17"/>
      <c r="C261" s="17"/>
      <c r="D261" s="17"/>
      <c r="E261" s="17"/>
      <c r="F261" s="36" t="str">
        <f t="shared" ca="1" si="27"/>
        <v>-</v>
      </c>
      <c r="G261" s="1239">
        <v>0</v>
      </c>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c r="AE261" s="17"/>
      <c r="AF261" s="17"/>
    </row>
    <row r="262" spans="1:32" ht="12.75" customHeight="1" x14ac:dyDescent="0.35">
      <c r="A262" s="17"/>
      <c r="B262" s="17"/>
      <c r="C262" s="17"/>
      <c r="D262" s="17"/>
      <c r="E262" s="17"/>
      <c r="F262" s="36" t="str">
        <f t="shared" ca="1" si="27"/>
        <v>-</v>
      </c>
      <c r="G262" s="93">
        <f t="shared" si="28"/>
        <v>0</v>
      </c>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c r="AE262" s="17"/>
      <c r="AF262" s="17"/>
    </row>
    <row r="263" spans="1:32" ht="12.75" customHeight="1" x14ac:dyDescent="0.35">
      <c r="A263" s="17"/>
      <c r="B263" s="17"/>
      <c r="C263" s="17"/>
      <c r="D263" s="17"/>
      <c r="E263" s="17"/>
      <c r="F263" s="36" t="str">
        <f t="shared" ca="1" si="27"/>
        <v>-</v>
      </c>
      <c r="G263" s="1239">
        <v>0</v>
      </c>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c r="AE263" s="17"/>
      <c r="AF263" s="17"/>
    </row>
    <row r="264" spans="1:32" ht="12.75" customHeight="1" x14ac:dyDescent="0.35">
      <c r="A264" s="17"/>
      <c r="B264" s="17"/>
      <c r="C264" s="17"/>
      <c r="D264" s="17"/>
      <c r="E264" s="17"/>
      <c r="F264" s="36" t="str">
        <f t="shared" ca="1" si="27"/>
        <v>-</v>
      </c>
      <c r="G264" s="93">
        <f t="shared" si="28"/>
        <v>0</v>
      </c>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c r="AE264" s="17"/>
      <c r="AF264" s="17"/>
    </row>
    <row r="265" spans="1:32" ht="12.75" customHeight="1" x14ac:dyDescent="0.35">
      <c r="A265" s="17"/>
      <c r="B265" s="17"/>
      <c r="C265" s="17"/>
      <c r="D265" s="17"/>
      <c r="E265" s="17"/>
      <c r="F265" s="36" t="str">
        <f t="shared" ca="1" si="27"/>
        <v>-</v>
      </c>
      <c r="G265" s="93">
        <f t="shared" si="28"/>
        <v>0</v>
      </c>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c r="AE265" s="17"/>
      <c r="AF265" s="17"/>
    </row>
    <row r="266" spans="1:32" ht="12.75" customHeight="1" x14ac:dyDescent="0.35">
      <c r="A266" s="17"/>
      <c r="B266" s="17"/>
      <c r="C266" s="17"/>
      <c r="D266" s="17"/>
      <c r="E266" s="17"/>
      <c r="F266" s="36" t="str">
        <f t="shared" ca="1" si="27"/>
        <v>-</v>
      </c>
      <c r="G266" s="93">
        <f t="shared" si="28"/>
        <v>0</v>
      </c>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c r="AE266" s="17"/>
      <c r="AF266" s="17"/>
    </row>
    <row r="267" spans="1:32" ht="12.75" customHeight="1" x14ac:dyDescent="0.35">
      <c r="A267" s="17"/>
      <c r="B267" s="17"/>
      <c r="C267" s="17"/>
      <c r="D267" s="17"/>
      <c r="E267" s="17"/>
      <c r="F267" s="36" t="str">
        <f t="shared" ca="1" si="27"/>
        <v>-</v>
      </c>
      <c r="G267" s="93">
        <f t="shared" si="28"/>
        <v>0</v>
      </c>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c r="AE267" s="17"/>
      <c r="AF267" s="17"/>
    </row>
    <row r="268" spans="1:32" ht="12.75" customHeight="1" x14ac:dyDescent="0.35">
      <c r="A268" s="17"/>
      <c r="B268" s="17"/>
      <c r="C268" s="17"/>
      <c r="D268" s="17"/>
      <c r="E268" s="17"/>
      <c r="F268" s="36" t="str">
        <f t="shared" ca="1" si="27"/>
        <v>-</v>
      </c>
      <c r="G268" s="1239">
        <v>0</v>
      </c>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c r="AE268" s="17"/>
      <c r="AF268" s="17"/>
    </row>
    <row r="269" spans="1:32" ht="12.75" customHeight="1" x14ac:dyDescent="0.35">
      <c r="A269" s="17"/>
      <c r="B269" s="17"/>
      <c r="C269" s="17"/>
      <c r="D269" s="17"/>
      <c r="E269" s="17"/>
      <c r="F269" s="36" t="str">
        <f t="shared" ca="1" si="27"/>
        <v>-</v>
      </c>
      <c r="G269" s="93">
        <f t="shared" si="28"/>
        <v>0</v>
      </c>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c r="AE269" s="17"/>
      <c r="AF269" s="17"/>
    </row>
    <row r="270" spans="1:32" ht="12.75" customHeight="1" x14ac:dyDescent="0.35">
      <c r="A270" s="17"/>
      <c r="B270" s="17"/>
      <c r="C270" s="17"/>
      <c r="D270" s="17"/>
      <c r="E270" s="17"/>
      <c r="F270" s="36" t="str">
        <f t="shared" ca="1" si="27"/>
        <v>-</v>
      </c>
      <c r="G270" s="1239">
        <v>0</v>
      </c>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c r="AE270" s="17"/>
      <c r="AF270" s="17"/>
    </row>
    <row r="271" spans="1:32" ht="12.75" customHeight="1" x14ac:dyDescent="0.35">
      <c r="A271" s="17"/>
      <c r="B271" s="17"/>
      <c r="C271" s="17"/>
      <c r="D271" s="17"/>
      <c r="E271" s="17"/>
      <c r="F271" s="36" t="str">
        <f t="shared" ca="1" si="27"/>
        <v>-</v>
      </c>
      <c r="G271" s="93">
        <f t="shared" si="28"/>
        <v>0</v>
      </c>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c r="AE271" s="17"/>
      <c r="AF271" s="17"/>
    </row>
    <row r="272" spans="1:32" ht="12.75" customHeight="1" x14ac:dyDescent="0.35">
      <c r="A272" s="17"/>
      <c r="B272" s="17"/>
      <c r="C272" s="17"/>
      <c r="D272" s="17"/>
      <c r="E272" s="17"/>
      <c r="F272" s="36" t="str">
        <f t="shared" ca="1" si="27"/>
        <v>-</v>
      </c>
      <c r="G272" s="1239">
        <v>0</v>
      </c>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17"/>
      <c r="AF272" s="17"/>
    </row>
    <row r="273" spans="1:32" ht="12.75" customHeight="1" x14ac:dyDescent="0.35">
      <c r="A273" s="17"/>
      <c r="B273" s="17"/>
      <c r="C273" s="17"/>
      <c r="D273" s="17"/>
      <c r="E273" s="17"/>
      <c r="F273" s="36" t="str">
        <f t="shared" ca="1" si="27"/>
        <v>-</v>
      </c>
      <c r="G273" s="93">
        <f t="shared" si="28"/>
        <v>0</v>
      </c>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c r="AE273" s="17"/>
      <c r="AF273" s="17"/>
    </row>
    <row r="274" spans="1:32" ht="12.75" customHeight="1" x14ac:dyDescent="0.35">
      <c r="A274" s="17"/>
      <c r="B274" s="17"/>
      <c r="C274" s="17"/>
      <c r="D274" s="17"/>
      <c r="E274" s="17"/>
      <c r="F274" s="43" t="str">
        <f t="shared" ca="1" si="27"/>
        <v>-</v>
      </c>
      <c r="G274" s="95">
        <f t="shared" si="28"/>
        <v>0</v>
      </c>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c r="AE274" s="17"/>
      <c r="AF274" s="17"/>
    </row>
    <row r="275" spans="1:32" ht="12.75" customHeight="1" x14ac:dyDescent="0.35">
      <c r="A275" s="17"/>
      <c r="B275" s="17"/>
      <c r="C275" s="17"/>
      <c r="D275" s="17"/>
      <c r="E275" s="17"/>
      <c r="F275" s="96" t="s">
        <v>2174</v>
      </c>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c r="AE275" s="17"/>
      <c r="AF275" s="17"/>
    </row>
    <row r="276" spans="1:32" ht="12.75" customHeight="1" x14ac:dyDescent="0.35">
      <c r="A276" s="17"/>
      <c r="B276" s="17"/>
      <c r="C276" s="17"/>
      <c r="D276" s="17"/>
      <c r="E276" s="17"/>
      <c r="F276" s="85">
        <f ca="1">IF(AND(G276&lt;&gt;G278,G279&lt;&gt;0),IF(G276&gt;-G279,G276,G278),G276)</f>
        <v>0</v>
      </c>
      <c r="G276" s="17">
        <f ca="1">MIN(F253:F274)</f>
        <v>0</v>
      </c>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c r="AE276" s="17"/>
      <c r="AF276" s="17"/>
    </row>
    <row r="277" spans="1:32" ht="12.75" customHeight="1" x14ac:dyDescent="0.35">
      <c r="A277" s="17"/>
      <c r="B277" s="17"/>
      <c r="C277" s="17"/>
      <c r="D277" s="17"/>
      <c r="E277" s="17"/>
      <c r="F277" s="85" t="s">
        <v>2175</v>
      </c>
      <c r="G277" s="17">
        <f ca="1">ABS(SUMIF(PreTaxCashFlowEquity,"&gt;0")/-SUMIF(PreTaxCashFlowEquity,"&lt;0")-1)</f>
        <v>2.8180233335089064</v>
      </c>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17"/>
      <c r="AF277" s="17"/>
    </row>
    <row r="278" spans="1:32" ht="12.75" customHeight="1" x14ac:dyDescent="0.35">
      <c r="A278" s="17"/>
      <c r="B278" s="17"/>
      <c r="C278" s="17"/>
      <c r="D278" s="17"/>
      <c r="E278" s="17"/>
      <c r="F278" s="85">
        <f ca="1">IF(AND(G276&lt;&gt;G278,G279&lt;&gt;0),IF(G278&gt;-G279,G278,G276),G278)</f>
        <v>0</v>
      </c>
      <c r="G278" s="17">
        <f ca="1">MAX(F253:F274)</f>
        <v>0</v>
      </c>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c r="AE278" s="17"/>
      <c r="AF278" s="17"/>
    </row>
    <row r="279" spans="1:32" x14ac:dyDescent="0.35">
      <c r="A279" s="17"/>
      <c r="G279" s="97">
        <f ca="1">IF(ISERROR(G277),0,G277)</f>
        <v>2.8180233335089064</v>
      </c>
      <c r="I279" s="17"/>
      <c r="O279" s="17"/>
    </row>
    <row r="280" spans="1:32" x14ac:dyDescent="0.35">
      <c r="A280" s="17"/>
      <c r="I280" s="17"/>
      <c r="O280" s="17"/>
    </row>
    <row r="281" spans="1:32" x14ac:dyDescent="0.35">
      <c r="A281" s="17"/>
      <c r="I281" s="17"/>
    </row>
    <row r="282" spans="1:32" x14ac:dyDescent="0.35">
      <c r="A282" s="17"/>
    </row>
    <row r="283" spans="1:32" x14ac:dyDescent="0.35">
      <c r="A283" s="17"/>
    </row>
  </sheetData>
  <printOptions horizontalCentered="1" verticalCentered="1" headings="1" gridLines="1"/>
  <pageMargins left="0.35433070866141736" right="0.35433070866141736" top="0.98425196850393704" bottom="0.98425196850393704" header="0.51181102362204722" footer="0.51181102362204722"/>
  <pageSetup paperSize="9" orientation="landscape" r:id="rId1"/>
  <headerFooter>
    <oddHeader>&amp;C&amp;A</oddHeader>
    <oddFooter>&amp;CPage &amp;P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autoPageBreaks="0"/>
  </sheetPr>
  <dimension ref="A1:H66"/>
  <sheetViews>
    <sheetView workbookViewId="0">
      <pane ySplit="1" topLeftCell="A2" activePane="bottomLeft" state="frozen"/>
      <selection pane="bottomLeft" activeCell="D2" sqref="D2"/>
    </sheetView>
  </sheetViews>
  <sheetFormatPr defaultColWidth="9.1796875" defaultRowHeight="14.5" x14ac:dyDescent="0.35"/>
  <cols>
    <col min="1" max="1" width="15.54296875" style="97" customWidth="1"/>
    <col min="2" max="2" width="10.7265625" style="97" customWidth="1"/>
    <col min="3" max="3" width="12.1796875" style="97" customWidth="1"/>
    <col min="4" max="4" width="13.1796875" style="97" customWidth="1"/>
    <col min="5" max="5" width="15.1796875" style="97" customWidth="1"/>
    <col min="6" max="6" width="16.1796875" style="97" customWidth="1"/>
    <col min="7" max="7" width="13.453125" style="97" customWidth="1"/>
    <col min="8" max="8" width="20.54296875" style="97" customWidth="1"/>
    <col min="9" max="16384" width="9.1796875" style="97"/>
  </cols>
  <sheetData>
    <row r="1" spans="1:8" ht="12.75" customHeight="1" x14ac:dyDescent="0.35">
      <c r="A1" s="98" t="s">
        <v>2176</v>
      </c>
      <c r="B1" s="98" t="s">
        <v>2177</v>
      </c>
      <c r="C1" s="98" t="s">
        <v>2178</v>
      </c>
      <c r="D1" s="17" t="s">
        <v>2179</v>
      </c>
      <c r="E1" s="98" t="s">
        <v>2180</v>
      </c>
      <c r="F1" s="98" t="s">
        <v>2181</v>
      </c>
      <c r="G1" s="98" t="s">
        <v>2182</v>
      </c>
      <c r="H1" s="98" t="s">
        <v>2183</v>
      </c>
    </row>
    <row r="2" spans="1:8" ht="12.75" customHeight="1" x14ac:dyDescent="0.35">
      <c r="A2" s="99" t="str">
        <f>Calculations!$G$626</f>
        <v>9/2019</v>
      </c>
      <c r="B2" s="99">
        <f ca="1">Calculations!$G$675+IF(OR(InvOrAcq=2,InvFileType=2),ResultNetDebt,0)</f>
        <v>0</v>
      </c>
      <c r="C2" s="99">
        <f>Calculations!$G$663</f>
        <v>0</v>
      </c>
      <c r="D2" s="99">
        <f ca="1">+Calculations!$G$681-IF(OR(InvOrAcq=2,InvFileType=2),ResultNetDebt,0)</f>
        <v>0</v>
      </c>
      <c r="E2" s="99">
        <f t="shared" ref="E2:E33" ca="1" si="0">$B2-IF(ValueInUseWithTax=1,0,$C2)</f>
        <v>0</v>
      </c>
      <c r="F2" s="99">
        <f t="shared" ref="F2:F33" ca="1" si="1">$B2+$D2</f>
        <v>0</v>
      </c>
      <c r="G2" s="99">
        <f>SUM(Calculations!$G$511)</f>
        <v>0</v>
      </c>
      <c r="H2" s="99">
        <f t="shared" ref="H2:H33" ca="1" si="2">-$C2+$F2</f>
        <v>0</v>
      </c>
    </row>
    <row r="3" spans="1:8" ht="12.75" customHeight="1" x14ac:dyDescent="0.35">
      <c r="A3" s="98" t="s">
        <v>39</v>
      </c>
      <c r="B3" s="98">
        <v>0</v>
      </c>
      <c r="C3" s="98">
        <v>0</v>
      </c>
      <c r="D3" s="98">
        <v>0</v>
      </c>
      <c r="E3" s="99">
        <f t="shared" si="0"/>
        <v>0</v>
      </c>
      <c r="F3" s="99">
        <f t="shared" si="1"/>
        <v>0</v>
      </c>
      <c r="G3" s="98">
        <v>0</v>
      </c>
      <c r="H3" s="99">
        <f t="shared" si="2"/>
        <v>0</v>
      </c>
    </row>
    <row r="4" spans="1:8" ht="12.75" customHeight="1" x14ac:dyDescent="0.35">
      <c r="A4" s="98" t="s">
        <v>39</v>
      </c>
      <c r="B4" s="98">
        <v>0</v>
      </c>
      <c r="C4" s="98">
        <v>0</v>
      </c>
      <c r="D4" s="98">
        <v>0</v>
      </c>
      <c r="E4" s="99">
        <f t="shared" si="0"/>
        <v>0</v>
      </c>
      <c r="F4" s="99">
        <f t="shared" si="1"/>
        <v>0</v>
      </c>
      <c r="G4" s="98">
        <v>0</v>
      </c>
      <c r="H4" s="99">
        <f t="shared" si="2"/>
        <v>0</v>
      </c>
    </row>
    <row r="5" spans="1:8" ht="12.75" customHeight="1" x14ac:dyDescent="0.35">
      <c r="A5" s="98" t="s">
        <v>39</v>
      </c>
      <c r="B5" s="99">
        <v>0</v>
      </c>
      <c r="C5" s="99">
        <v>0</v>
      </c>
      <c r="D5" s="98">
        <v>0</v>
      </c>
      <c r="E5" s="99">
        <f t="shared" si="0"/>
        <v>0</v>
      </c>
      <c r="F5" s="99">
        <f t="shared" si="1"/>
        <v>0</v>
      </c>
      <c r="G5" s="98">
        <v>0</v>
      </c>
      <c r="H5" s="99">
        <f t="shared" si="2"/>
        <v>0</v>
      </c>
    </row>
    <row r="6" spans="1:8" ht="12.75" customHeight="1" x14ac:dyDescent="0.35">
      <c r="A6" s="98" t="str">
        <f>Calculations!$H$626</f>
        <v>12/2019</v>
      </c>
      <c r="B6" s="99">
        <f ca="1">Calculations!$H$675</f>
        <v>-23589645.559880517</v>
      </c>
      <c r="C6" s="99">
        <f>Calculations!$H$663</f>
        <v>-283399.38876608101</v>
      </c>
      <c r="D6" s="99">
        <f ca="1">+Calculations!$H$681</f>
        <v>0</v>
      </c>
      <c r="E6" s="99">
        <f t="shared" ca="1" si="0"/>
        <v>-23306246.171114437</v>
      </c>
      <c r="F6" s="99">
        <f t="shared" ca="1" si="1"/>
        <v>-23589645.559880517</v>
      </c>
      <c r="G6" s="99">
        <f ca="1">SUM(Calculations!$H$511)</f>
        <v>59985.647153318045</v>
      </c>
      <c r="H6" s="99">
        <f t="shared" ca="1" si="2"/>
        <v>-23306246.171114437</v>
      </c>
    </row>
    <row r="7" spans="1:8" ht="12.75" customHeight="1" x14ac:dyDescent="0.35">
      <c r="A7" s="98" t="s">
        <v>39</v>
      </c>
      <c r="B7" s="98">
        <v>0</v>
      </c>
      <c r="C7" s="98">
        <v>0</v>
      </c>
      <c r="D7" s="98">
        <v>0</v>
      </c>
      <c r="E7" s="99">
        <f t="shared" si="0"/>
        <v>0</v>
      </c>
      <c r="F7" s="99">
        <f t="shared" si="1"/>
        <v>0</v>
      </c>
      <c r="G7" s="98">
        <v>0</v>
      </c>
      <c r="H7" s="99">
        <f t="shared" si="2"/>
        <v>0</v>
      </c>
    </row>
    <row r="8" spans="1:8" ht="12.75" customHeight="1" x14ac:dyDescent="0.35">
      <c r="A8" s="98" t="s">
        <v>39</v>
      </c>
      <c r="B8" s="99">
        <v>0</v>
      </c>
      <c r="C8" s="99">
        <v>0</v>
      </c>
      <c r="D8" s="98">
        <v>0</v>
      </c>
      <c r="E8" s="99">
        <f t="shared" si="0"/>
        <v>0</v>
      </c>
      <c r="F8" s="99">
        <f t="shared" si="1"/>
        <v>0</v>
      </c>
      <c r="G8" s="98">
        <v>0</v>
      </c>
      <c r="H8" s="99">
        <f t="shared" si="2"/>
        <v>0</v>
      </c>
    </row>
    <row r="9" spans="1:8" ht="12.75" customHeight="1" x14ac:dyDescent="0.35">
      <c r="A9" s="98" t="s">
        <v>39</v>
      </c>
      <c r="B9" s="98">
        <v>0</v>
      </c>
      <c r="C9" s="98">
        <v>0</v>
      </c>
      <c r="D9" s="98">
        <v>0</v>
      </c>
      <c r="E9" s="99">
        <f t="shared" si="0"/>
        <v>0</v>
      </c>
      <c r="F9" s="99">
        <f t="shared" si="1"/>
        <v>0</v>
      </c>
      <c r="G9" s="98">
        <v>0</v>
      </c>
      <c r="H9" s="99">
        <f t="shared" si="2"/>
        <v>0</v>
      </c>
    </row>
    <row r="10" spans="1:8" ht="12.75" customHeight="1" x14ac:dyDescent="0.35">
      <c r="A10" s="98" t="s">
        <v>39</v>
      </c>
      <c r="B10" s="98">
        <v>0</v>
      </c>
      <c r="C10" s="98">
        <v>0</v>
      </c>
      <c r="D10" s="98">
        <v>0</v>
      </c>
      <c r="E10" s="99">
        <f t="shared" si="0"/>
        <v>0</v>
      </c>
      <c r="F10" s="99">
        <f t="shared" si="1"/>
        <v>0</v>
      </c>
      <c r="G10" s="98">
        <v>0</v>
      </c>
      <c r="H10" s="99">
        <f t="shared" si="2"/>
        <v>0</v>
      </c>
    </row>
    <row r="11" spans="1:8" ht="12.75" customHeight="1" x14ac:dyDescent="0.35">
      <c r="A11" s="98" t="s">
        <v>39</v>
      </c>
      <c r="B11" s="99">
        <v>0</v>
      </c>
      <c r="C11" s="99">
        <v>0</v>
      </c>
      <c r="D11" s="98">
        <v>0</v>
      </c>
      <c r="E11" s="99">
        <f t="shared" si="0"/>
        <v>0</v>
      </c>
      <c r="F11" s="99">
        <f t="shared" si="1"/>
        <v>0</v>
      </c>
      <c r="G11" s="98">
        <v>0</v>
      </c>
      <c r="H11" s="99">
        <f t="shared" si="2"/>
        <v>0</v>
      </c>
    </row>
    <row r="12" spans="1:8" ht="12.75" customHeight="1" x14ac:dyDescent="0.35">
      <c r="A12" s="98" t="s">
        <v>39</v>
      </c>
      <c r="B12" s="98">
        <f>IF(MYDisc,Calculations!$I$675,0)</f>
        <v>0</v>
      </c>
      <c r="C12" s="98">
        <f>IF(MYDisc,Calculations!$I$663,0)</f>
        <v>0</v>
      </c>
      <c r="D12" s="98">
        <f>IF(MYDisc,+Calculations!$I$681,0)</f>
        <v>0</v>
      </c>
      <c r="E12" s="99">
        <f t="shared" si="0"/>
        <v>0</v>
      </c>
      <c r="F12" s="99">
        <f t="shared" si="1"/>
        <v>0</v>
      </c>
      <c r="G12" s="98">
        <f>IF(MYDisc,SUM(Calculations!$I$511),0)</f>
        <v>0</v>
      </c>
      <c r="H12" s="99">
        <f t="shared" si="2"/>
        <v>0</v>
      </c>
    </row>
    <row r="13" spans="1:8" ht="12.75" customHeight="1" x14ac:dyDescent="0.35">
      <c r="A13" s="98" t="s">
        <v>39</v>
      </c>
      <c r="B13" s="98">
        <v>0</v>
      </c>
      <c r="C13" s="98">
        <v>0</v>
      </c>
      <c r="D13" s="98">
        <v>0</v>
      </c>
      <c r="E13" s="99">
        <f t="shared" si="0"/>
        <v>0</v>
      </c>
      <c r="F13" s="99">
        <f t="shared" si="1"/>
        <v>0</v>
      </c>
      <c r="G13" s="98">
        <v>0</v>
      </c>
      <c r="H13" s="99">
        <f t="shared" si="2"/>
        <v>0</v>
      </c>
    </row>
    <row r="14" spans="1:8" ht="12.75" customHeight="1" x14ac:dyDescent="0.35">
      <c r="A14" s="99" t="s">
        <v>39</v>
      </c>
      <c r="B14" s="99">
        <v>0</v>
      </c>
      <c r="C14" s="99">
        <v>0</v>
      </c>
      <c r="D14" s="99">
        <v>0</v>
      </c>
      <c r="E14" s="99">
        <f t="shared" si="0"/>
        <v>0</v>
      </c>
      <c r="F14" s="99">
        <f t="shared" si="1"/>
        <v>0</v>
      </c>
      <c r="G14" s="99">
        <v>0</v>
      </c>
      <c r="H14" s="99">
        <f t="shared" si="2"/>
        <v>0</v>
      </c>
    </row>
    <row r="15" spans="1:8" ht="12.75" customHeight="1" x14ac:dyDescent="0.35">
      <c r="A15" s="98" t="s">
        <v>39</v>
      </c>
      <c r="B15" s="98">
        <v>0</v>
      </c>
      <c r="C15" s="98">
        <v>0</v>
      </c>
      <c r="D15" s="98">
        <v>0</v>
      </c>
      <c r="E15" s="99">
        <f t="shared" si="0"/>
        <v>0</v>
      </c>
      <c r="F15" s="99">
        <f t="shared" si="1"/>
        <v>0</v>
      </c>
      <c r="G15" s="98">
        <v>0</v>
      </c>
      <c r="H15" s="99">
        <f t="shared" si="2"/>
        <v>0</v>
      </c>
    </row>
    <row r="16" spans="1:8" ht="12.75" customHeight="1" x14ac:dyDescent="0.35">
      <c r="A16" s="98" t="s">
        <v>39</v>
      </c>
      <c r="B16" s="98">
        <v>0</v>
      </c>
      <c r="C16" s="98">
        <v>0</v>
      </c>
      <c r="D16" s="98">
        <v>0</v>
      </c>
      <c r="E16" s="99">
        <f t="shared" si="0"/>
        <v>0</v>
      </c>
      <c r="F16" s="99">
        <f t="shared" si="1"/>
        <v>0</v>
      </c>
      <c r="G16" s="98">
        <v>0</v>
      </c>
      <c r="H16" s="99">
        <f t="shared" si="2"/>
        <v>0</v>
      </c>
    </row>
    <row r="17" spans="1:8" ht="12.75" customHeight="1" x14ac:dyDescent="0.35">
      <c r="A17" s="98" t="s">
        <v>39</v>
      </c>
      <c r="B17" s="99">
        <v>0</v>
      </c>
      <c r="C17" s="99">
        <v>0</v>
      </c>
      <c r="D17" s="98">
        <v>0</v>
      </c>
      <c r="E17" s="99">
        <f t="shared" si="0"/>
        <v>0</v>
      </c>
      <c r="F17" s="99">
        <f t="shared" si="1"/>
        <v>0</v>
      </c>
      <c r="G17" s="98">
        <v>0</v>
      </c>
      <c r="H17" s="99">
        <f t="shared" si="2"/>
        <v>0</v>
      </c>
    </row>
    <row r="18" spans="1:8" ht="12.75" customHeight="1" x14ac:dyDescent="0.35">
      <c r="A18" s="98" t="str">
        <f>Calculations!$I$626</f>
        <v>12/2020</v>
      </c>
      <c r="B18" s="98">
        <f ca="1">IF(NOT(MYDisc),Calculations!$I$675,0)</f>
        <v>16340152.555675525</v>
      </c>
      <c r="C18" s="98">
        <f>IF(NOT(MYDisc),Calculations!$I$663,0)</f>
        <v>-1576534.3483209161</v>
      </c>
      <c r="D18" s="98">
        <f ca="1">IF(NOT(MYDisc),+Calculations!$I$681,0)</f>
        <v>0</v>
      </c>
      <c r="E18" s="99">
        <f t="shared" ca="1" si="0"/>
        <v>17916686.903996442</v>
      </c>
      <c r="F18" s="99">
        <f t="shared" ca="1" si="1"/>
        <v>16340152.555675525</v>
      </c>
      <c r="G18" s="98">
        <f ca="1">IF(NOT(MYDisc),SUM(Calculations!$I$511),0)</f>
        <v>3554125.1763335224</v>
      </c>
      <c r="H18" s="99">
        <f t="shared" ca="1" si="2"/>
        <v>17916686.903996442</v>
      </c>
    </row>
    <row r="19" spans="1:8" ht="12.75" customHeight="1" x14ac:dyDescent="0.35">
      <c r="A19" s="98" t="s">
        <v>39</v>
      </c>
      <c r="B19" s="98">
        <v>0</v>
      </c>
      <c r="C19" s="98">
        <v>0</v>
      </c>
      <c r="D19" s="98">
        <v>0</v>
      </c>
      <c r="E19" s="99">
        <f t="shared" si="0"/>
        <v>0</v>
      </c>
      <c r="F19" s="99">
        <f t="shared" si="1"/>
        <v>0</v>
      </c>
      <c r="G19" s="98">
        <v>0</v>
      </c>
      <c r="H19" s="99">
        <f t="shared" si="2"/>
        <v>0</v>
      </c>
    </row>
    <row r="20" spans="1:8" ht="12.75" customHeight="1" x14ac:dyDescent="0.35">
      <c r="A20" s="98" t="s">
        <v>39</v>
      </c>
      <c r="B20" s="99">
        <v>0</v>
      </c>
      <c r="C20" s="99">
        <v>0</v>
      </c>
      <c r="D20" s="98">
        <v>0</v>
      </c>
      <c r="E20" s="99">
        <f t="shared" si="0"/>
        <v>0</v>
      </c>
      <c r="F20" s="99">
        <f t="shared" si="1"/>
        <v>0</v>
      </c>
      <c r="G20" s="98">
        <v>0</v>
      </c>
      <c r="H20" s="99">
        <f t="shared" si="2"/>
        <v>0</v>
      </c>
    </row>
    <row r="21" spans="1:8" ht="12.75" customHeight="1" x14ac:dyDescent="0.35">
      <c r="A21" s="98" t="s">
        <v>39</v>
      </c>
      <c r="B21" s="98">
        <v>0</v>
      </c>
      <c r="C21" s="98">
        <v>0</v>
      </c>
      <c r="D21" s="98">
        <v>0</v>
      </c>
      <c r="E21" s="99">
        <f t="shared" si="0"/>
        <v>0</v>
      </c>
      <c r="F21" s="99">
        <f t="shared" si="1"/>
        <v>0</v>
      </c>
      <c r="G21" s="98">
        <v>0</v>
      </c>
      <c r="H21" s="99">
        <f t="shared" si="2"/>
        <v>0</v>
      </c>
    </row>
    <row r="22" spans="1:8" ht="12.75" customHeight="1" x14ac:dyDescent="0.35">
      <c r="A22" s="98" t="s">
        <v>39</v>
      </c>
      <c r="B22" s="98">
        <v>0</v>
      </c>
      <c r="C22" s="98">
        <v>0</v>
      </c>
      <c r="D22" s="98">
        <v>0</v>
      </c>
      <c r="E22" s="99">
        <f t="shared" si="0"/>
        <v>0</v>
      </c>
      <c r="F22" s="99">
        <f t="shared" si="1"/>
        <v>0</v>
      </c>
      <c r="G22" s="98">
        <v>0</v>
      </c>
      <c r="H22" s="99">
        <f t="shared" si="2"/>
        <v>0</v>
      </c>
    </row>
    <row r="23" spans="1:8" ht="12.75" customHeight="1" x14ac:dyDescent="0.35">
      <c r="A23" s="98" t="s">
        <v>39</v>
      </c>
      <c r="B23" s="99">
        <v>0</v>
      </c>
      <c r="C23" s="99">
        <v>0</v>
      </c>
      <c r="D23" s="98">
        <v>0</v>
      </c>
      <c r="E23" s="99">
        <f t="shared" si="0"/>
        <v>0</v>
      </c>
      <c r="F23" s="99">
        <f t="shared" si="1"/>
        <v>0</v>
      </c>
      <c r="G23" s="98">
        <v>0</v>
      </c>
      <c r="H23" s="99">
        <f t="shared" si="2"/>
        <v>0</v>
      </c>
    </row>
    <row r="24" spans="1:8" ht="12.75" customHeight="1" x14ac:dyDescent="0.35">
      <c r="A24" s="98" t="s">
        <v>39</v>
      </c>
      <c r="B24" s="98">
        <f>IF(MYDisc,Calculations!$J$675,0)</f>
        <v>0</v>
      </c>
      <c r="C24" s="98">
        <f>IF(MYDisc,Calculations!$J$663,0)</f>
        <v>0</v>
      </c>
      <c r="D24" s="98">
        <f>IF(MYDisc,+Calculations!$J$681,0)</f>
        <v>0</v>
      </c>
      <c r="E24" s="99">
        <f t="shared" si="0"/>
        <v>0</v>
      </c>
      <c r="F24" s="99">
        <f t="shared" si="1"/>
        <v>0</v>
      </c>
      <c r="G24" s="98">
        <f>IF(MYDisc,SUM(Calculations!$J$511),0)</f>
        <v>0</v>
      </c>
      <c r="H24" s="99">
        <f t="shared" si="2"/>
        <v>0</v>
      </c>
    </row>
    <row r="25" spans="1:8" ht="12.75" customHeight="1" x14ac:dyDescent="0.35">
      <c r="A25" s="98" t="s">
        <v>39</v>
      </c>
      <c r="B25" s="98">
        <v>0</v>
      </c>
      <c r="C25" s="98">
        <v>0</v>
      </c>
      <c r="D25" s="98">
        <v>0</v>
      </c>
      <c r="E25" s="99">
        <f t="shared" si="0"/>
        <v>0</v>
      </c>
      <c r="F25" s="99">
        <f t="shared" si="1"/>
        <v>0</v>
      </c>
      <c r="G25" s="98">
        <v>0</v>
      </c>
      <c r="H25" s="99">
        <f t="shared" si="2"/>
        <v>0</v>
      </c>
    </row>
    <row r="26" spans="1:8" ht="12.75" customHeight="1" x14ac:dyDescent="0.35">
      <c r="A26" s="99" t="s">
        <v>39</v>
      </c>
      <c r="B26" s="99">
        <v>0</v>
      </c>
      <c r="C26" s="99">
        <v>0</v>
      </c>
      <c r="D26" s="99">
        <v>0</v>
      </c>
      <c r="E26" s="99">
        <f t="shared" si="0"/>
        <v>0</v>
      </c>
      <c r="F26" s="99">
        <f t="shared" si="1"/>
        <v>0</v>
      </c>
      <c r="G26" s="99">
        <v>0</v>
      </c>
      <c r="H26" s="99">
        <f t="shared" si="2"/>
        <v>0</v>
      </c>
    </row>
    <row r="27" spans="1:8" ht="12.75" customHeight="1" x14ac:dyDescent="0.35">
      <c r="A27" s="98" t="s">
        <v>39</v>
      </c>
      <c r="B27" s="98">
        <v>0</v>
      </c>
      <c r="C27" s="98">
        <v>0</v>
      </c>
      <c r="D27" s="98">
        <v>0</v>
      </c>
      <c r="E27" s="99">
        <f t="shared" si="0"/>
        <v>0</v>
      </c>
      <c r="F27" s="99">
        <f t="shared" si="1"/>
        <v>0</v>
      </c>
      <c r="G27" s="98">
        <v>0</v>
      </c>
      <c r="H27" s="99">
        <f t="shared" si="2"/>
        <v>0</v>
      </c>
    </row>
    <row r="28" spans="1:8" ht="12.75" customHeight="1" x14ac:dyDescent="0.35">
      <c r="A28" s="98" t="s">
        <v>39</v>
      </c>
      <c r="B28" s="98">
        <v>0</v>
      </c>
      <c r="C28" s="98">
        <v>0</v>
      </c>
      <c r="D28" s="98">
        <v>0</v>
      </c>
      <c r="E28" s="99">
        <f t="shared" si="0"/>
        <v>0</v>
      </c>
      <c r="F28" s="99">
        <f t="shared" si="1"/>
        <v>0</v>
      </c>
      <c r="G28" s="98">
        <v>0</v>
      </c>
      <c r="H28" s="99">
        <f t="shared" si="2"/>
        <v>0</v>
      </c>
    </row>
    <row r="29" spans="1:8" ht="12.75" customHeight="1" x14ac:dyDescent="0.35">
      <c r="A29" s="98" t="s">
        <v>39</v>
      </c>
      <c r="B29" s="99">
        <v>0</v>
      </c>
      <c r="C29" s="99">
        <v>0</v>
      </c>
      <c r="D29" s="98">
        <v>0</v>
      </c>
      <c r="E29" s="99">
        <f t="shared" si="0"/>
        <v>0</v>
      </c>
      <c r="F29" s="99">
        <f t="shared" si="1"/>
        <v>0</v>
      </c>
      <c r="G29" s="98">
        <v>0</v>
      </c>
      <c r="H29" s="99">
        <f t="shared" si="2"/>
        <v>0</v>
      </c>
    </row>
    <row r="30" spans="1:8" ht="12.75" customHeight="1" x14ac:dyDescent="0.35">
      <c r="A30" s="98" t="str">
        <f>Calculations!$J$626</f>
        <v>12/2021</v>
      </c>
      <c r="B30" s="98">
        <f ca="1">IF(NOT(MYDisc),Calculations!$J$675,0)</f>
        <v>5744975.1269501373</v>
      </c>
      <c r="C30" s="98">
        <f>IF(NOT(MYDisc),Calculations!$J$663,0)</f>
        <v>-2472322.2016931232</v>
      </c>
      <c r="D30" s="98">
        <f ca="1">IF(NOT(MYDisc),+Calculations!$J$681,0)</f>
        <v>0</v>
      </c>
      <c r="E30" s="99">
        <f t="shared" ca="1" si="0"/>
        <v>8217297.3286432605</v>
      </c>
      <c r="F30" s="99">
        <f t="shared" ca="1" si="1"/>
        <v>5744975.1269501373</v>
      </c>
      <c r="G30" s="98">
        <f ca="1">IF(NOT(MYDisc),SUM(Calculations!$J$511),0)</f>
        <v>6018094.1626226483</v>
      </c>
      <c r="H30" s="99">
        <f t="shared" ca="1" si="2"/>
        <v>8217297.3286432605</v>
      </c>
    </row>
    <row r="31" spans="1:8" ht="12.75" customHeight="1" x14ac:dyDescent="0.35">
      <c r="A31" s="98" t="s">
        <v>39</v>
      </c>
      <c r="B31" s="98">
        <v>0</v>
      </c>
      <c r="C31" s="98">
        <v>0</v>
      </c>
      <c r="D31" s="98">
        <v>0</v>
      </c>
      <c r="E31" s="99">
        <f t="shared" si="0"/>
        <v>0</v>
      </c>
      <c r="F31" s="99">
        <f t="shared" si="1"/>
        <v>0</v>
      </c>
      <c r="G31" s="98">
        <v>0</v>
      </c>
      <c r="H31" s="99">
        <f t="shared" si="2"/>
        <v>0</v>
      </c>
    </row>
    <row r="32" spans="1:8" ht="12.75" customHeight="1" x14ac:dyDescent="0.35">
      <c r="A32" s="98" t="s">
        <v>39</v>
      </c>
      <c r="B32" s="99">
        <v>0</v>
      </c>
      <c r="C32" s="99">
        <v>0</v>
      </c>
      <c r="D32" s="98">
        <v>0</v>
      </c>
      <c r="E32" s="99">
        <f t="shared" si="0"/>
        <v>0</v>
      </c>
      <c r="F32" s="99">
        <f t="shared" si="1"/>
        <v>0</v>
      </c>
      <c r="G32" s="98">
        <v>0</v>
      </c>
      <c r="H32" s="99">
        <f t="shared" si="2"/>
        <v>0</v>
      </c>
    </row>
    <row r="33" spans="1:8" ht="12.75" customHeight="1" x14ac:dyDescent="0.35">
      <c r="A33" s="98" t="s">
        <v>39</v>
      </c>
      <c r="B33" s="98">
        <v>0</v>
      </c>
      <c r="C33" s="98">
        <v>0</v>
      </c>
      <c r="D33" s="98">
        <v>0</v>
      </c>
      <c r="E33" s="99">
        <f t="shared" si="0"/>
        <v>0</v>
      </c>
      <c r="F33" s="99">
        <f t="shared" si="1"/>
        <v>0</v>
      </c>
      <c r="G33" s="98">
        <v>0</v>
      </c>
      <c r="H33" s="99">
        <f t="shared" si="2"/>
        <v>0</v>
      </c>
    </row>
    <row r="34" spans="1:8" ht="12.75" customHeight="1" x14ac:dyDescent="0.35">
      <c r="A34" s="98" t="s">
        <v>39</v>
      </c>
      <c r="B34" s="98">
        <v>0</v>
      </c>
      <c r="C34" s="98">
        <v>0</v>
      </c>
      <c r="D34" s="98">
        <v>0</v>
      </c>
      <c r="E34" s="99">
        <f t="shared" ref="E34:E66" si="3">$B34-IF(ValueInUseWithTax=1,0,$C34)</f>
        <v>0</v>
      </c>
      <c r="F34" s="99">
        <f t="shared" ref="F34:F65" si="4">$B34+$D34</f>
        <v>0</v>
      </c>
      <c r="G34" s="98">
        <v>0</v>
      </c>
      <c r="H34" s="99">
        <f t="shared" ref="H34:H66" si="5">-$C34+$F34</f>
        <v>0</v>
      </c>
    </row>
    <row r="35" spans="1:8" ht="12.75" customHeight="1" x14ac:dyDescent="0.35">
      <c r="A35" s="98" t="s">
        <v>39</v>
      </c>
      <c r="B35" s="99">
        <v>0</v>
      </c>
      <c r="C35" s="99">
        <v>0</v>
      </c>
      <c r="D35" s="98">
        <v>0</v>
      </c>
      <c r="E35" s="99">
        <f t="shared" si="3"/>
        <v>0</v>
      </c>
      <c r="F35" s="99">
        <f t="shared" si="4"/>
        <v>0</v>
      </c>
      <c r="G35" s="98">
        <v>0</v>
      </c>
      <c r="H35" s="99">
        <f t="shared" si="5"/>
        <v>0</v>
      </c>
    </row>
    <row r="36" spans="1:8" ht="12.75" customHeight="1" x14ac:dyDescent="0.35">
      <c r="A36" s="98" t="s">
        <v>39</v>
      </c>
      <c r="B36" s="98">
        <f>IF(MYDisc,Calculations!$K$675,0)</f>
        <v>0</v>
      </c>
      <c r="C36" s="98">
        <f>IF(MYDisc,Calculations!$K$663,0)</f>
        <v>0</v>
      </c>
      <c r="D36" s="98">
        <f>IF(MYDisc,+Calculations!$K$681,0)</f>
        <v>0</v>
      </c>
      <c r="E36" s="99">
        <f t="shared" si="3"/>
        <v>0</v>
      </c>
      <c r="F36" s="99">
        <f t="shared" si="4"/>
        <v>0</v>
      </c>
      <c r="G36" s="98">
        <f>IF(MYDisc,SUM(Calculations!$K$511),0)</f>
        <v>0</v>
      </c>
      <c r="H36" s="99">
        <f t="shared" si="5"/>
        <v>0</v>
      </c>
    </row>
    <row r="37" spans="1:8" ht="12.75" customHeight="1" x14ac:dyDescent="0.35">
      <c r="A37" s="98" t="s">
        <v>39</v>
      </c>
      <c r="B37" s="98">
        <v>0</v>
      </c>
      <c r="C37" s="98">
        <v>0</v>
      </c>
      <c r="D37" s="98">
        <v>0</v>
      </c>
      <c r="E37" s="99">
        <f t="shared" si="3"/>
        <v>0</v>
      </c>
      <c r="F37" s="99">
        <f t="shared" si="4"/>
        <v>0</v>
      </c>
      <c r="G37" s="98">
        <v>0</v>
      </c>
      <c r="H37" s="99">
        <f t="shared" si="5"/>
        <v>0</v>
      </c>
    </row>
    <row r="38" spans="1:8" ht="12.75" customHeight="1" x14ac:dyDescent="0.35">
      <c r="A38" s="99" t="s">
        <v>39</v>
      </c>
      <c r="B38" s="99">
        <v>0</v>
      </c>
      <c r="C38" s="99">
        <v>0</v>
      </c>
      <c r="D38" s="99">
        <v>0</v>
      </c>
      <c r="E38" s="99">
        <f t="shared" si="3"/>
        <v>0</v>
      </c>
      <c r="F38" s="99">
        <f t="shared" si="4"/>
        <v>0</v>
      </c>
      <c r="G38" s="99">
        <v>0</v>
      </c>
      <c r="H38" s="99">
        <f t="shared" si="5"/>
        <v>0</v>
      </c>
    </row>
    <row r="39" spans="1:8" ht="12.75" customHeight="1" x14ac:dyDescent="0.35">
      <c r="A39" s="98" t="s">
        <v>39</v>
      </c>
      <c r="B39" s="98">
        <v>0</v>
      </c>
      <c r="C39" s="98">
        <v>0</v>
      </c>
      <c r="D39" s="98">
        <v>0</v>
      </c>
      <c r="E39" s="99">
        <f t="shared" si="3"/>
        <v>0</v>
      </c>
      <c r="F39" s="99">
        <f t="shared" si="4"/>
        <v>0</v>
      </c>
      <c r="G39" s="98">
        <v>0</v>
      </c>
      <c r="H39" s="99">
        <f t="shared" si="5"/>
        <v>0</v>
      </c>
    </row>
    <row r="40" spans="1:8" ht="12.75" customHeight="1" x14ac:dyDescent="0.35">
      <c r="A40" s="98" t="s">
        <v>39</v>
      </c>
      <c r="B40" s="98">
        <v>0</v>
      </c>
      <c r="C40" s="98">
        <v>0</v>
      </c>
      <c r="D40" s="98">
        <v>0</v>
      </c>
      <c r="E40" s="99">
        <f t="shared" si="3"/>
        <v>0</v>
      </c>
      <c r="F40" s="99">
        <f t="shared" si="4"/>
        <v>0</v>
      </c>
      <c r="G40" s="98">
        <v>0</v>
      </c>
      <c r="H40" s="99">
        <f t="shared" si="5"/>
        <v>0</v>
      </c>
    </row>
    <row r="41" spans="1:8" ht="12.75" customHeight="1" x14ac:dyDescent="0.35">
      <c r="A41" s="98" t="s">
        <v>39</v>
      </c>
      <c r="B41" s="99">
        <v>0</v>
      </c>
      <c r="C41" s="99">
        <v>0</v>
      </c>
      <c r="D41" s="98">
        <v>0</v>
      </c>
      <c r="E41" s="99">
        <f t="shared" si="3"/>
        <v>0</v>
      </c>
      <c r="F41" s="99">
        <f t="shared" si="4"/>
        <v>0</v>
      </c>
      <c r="G41" s="98">
        <v>0</v>
      </c>
      <c r="H41" s="99">
        <f t="shared" si="5"/>
        <v>0</v>
      </c>
    </row>
    <row r="42" spans="1:8" ht="12.75" customHeight="1" x14ac:dyDescent="0.35">
      <c r="A42" s="98" t="str">
        <f>Calculations!$K$626</f>
        <v>12/2022</v>
      </c>
      <c r="B42" s="98">
        <f ca="1">IF(NOT(MYDisc),Calculations!$K$675,0)</f>
        <v>8447503.311763918</v>
      </c>
      <c r="C42" s="98">
        <f>IF(NOT(MYDisc),Calculations!$K$663,0)</f>
        <v>-3569435.9158240757</v>
      </c>
      <c r="D42" s="98">
        <f ca="1">IF(NOT(MYDisc),+Calculations!$K$681,0)</f>
        <v>0</v>
      </c>
      <c r="E42" s="99">
        <f t="shared" ca="1" si="3"/>
        <v>12016939.227587994</v>
      </c>
      <c r="F42" s="99">
        <f t="shared" ca="1" si="4"/>
        <v>8447503.311763918</v>
      </c>
      <c r="G42" s="98">
        <f ca="1">IF(NOT(MYDisc),SUM(Calculations!$K$511),0)</f>
        <v>8820770.9869080577</v>
      </c>
      <c r="H42" s="99">
        <f t="shared" ca="1" si="5"/>
        <v>12016939.227587994</v>
      </c>
    </row>
    <row r="43" spans="1:8" ht="12.75" customHeight="1" x14ac:dyDescent="0.35">
      <c r="A43" s="98" t="s">
        <v>39</v>
      </c>
      <c r="B43" s="98">
        <v>0</v>
      </c>
      <c r="C43" s="98">
        <v>0</v>
      </c>
      <c r="D43" s="98">
        <v>0</v>
      </c>
      <c r="E43" s="99">
        <f t="shared" si="3"/>
        <v>0</v>
      </c>
      <c r="F43" s="99">
        <f t="shared" si="4"/>
        <v>0</v>
      </c>
      <c r="G43" s="98">
        <v>0</v>
      </c>
      <c r="H43" s="99">
        <f t="shared" si="5"/>
        <v>0</v>
      </c>
    </row>
    <row r="44" spans="1:8" ht="12.75" customHeight="1" x14ac:dyDescent="0.35">
      <c r="A44" s="98" t="s">
        <v>39</v>
      </c>
      <c r="B44" s="99">
        <v>0</v>
      </c>
      <c r="C44" s="99">
        <v>0</v>
      </c>
      <c r="D44" s="98">
        <v>0</v>
      </c>
      <c r="E44" s="99">
        <f t="shared" si="3"/>
        <v>0</v>
      </c>
      <c r="F44" s="99">
        <f t="shared" si="4"/>
        <v>0</v>
      </c>
      <c r="G44" s="98">
        <v>0</v>
      </c>
      <c r="H44" s="99">
        <f t="shared" si="5"/>
        <v>0</v>
      </c>
    </row>
    <row r="45" spans="1:8" ht="12.75" customHeight="1" x14ac:dyDescent="0.35">
      <c r="A45" s="98" t="s">
        <v>39</v>
      </c>
      <c r="B45" s="98">
        <v>0</v>
      </c>
      <c r="C45" s="98">
        <v>0</v>
      </c>
      <c r="D45" s="98">
        <v>0</v>
      </c>
      <c r="E45" s="99">
        <f t="shared" si="3"/>
        <v>0</v>
      </c>
      <c r="F45" s="99">
        <f t="shared" si="4"/>
        <v>0</v>
      </c>
      <c r="G45" s="98">
        <v>0</v>
      </c>
      <c r="H45" s="99">
        <f t="shared" si="5"/>
        <v>0</v>
      </c>
    </row>
    <row r="46" spans="1:8" ht="12.75" customHeight="1" x14ac:dyDescent="0.35">
      <c r="A46" s="98" t="s">
        <v>39</v>
      </c>
      <c r="B46" s="98">
        <v>0</v>
      </c>
      <c r="C46" s="98">
        <v>0</v>
      </c>
      <c r="D46" s="98">
        <v>0</v>
      </c>
      <c r="E46" s="99">
        <f t="shared" si="3"/>
        <v>0</v>
      </c>
      <c r="F46" s="99">
        <f t="shared" si="4"/>
        <v>0</v>
      </c>
      <c r="G46" s="98">
        <v>0</v>
      </c>
      <c r="H46" s="99">
        <f t="shared" si="5"/>
        <v>0</v>
      </c>
    </row>
    <row r="47" spans="1:8" ht="12.75" customHeight="1" x14ac:dyDescent="0.35">
      <c r="A47" s="98" t="s">
        <v>39</v>
      </c>
      <c r="B47" s="98">
        <v>0</v>
      </c>
      <c r="C47" s="98">
        <v>0</v>
      </c>
      <c r="D47" s="98">
        <v>0</v>
      </c>
      <c r="E47" s="99">
        <f t="shared" si="3"/>
        <v>0</v>
      </c>
      <c r="F47" s="99">
        <f t="shared" si="4"/>
        <v>0</v>
      </c>
      <c r="G47" s="98">
        <v>0</v>
      </c>
      <c r="H47" s="99">
        <f t="shared" si="5"/>
        <v>0</v>
      </c>
    </row>
    <row r="48" spans="1:8" ht="12.75" customHeight="1" x14ac:dyDescent="0.35">
      <c r="A48" s="98" t="s">
        <v>39</v>
      </c>
      <c r="B48" s="98">
        <f>IF(MYDisc,Calculations!$L$675,0)</f>
        <v>0</v>
      </c>
      <c r="C48" s="98">
        <f>IF(MYDisc,Calculations!$L$663,0)</f>
        <v>0</v>
      </c>
      <c r="D48" s="98">
        <f>IF(MYDisc,+Calculations!$L$681,0)</f>
        <v>0</v>
      </c>
      <c r="E48" s="99">
        <f t="shared" si="3"/>
        <v>0</v>
      </c>
      <c r="F48" s="99">
        <f t="shared" si="4"/>
        <v>0</v>
      </c>
      <c r="G48" s="98">
        <f>IF(MYDisc,SUM(Calculations!$L$511),0)</f>
        <v>0</v>
      </c>
      <c r="H48" s="99">
        <f t="shared" si="5"/>
        <v>0</v>
      </c>
    </row>
    <row r="49" spans="1:8" ht="12.75" customHeight="1" x14ac:dyDescent="0.35">
      <c r="A49" s="98" t="s">
        <v>39</v>
      </c>
      <c r="B49" s="98">
        <v>0</v>
      </c>
      <c r="C49" s="98">
        <v>0</v>
      </c>
      <c r="D49" s="98">
        <v>0</v>
      </c>
      <c r="E49" s="99">
        <f t="shared" si="3"/>
        <v>0</v>
      </c>
      <c r="F49" s="99">
        <f t="shared" si="4"/>
        <v>0</v>
      </c>
      <c r="G49" s="98">
        <v>0</v>
      </c>
      <c r="H49" s="99">
        <f t="shared" si="5"/>
        <v>0</v>
      </c>
    </row>
    <row r="50" spans="1:8" ht="12.75" customHeight="1" x14ac:dyDescent="0.35">
      <c r="A50" s="98" t="s">
        <v>39</v>
      </c>
      <c r="B50" s="99">
        <v>0</v>
      </c>
      <c r="C50" s="99">
        <v>0</v>
      </c>
      <c r="D50" s="99">
        <v>0</v>
      </c>
      <c r="E50" s="99">
        <f t="shared" si="3"/>
        <v>0</v>
      </c>
      <c r="F50" s="99">
        <f t="shared" si="4"/>
        <v>0</v>
      </c>
      <c r="G50" s="99">
        <v>0</v>
      </c>
      <c r="H50" s="99">
        <f t="shared" si="5"/>
        <v>0</v>
      </c>
    </row>
    <row r="51" spans="1:8" ht="12.75" customHeight="1" x14ac:dyDescent="0.35">
      <c r="A51" s="98" t="s">
        <v>39</v>
      </c>
      <c r="B51" s="98">
        <v>0</v>
      </c>
      <c r="C51" s="98">
        <v>0</v>
      </c>
      <c r="D51" s="98">
        <v>0</v>
      </c>
      <c r="E51" s="99">
        <f t="shared" si="3"/>
        <v>0</v>
      </c>
      <c r="F51" s="99">
        <f t="shared" si="4"/>
        <v>0</v>
      </c>
      <c r="G51" s="98">
        <v>0</v>
      </c>
      <c r="H51" s="99">
        <f t="shared" si="5"/>
        <v>0</v>
      </c>
    </row>
    <row r="52" spans="1:8" ht="12.75" customHeight="1" x14ac:dyDescent="0.35">
      <c r="A52" s="98" t="s">
        <v>39</v>
      </c>
      <c r="B52" s="98">
        <v>0</v>
      </c>
      <c r="C52" s="98">
        <v>0</v>
      </c>
      <c r="D52" s="98">
        <v>0</v>
      </c>
      <c r="E52" s="99">
        <f t="shared" si="3"/>
        <v>0</v>
      </c>
      <c r="F52" s="99">
        <f t="shared" si="4"/>
        <v>0</v>
      </c>
      <c r="G52" s="98">
        <v>0</v>
      </c>
      <c r="H52" s="99">
        <f t="shared" si="5"/>
        <v>0</v>
      </c>
    </row>
    <row r="53" spans="1:8" ht="12.75" customHeight="1" x14ac:dyDescent="0.35">
      <c r="A53" s="98" t="s">
        <v>39</v>
      </c>
      <c r="B53" s="98">
        <v>0</v>
      </c>
      <c r="C53" s="98">
        <v>0</v>
      </c>
      <c r="D53" s="98">
        <v>0</v>
      </c>
      <c r="E53" s="99">
        <f t="shared" si="3"/>
        <v>0</v>
      </c>
      <c r="F53" s="99">
        <f t="shared" si="4"/>
        <v>0</v>
      </c>
      <c r="G53" s="98">
        <v>0</v>
      </c>
      <c r="H53" s="99">
        <f t="shared" si="5"/>
        <v>0</v>
      </c>
    </row>
    <row r="54" spans="1:8" ht="12.75" customHeight="1" x14ac:dyDescent="0.35">
      <c r="A54" s="98" t="str">
        <f>Calculations!$L$626</f>
        <v>12/2023</v>
      </c>
      <c r="B54" s="98">
        <f ca="1">IF(NOT(MYDisc),Calculations!$L$675,0)</f>
        <v>11319334.517848302</v>
      </c>
      <c r="C54" s="98">
        <f>IF(NOT(MYDisc),Calculations!$L$663,0)</f>
        <v>-4886416.0359469904</v>
      </c>
      <c r="D54" s="98">
        <f ca="1">IF(NOT(MYDisc),+Calculations!$L$681,0)</f>
        <v>0</v>
      </c>
      <c r="E54" s="99">
        <f t="shared" ca="1" si="3"/>
        <v>16205750.553795293</v>
      </c>
      <c r="F54" s="99">
        <f t="shared" ca="1" si="4"/>
        <v>11319334.517848302</v>
      </c>
      <c r="G54" s="98">
        <f ca="1">IF(NOT(MYDisc),SUM(Calculations!$L$511),0)</f>
        <v>12180110.550515104</v>
      </c>
      <c r="H54" s="99">
        <f t="shared" ca="1" si="5"/>
        <v>16205750.553795293</v>
      </c>
    </row>
    <row r="55" spans="1:8" ht="12.75" customHeight="1" x14ac:dyDescent="0.35">
      <c r="A55" s="98" t="s">
        <v>39</v>
      </c>
      <c r="B55" s="98">
        <v>0</v>
      </c>
      <c r="C55" s="98">
        <v>0</v>
      </c>
      <c r="D55" s="98">
        <v>0</v>
      </c>
      <c r="E55" s="99">
        <f t="shared" si="3"/>
        <v>0</v>
      </c>
      <c r="F55" s="99">
        <f t="shared" si="4"/>
        <v>0</v>
      </c>
      <c r="G55" s="98">
        <v>0</v>
      </c>
      <c r="H55" s="99">
        <f t="shared" si="5"/>
        <v>0</v>
      </c>
    </row>
    <row r="56" spans="1:8" ht="12.75" customHeight="1" x14ac:dyDescent="0.35">
      <c r="A56" s="98" t="s">
        <v>39</v>
      </c>
      <c r="B56" s="99">
        <v>0</v>
      </c>
      <c r="C56" s="99">
        <v>0</v>
      </c>
      <c r="D56" s="98">
        <v>0</v>
      </c>
      <c r="E56" s="99">
        <f t="shared" si="3"/>
        <v>0</v>
      </c>
      <c r="F56" s="99">
        <f t="shared" si="4"/>
        <v>0</v>
      </c>
      <c r="G56" s="98">
        <v>0</v>
      </c>
      <c r="H56" s="99">
        <f t="shared" si="5"/>
        <v>0</v>
      </c>
    </row>
    <row r="57" spans="1:8" ht="12.75" customHeight="1" x14ac:dyDescent="0.35">
      <c r="A57" s="98" t="s">
        <v>39</v>
      </c>
      <c r="B57" s="98">
        <v>0</v>
      </c>
      <c r="C57" s="98">
        <v>0</v>
      </c>
      <c r="D57" s="98">
        <v>0</v>
      </c>
      <c r="E57" s="99">
        <f t="shared" si="3"/>
        <v>0</v>
      </c>
      <c r="F57" s="99">
        <f t="shared" si="4"/>
        <v>0</v>
      </c>
      <c r="G57" s="98">
        <v>0</v>
      </c>
      <c r="H57" s="99">
        <f t="shared" si="5"/>
        <v>0</v>
      </c>
    </row>
    <row r="58" spans="1:8" ht="12.75" customHeight="1" x14ac:dyDescent="0.35">
      <c r="A58" s="98" t="s">
        <v>39</v>
      </c>
      <c r="B58" s="98">
        <v>0</v>
      </c>
      <c r="C58" s="98">
        <v>0</v>
      </c>
      <c r="D58" s="98">
        <v>0</v>
      </c>
      <c r="E58" s="99">
        <f t="shared" si="3"/>
        <v>0</v>
      </c>
      <c r="F58" s="99">
        <f t="shared" si="4"/>
        <v>0</v>
      </c>
      <c r="G58" s="98">
        <v>0</v>
      </c>
      <c r="H58" s="99">
        <f t="shared" si="5"/>
        <v>0</v>
      </c>
    </row>
    <row r="59" spans="1:8" ht="12.75" customHeight="1" x14ac:dyDescent="0.35">
      <c r="A59" s="98" t="s">
        <v>39</v>
      </c>
      <c r="B59" s="98">
        <v>0</v>
      </c>
      <c r="C59" s="98">
        <v>0</v>
      </c>
      <c r="D59" s="98">
        <v>0</v>
      </c>
      <c r="E59" s="99">
        <f t="shared" si="3"/>
        <v>0</v>
      </c>
      <c r="F59" s="99">
        <f t="shared" si="4"/>
        <v>0</v>
      </c>
      <c r="G59" s="98">
        <v>0</v>
      </c>
      <c r="H59" s="99">
        <f t="shared" si="5"/>
        <v>0</v>
      </c>
    </row>
    <row r="60" spans="1:8" ht="12.75" customHeight="1" x14ac:dyDescent="0.35">
      <c r="A60" s="98" t="s">
        <v>39</v>
      </c>
      <c r="B60" s="98">
        <f>IF(MYDisc,Calculations!$M$675,0)</f>
        <v>0</v>
      </c>
      <c r="C60" s="98">
        <f>IF(MYDisc,Calculations!$M$663,0)</f>
        <v>0</v>
      </c>
      <c r="D60" s="98">
        <f>IF(MYDisc,+Calculations!$M$681,0)</f>
        <v>0</v>
      </c>
      <c r="E60" s="99">
        <f t="shared" si="3"/>
        <v>0</v>
      </c>
      <c r="F60" s="99">
        <f t="shared" si="4"/>
        <v>0</v>
      </c>
      <c r="G60" s="98">
        <f>IF(MYDisc,SUM(Calculations!$M$511),0)</f>
        <v>0</v>
      </c>
      <c r="H60" s="99">
        <f t="shared" si="5"/>
        <v>0</v>
      </c>
    </row>
    <row r="61" spans="1:8" ht="12.75" customHeight="1" x14ac:dyDescent="0.35">
      <c r="A61" s="98" t="s">
        <v>39</v>
      </c>
      <c r="B61" s="98">
        <v>0</v>
      </c>
      <c r="C61" s="98">
        <v>0</v>
      </c>
      <c r="D61" s="98">
        <v>0</v>
      </c>
      <c r="E61" s="99">
        <f t="shared" si="3"/>
        <v>0</v>
      </c>
      <c r="F61" s="99">
        <f t="shared" si="4"/>
        <v>0</v>
      </c>
      <c r="G61" s="98">
        <v>0</v>
      </c>
      <c r="H61" s="99">
        <f t="shared" si="5"/>
        <v>0</v>
      </c>
    </row>
    <row r="62" spans="1:8" ht="12.75" customHeight="1" x14ac:dyDescent="0.35">
      <c r="A62" s="98" t="s">
        <v>39</v>
      </c>
      <c r="B62" s="99">
        <v>0</v>
      </c>
      <c r="C62" s="99">
        <v>0</v>
      </c>
      <c r="D62" s="99">
        <v>0</v>
      </c>
      <c r="E62" s="99">
        <f t="shared" si="3"/>
        <v>0</v>
      </c>
      <c r="F62" s="99">
        <f t="shared" si="4"/>
        <v>0</v>
      </c>
      <c r="G62" s="99">
        <v>0</v>
      </c>
      <c r="H62" s="99">
        <f t="shared" si="5"/>
        <v>0</v>
      </c>
    </row>
    <row r="63" spans="1:8" x14ac:dyDescent="0.35">
      <c r="A63" s="97" t="s">
        <v>39</v>
      </c>
      <c r="B63" s="97">
        <v>0</v>
      </c>
      <c r="C63" s="97">
        <v>0</v>
      </c>
      <c r="D63" s="97">
        <v>0</v>
      </c>
      <c r="E63" s="97">
        <f t="shared" si="3"/>
        <v>0</v>
      </c>
      <c r="F63" s="1409">
        <f t="shared" si="4"/>
        <v>0</v>
      </c>
      <c r="G63" s="97">
        <v>0</v>
      </c>
      <c r="H63" s="1409">
        <f t="shared" si="5"/>
        <v>0</v>
      </c>
    </row>
    <row r="64" spans="1:8" x14ac:dyDescent="0.35">
      <c r="A64" s="97" t="s">
        <v>39</v>
      </c>
      <c r="B64" s="97">
        <v>0</v>
      </c>
      <c r="C64" s="97">
        <v>0</v>
      </c>
      <c r="D64" s="97">
        <v>0</v>
      </c>
      <c r="E64" s="97">
        <f t="shared" si="3"/>
        <v>0</v>
      </c>
      <c r="F64" s="1409">
        <f t="shared" si="4"/>
        <v>0</v>
      </c>
      <c r="G64" s="97">
        <v>0</v>
      </c>
      <c r="H64" s="1409">
        <f t="shared" si="5"/>
        <v>0</v>
      </c>
    </row>
    <row r="65" spans="1:8" x14ac:dyDescent="0.35">
      <c r="A65" s="97" t="s">
        <v>39</v>
      </c>
      <c r="B65" s="97">
        <v>0</v>
      </c>
      <c r="C65" s="97">
        <v>0</v>
      </c>
      <c r="D65" s="97">
        <v>0</v>
      </c>
      <c r="E65" s="97">
        <f t="shared" si="3"/>
        <v>0</v>
      </c>
      <c r="F65" s="1409">
        <f t="shared" si="4"/>
        <v>0</v>
      </c>
      <c r="G65" s="97">
        <v>0</v>
      </c>
      <c r="H65" s="1409">
        <f t="shared" si="5"/>
        <v>0</v>
      </c>
    </row>
    <row r="66" spans="1:8" x14ac:dyDescent="0.35">
      <c r="A66" s="97" t="str">
        <f>Calculations!$M$626</f>
        <v>12/2024</v>
      </c>
      <c r="B66" s="1409">
        <f ca="1">IF(NOT(MYDisc),Calculations!$M$675,0)+Calculations!$N$675+IF(UsePerpetuity=1,PerpetuityValue,0)</f>
        <v>28128975.385462612</v>
      </c>
      <c r="C66" s="97">
        <f>IF(NOT(MYDisc),Calculations!$M$663,0)+Calculations!$N$663+IF(UsePerpetuity=1,-IF(ValueInUseWithTax=1,0,PerpetuityValue/(1-Calculations!$N$4)-PerpetuityValue),0)</f>
        <v>-6498142.2983319396</v>
      </c>
      <c r="D66" s="1409">
        <f ca="1">IF(NOT(MYDisc),+Calculations!$M$681,0)+Calculations!$N$681</f>
        <v>0</v>
      </c>
      <c r="E66" s="97">
        <f t="shared" ca="1" si="3"/>
        <v>34627117.683794551</v>
      </c>
      <c r="F66" s="1409">
        <f ca="1">$B66+IF(UsePerpetuity=1,-PerpetuityValue+PerpetuityValueEquity,0)+$D66+IF(CorrDebtResidual,-OFFSET(Calculations!$N$806,0,-1)-OFFSET(Calculations!$N$807,0,-1),0)</f>
        <v>28128975.385462612</v>
      </c>
      <c r="G66" s="1409">
        <f ca="1">IF(NOT(MYDisc),SUM(Calculations!$M$511),0)+SUM(Calculations!$N$511)</f>
        <v>13083910.532108061</v>
      </c>
      <c r="H66" s="1409">
        <f t="shared" ca="1" si="5"/>
        <v>34627117.683794551</v>
      </c>
    </row>
  </sheetData>
  <pageMargins left="0.75" right="0.75" top="1" bottom="1" header="0.5" footer="0.5"/>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pageSetUpPr autoPageBreaks="0"/>
  </sheetPr>
  <dimension ref="A1:K40"/>
  <sheetViews>
    <sheetView workbookViewId="0">
      <selection activeCell="D10" sqref="D10"/>
    </sheetView>
  </sheetViews>
  <sheetFormatPr defaultColWidth="9.1796875" defaultRowHeight="14.5" x14ac:dyDescent="0.35"/>
  <cols>
    <col min="1" max="1" width="4.54296875" style="97" customWidth="1"/>
    <col min="2" max="4" width="25.7265625" style="97" customWidth="1"/>
    <col min="5" max="8" width="20.7265625" style="97" customWidth="1"/>
    <col min="9" max="9" width="28.26953125" style="97" bestFit="1" customWidth="1"/>
    <col min="10" max="10" width="23.54296875" style="97" bestFit="1" customWidth="1"/>
    <col min="11" max="11" width="32.54296875" style="97" bestFit="1" customWidth="1"/>
    <col min="12" max="16384" width="9.1796875" style="97"/>
  </cols>
  <sheetData>
    <row r="1" spans="1:11" ht="12.75" customHeight="1" x14ac:dyDescent="0.35">
      <c r="A1"/>
      <c r="B1" t="s">
        <v>2184</v>
      </c>
      <c r="C1" t="s">
        <v>2185</v>
      </c>
      <c r="D1" t="s">
        <v>2186</v>
      </c>
      <c r="E1"/>
      <c r="F1"/>
      <c r="G1"/>
      <c r="H1"/>
      <c r="I1" s="159" t="s">
        <v>5193</v>
      </c>
      <c r="J1" s="159" t="s">
        <v>5208</v>
      </c>
      <c r="K1" s="159" t="s">
        <v>5329</v>
      </c>
    </row>
    <row r="2" spans="1:11" ht="12.75" customHeight="1" x14ac:dyDescent="0.35">
      <c r="A2"/>
      <c r="B2" s="100" t="str">
        <f ca="1">""&amp;OFFSET(B2,Language,0)</f>
        <v>Assignable macros</v>
      </c>
      <c r="C2" s="100" t="str">
        <f ca="1">""&amp;OFFSET(C2,Language,0)</f>
        <v>Macro to run in XXX</v>
      </c>
      <c r="D2" s="100" t="str">
        <f ca="1">""&amp;OFFSET(D2,Language,0)</f>
        <v>macro workbook</v>
      </c>
      <c r="E2" s="100" t="str">
        <f ca="1">""&amp;OFFSET(E2,Language,0)</f>
        <v>perpetual</v>
      </c>
      <c r="F2" s="100" t="str">
        <f t="shared" ref="F2:K2" ca="1" si="0">""&amp;OFFSET(F2,Language,0)</f>
        <v>Macro workbook not specified.</v>
      </c>
      <c r="G2" s="100" t="str">
        <f t="shared" ca="1" si="0"/>
        <v>Macro not specified.</v>
      </c>
      <c r="H2" s="212" t="str">
        <f t="shared" ca="1" si="0"/>
        <v>Allocated overvalue</v>
      </c>
      <c r="I2" s="221" t="str">
        <f t="shared" ca="1" si="0"/>
        <v>&lt; Not in use &gt;</v>
      </c>
      <c r="J2" s="221" t="str">
        <f t="shared" ca="1" si="0"/>
        <v>Show row numbers</v>
      </c>
      <c r="K2" s="221" t="str">
        <f t="shared" ca="1" si="0"/>
        <v>All</v>
      </c>
    </row>
    <row r="3" spans="1:11" ht="12.75" customHeight="1" x14ac:dyDescent="0.35">
      <c r="A3" t="s">
        <v>2187</v>
      </c>
      <c r="B3" t="s">
        <v>2188</v>
      </c>
      <c r="C3" t="s">
        <v>2189</v>
      </c>
      <c r="D3" t="s">
        <v>2190</v>
      </c>
      <c r="E3" t="s">
        <v>2191</v>
      </c>
      <c r="F3" t="s">
        <v>2192</v>
      </c>
      <c r="G3" t="s">
        <v>2193</v>
      </c>
      <c r="H3" s="97" t="s">
        <v>2194</v>
      </c>
      <c r="I3" s="220" t="s">
        <v>5194</v>
      </c>
      <c r="J3" s="220" t="s">
        <v>5251</v>
      </c>
      <c r="K3" s="220" t="s">
        <v>5330</v>
      </c>
    </row>
    <row r="4" spans="1:11" ht="12.75" customHeight="1" x14ac:dyDescent="0.35">
      <c r="A4" t="s">
        <v>2195</v>
      </c>
      <c r="B4" t="s">
        <v>2196</v>
      </c>
      <c r="C4" t="s">
        <v>2197</v>
      </c>
      <c r="D4" t="s">
        <v>2198</v>
      </c>
      <c r="E4" t="s">
        <v>2199</v>
      </c>
      <c r="F4" t="s">
        <v>2200</v>
      </c>
      <c r="G4" t="s">
        <v>2201</v>
      </c>
      <c r="H4" s="97" t="s">
        <v>2202</v>
      </c>
      <c r="I4" s="220" t="s">
        <v>5195</v>
      </c>
      <c r="J4" s="220" t="s">
        <v>5252</v>
      </c>
      <c r="K4" s="220" t="s">
        <v>5331</v>
      </c>
    </row>
    <row r="5" spans="1:11" ht="12.75" customHeight="1" x14ac:dyDescent="0.35">
      <c r="A5" t="s">
        <v>2203</v>
      </c>
      <c r="B5" t="s">
        <v>2204</v>
      </c>
      <c r="C5" t="s">
        <v>2205</v>
      </c>
      <c r="D5" t="s">
        <v>2206</v>
      </c>
      <c r="E5" t="s">
        <v>2207</v>
      </c>
      <c r="F5" t="s">
        <v>2208</v>
      </c>
      <c r="G5" t="s">
        <v>2209</v>
      </c>
      <c r="H5" s="97" t="s">
        <v>2210</v>
      </c>
      <c r="I5" s="220" t="s">
        <v>5196</v>
      </c>
      <c r="J5" s="220" t="s">
        <v>5253</v>
      </c>
      <c r="K5" s="220" t="s">
        <v>5332</v>
      </c>
    </row>
    <row r="6" spans="1:11" ht="12.75" customHeight="1" x14ac:dyDescent="0.35">
      <c r="A6" t="s">
        <v>2211</v>
      </c>
      <c r="B6" t="s">
        <v>2212</v>
      </c>
      <c r="C6" t="s">
        <v>2213</v>
      </c>
      <c r="D6" t="s">
        <v>2214</v>
      </c>
      <c r="E6" t="s">
        <v>2215</v>
      </c>
      <c r="F6" t="s">
        <v>2216</v>
      </c>
      <c r="G6" t="s">
        <v>2217</v>
      </c>
      <c r="H6" s="97" t="s">
        <v>2218</v>
      </c>
      <c r="I6" s="220" t="s">
        <v>5199</v>
      </c>
      <c r="J6" s="220" t="s">
        <v>5269</v>
      </c>
      <c r="K6" s="220" t="s">
        <v>5333</v>
      </c>
    </row>
    <row r="7" spans="1:11" ht="12.75" customHeight="1" x14ac:dyDescent="0.35">
      <c r="A7" t="s">
        <v>2219</v>
      </c>
      <c r="B7" t="s">
        <v>2220</v>
      </c>
      <c r="C7" t="s">
        <v>2221</v>
      </c>
      <c r="D7" t="s">
        <v>2222</v>
      </c>
      <c r="E7" t="s">
        <v>2223</v>
      </c>
      <c r="F7" t="s">
        <v>2192</v>
      </c>
      <c r="G7" t="s">
        <v>2193</v>
      </c>
      <c r="H7" s="97" t="s">
        <v>2224</v>
      </c>
      <c r="I7" s="220" t="s">
        <v>5198</v>
      </c>
      <c r="J7" s="220" t="s">
        <v>5254</v>
      </c>
      <c r="K7" s="220" t="s">
        <v>5334</v>
      </c>
    </row>
    <row r="8" spans="1:11" ht="12.75" customHeight="1" x14ac:dyDescent="0.35">
      <c r="A8" t="s">
        <v>2225</v>
      </c>
      <c r="B8" t="s">
        <v>2226</v>
      </c>
      <c r="C8" t="s">
        <v>2227</v>
      </c>
      <c r="D8" t="s">
        <v>2228</v>
      </c>
      <c r="E8" t="s">
        <v>2229</v>
      </c>
      <c r="F8" t="s">
        <v>2230</v>
      </c>
      <c r="G8" t="s">
        <v>2231</v>
      </c>
      <c r="H8" s="97" t="s">
        <v>2232</v>
      </c>
      <c r="I8" s="220" t="s">
        <v>5197</v>
      </c>
      <c r="J8" s="220" t="s">
        <v>5255</v>
      </c>
      <c r="K8" s="220" t="s">
        <v>5335</v>
      </c>
    </row>
    <row r="9" spans="1:11" ht="12.75" customHeight="1" x14ac:dyDescent="0.35">
      <c r="A9" t="s">
        <v>2233</v>
      </c>
      <c r="B9" s="97" t="s">
        <v>2234</v>
      </c>
      <c r="C9" s="97" t="s">
        <v>2235</v>
      </c>
      <c r="D9" s="97" t="s">
        <v>2236</v>
      </c>
      <c r="E9" s="97" t="s">
        <v>2237</v>
      </c>
      <c r="F9" s="97" t="s">
        <v>2238</v>
      </c>
      <c r="G9" s="97" t="s">
        <v>2239</v>
      </c>
      <c r="H9" s="97" t="s">
        <v>2240</v>
      </c>
      <c r="I9" s="220" t="s">
        <v>5200</v>
      </c>
      <c r="J9" s="220" t="s">
        <v>5256</v>
      </c>
      <c r="K9" s="220" t="s">
        <v>5336</v>
      </c>
    </row>
    <row r="10" spans="1:11" ht="12.75" customHeight="1" x14ac:dyDescent="0.35">
      <c r="A10" s="1301" t="s">
        <v>5677</v>
      </c>
      <c r="B10" s="1302" t="s">
        <v>5678</v>
      </c>
      <c r="C10" s="1302" t="s">
        <v>5679</v>
      </c>
      <c r="D10" s="1302" t="s">
        <v>5680</v>
      </c>
      <c r="E10" s="1302" t="s">
        <v>5681</v>
      </c>
      <c r="F10" s="1313" t="s">
        <v>5906</v>
      </c>
      <c r="G10" s="1302" t="s">
        <v>5682</v>
      </c>
      <c r="H10" s="1302" t="s">
        <v>5683</v>
      </c>
      <c r="I10" s="1302" t="s">
        <v>5684</v>
      </c>
      <c r="J10" s="1302" t="s">
        <v>5685</v>
      </c>
      <c r="K10" s="1313" t="s">
        <v>5655</v>
      </c>
    </row>
    <row r="11" spans="1:11" ht="12.75" customHeight="1" x14ac:dyDescent="0.35">
      <c r="A11"/>
      <c r="B11" t="s">
        <v>2241</v>
      </c>
      <c r="C11" t="s">
        <v>2242</v>
      </c>
      <c r="D11" t="s">
        <v>2243</v>
      </c>
      <c r="E11" t="s">
        <v>2244</v>
      </c>
      <c r="F11" t="s">
        <v>173</v>
      </c>
      <c r="G11"/>
      <c r="H11"/>
      <c r="I11"/>
      <c r="J11" s="159" t="s">
        <v>5328</v>
      </c>
      <c r="K11" s="1232" t="s">
        <v>5344</v>
      </c>
    </row>
    <row r="12" spans="1:11" ht="12.75" customHeight="1" x14ac:dyDescent="0.35">
      <c r="A12"/>
      <c r="B12" s="100" t="str">
        <f t="shared" ref="B12:I12" ca="1" si="1">""&amp;OFFSET(B12,Language,0)</f>
        <v>Straight line</v>
      </c>
      <c r="C12" s="100" t="str">
        <f t="shared" ca="1" si="1"/>
        <v>Declining bal.</v>
      </c>
      <c r="D12" s="100" t="str">
        <f t="shared" ca="1" si="1"/>
        <v>Enter</v>
      </c>
      <c r="E12" s="100" t="str">
        <f t="shared" ca="1" si="1"/>
        <v>Invest for Excel must be open for this function to work. Please open Invest for Excel.</v>
      </c>
      <c r="F12" s="100" t="str">
        <f t="shared" ca="1" si="1"/>
        <v>Residual</v>
      </c>
      <c r="G12" s="100" t="str">
        <f t="shared" ca="1" si="1"/>
        <v>Depreciation</v>
      </c>
      <c r="H12" s="100" t="str">
        <f t="shared" ca="1" si="1"/>
        <v>IFRS 3</v>
      </c>
      <c r="I12" s="100" t="str">
        <f t="shared" ca="1" si="1"/>
        <v>N GAAP</v>
      </c>
      <c r="J12" s="221" t="str">
        <f t="shared" ref="J12:K12" ca="1" si="2">""&amp;OFFSET(J12,Language,0)</f>
        <v>Group</v>
      </c>
      <c r="K12" s="1233" t="str">
        <f t="shared" ca="1" si="2"/>
        <v>Mid-year discounting</v>
      </c>
    </row>
    <row r="13" spans="1:11" ht="12.75" customHeight="1" x14ac:dyDescent="0.35">
      <c r="A13" t="s">
        <v>2187</v>
      </c>
      <c r="B13" t="s">
        <v>2245</v>
      </c>
      <c r="C13" t="s">
        <v>2246</v>
      </c>
      <c r="D13" t="s">
        <v>2247</v>
      </c>
      <c r="E13" t="s">
        <v>2248</v>
      </c>
      <c r="F13" t="s">
        <v>2249</v>
      </c>
      <c r="G13" t="s">
        <v>395</v>
      </c>
      <c r="H13" t="s">
        <v>2250</v>
      </c>
      <c r="I13" t="s">
        <v>2251</v>
      </c>
      <c r="J13" s="1187" t="s">
        <v>656</v>
      </c>
      <c r="K13" s="1231" t="s">
        <v>5339</v>
      </c>
    </row>
    <row r="14" spans="1:11" ht="12.75" customHeight="1" x14ac:dyDescent="0.35">
      <c r="A14" t="s">
        <v>2195</v>
      </c>
      <c r="B14" t="s">
        <v>2252</v>
      </c>
      <c r="C14" t="s">
        <v>2253</v>
      </c>
      <c r="D14" t="s">
        <v>2254</v>
      </c>
      <c r="E14" t="s">
        <v>2255</v>
      </c>
      <c r="F14" t="s">
        <v>2256</v>
      </c>
      <c r="G14" t="s">
        <v>2257</v>
      </c>
      <c r="H14" t="s">
        <v>2250</v>
      </c>
      <c r="I14" t="s">
        <v>2251</v>
      </c>
      <c r="J14" s="1187" t="s">
        <v>5257</v>
      </c>
      <c r="K14" s="1231" t="s">
        <v>5340</v>
      </c>
    </row>
    <row r="15" spans="1:11" ht="12.75" customHeight="1" x14ac:dyDescent="0.35">
      <c r="A15" t="s">
        <v>2203</v>
      </c>
      <c r="B15" t="s">
        <v>4861</v>
      </c>
      <c r="C15" t="s">
        <v>2258</v>
      </c>
      <c r="D15" t="s">
        <v>2259</v>
      </c>
      <c r="E15" t="s">
        <v>2260</v>
      </c>
      <c r="F15" t="s">
        <v>2261</v>
      </c>
      <c r="G15" t="s">
        <v>2262</v>
      </c>
      <c r="H15" t="s">
        <v>2250</v>
      </c>
      <c r="I15" t="s">
        <v>2251</v>
      </c>
      <c r="J15" s="1187" t="s">
        <v>5258</v>
      </c>
      <c r="K15" s="1231" t="s">
        <v>5341</v>
      </c>
    </row>
    <row r="16" spans="1:11" ht="12.75" customHeight="1" x14ac:dyDescent="0.35">
      <c r="A16" t="s">
        <v>2211</v>
      </c>
      <c r="B16" t="s">
        <v>2263</v>
      </c>
      <c r="C16" t="s">
        <v>2258</v>
      </c>
      <c r="D16" t="s">
        <v>2264</v>
      </c>
      <c r="E16" t="s">
        <v>2265</v>
      </c>
      <c r="F16" t="s">
        <v>2266</v>
      </c>
      <c r="G16" t="s">
        <v>2267</v>
      </c>
      <c r="H16" t="s">
        <v>2250</v>
      </c>
      <c r="I16" t="s">
        <v>2251</v>
      </c>
      <c r="J16" s="1187" t="s">
        <v>5259</v>
      </c>
      <c r="K16" s="1231" t="s">
        <v>5739</v>
      </c>
    </row>
    <row r="17" spans="1:11" ht="12.75" customHeight="1" x14ac:dyDescent="0.35">
      <c r="A17" t="s">
        <v>2219</v>
      </c>
      <c r="B17" t="s">
        <v>2268</v>
      </c>
      <c r="C17" t="s">
        <v>2269</v>
      </c>
      <c r="D17" t="s">
        <v>2270</v>
      </c>
      <c r="E17" t="s">
        <v>2271</v>
      </c>
      <c r="F17" t="s">
        <v>2272</v>
      </c>
      <c r="G17" t="s">
        <v>2273</v>
      </c>
      <c r="H17" t="s">
        <v>2250</v>
      </c>
      <c r="I17" t="s">
        <v>2251</v>
      </c>
      <c r="J17" s="1187" t="s">
        <v>3280</v>
      </c>
      <c r="K17" s="1306" t="s">
        <v>5737</v>
      </c>
    </row>
    <row r="18" spans="1:11" ht="12.75" customHeight="1" x14ac:dyDescent="0.35">
      <c r="A18" t="s">
        <v>2225</v>
      </c>
      <c r="B18" t="s">
        <v>2274</v>
      </c>
      <c r="C18" t="s">
        <v>2275</v>
      </c>
      <c r="D18" t="s">
        <v>2276</v>
      </c>
      <c r="E18" t="s">
        <v>2277</v>
      </c>
      <c r="F18" t="s">
        <v>2249</v>
      </c>
      <c r="G18" t="s">
        <v>2278</v>
      </c>
      <c r="H18" t="s">
        <v>2250</v>
      </c>
      <c r="I18" t="s">
        <v>2251</v>
      </c>
      <c r="J18" s="1187" t="s">
        <v>3506</v>
      </c>
      <c r="K18" s="1231" t="s">
        <v>5342</v>
      </c>
    </row>
    <row r="19" spans="1:11" ht="12.75" customHeight="1" x14ac:dyDescent="0.35">
      <c r="A19" t="s">
        <v>2233</v>
      </c>
      <c r="B19" s="97" t="s">
        <v>2279</v>
      </c>
      <c r="C19" s="97" t="s">
        <v>2280</v>
      </c>
      <c r="D19" s="97" t="s">
        <v>2281</v>
      </c>
      <c r="E19" s="97" t="s">
        <v>2282</v>
      </c>
      <c r="F19" s="97" t="s">
        <v>2283</v>
      </c>
      <c r="G19" t="s">
        <v>2284</v>
      </c>
      <c r="H19" t="s">
        <v>2285</v>
      </c>
      <c r="I19" t="s">
        <v>2286</v>
      </c>
      <c r="J19" s="1187" t="s">
        <v>3735</v>
      </c>
      <c r="K19" s="1231" t="s">
        <v>5343</v>
      </c>
    </row>
    <row r="20" spans="1:11" ht="12.75" customHeight="1" x14ac:dyDescent="0.35">
      <c r="A20" s="1301" t="s">
        <v>5677</v>
      </c>
      <c r="B20" s="1302" t="s">
        <v>2279</v>
      </c>
      <c r="C20" s="1302" t="s">
        <v>5686</v>
      </c>
      <c r="D20" s="1302" t="s">
        <v>5687</v>
      </c>
      <c r="E20" s="1316" t="s">
        <v>5918</v>
      </c>
      <c r="F20" s="1302" t="s">
        <v>5688</v>
      </c>
      <c r="G20" s="1302" t="s">
        <v>2284</v>
      </c>
      <c r="H20" s="1302" t="s">
        <v>2250</v>
      </c>
      <c r="I20" s="1302" t="s">
        <v>2251</v>
      </c>
      <c r="J20" s="1302" t="s">
        <v>3735</v>
      </c>
      <c r="K20" s="1303" t="s">
        <v>5697</v>
      </c>
    </row>
    <row r="21" spans="1:11" ht="12.75" customHeight="1" x14ac:dyDescent="0.35">
      <c r="A21"/>
      <c r="B21" t="s">
        <v>175</v>
      </c>
      <c r="C21" t="s">
        <v>2287</v>
      </c>
      <c r="D21" t="s">
        <v>2288</v>
      </c>
      <c r="E21" t="s">
        <v>2289</v>
      </c>
      <c r="F21" t="s">
        <v>181</v>
      </c>
      <c r="G21"/>
      <c r="H21"/>
      <c r="I21" s="97" t="s">
        <v>4869</v>
      </c>
      <c r="J21" s="1216" t="s">
        <v>5312</v>
      </c>
    </row>
    <row r="22" spans="1:11" ht="12.75" customHeight="1" x14ac:dyDescent="0.35">
      <c r="A22"/>
      <c r="B22" s="100" t="str">
        <f t="shared" ref="B22:H22" ca="1" si="3">""&amp;OFFSET(B22,Language,0)</f>
        <v>Variable</v>
      </c>
      <c r="C22" s="100" t="str">
        <f t="shared" ca="1" si="3"/>
        <v>Imputed</v>
      </c>
      <c r="D22" s="100" t="str">
        <f t="shared" ca="1" si="3"/>
        <v>Macro workbook name</v>
      </c>
      <c r="E22" s="100" t="str">
        <f t="shared" ca="1" si="3"/>
        <v>Term change macro</v>
      </c>
      <c r="F22" s="100" t="str">
        <f t="shared" ca="1" si="3"/>
        <v>Description (optional)</v>
      </c>
      <c r="G22" s="100" t="str">
        <f t="shared" ca="1" si="3"/>
        <v>adjusted</v>
      </c>
      <c r="H22" s="100" t="str">
        <f t="shared" ca="1" si="3"/>
        <v>Income tax</v>
      </c>
      <c r="I22" s="212" t="str">
        <f t="shared" ref="I22" ca="1" si="4">""&amp;OFFSET(I22,Language,0)</f>
        <v>Elimination</v>
      </c>
      <c r="J22" s="1215" t="str">
        <f t="shared" ref="J22" ca="1" si="5">""&amp;OFFSET(J22,Language,0)</f>
        <v>Change, yearly %</v>
      </c>
    </row>
    <row r="23" spans="1:11" ht="12.75" customHeight="1" x14ac:dyDescent="0.35">
      <c r="A23" t="s">
        <v>2187</v>
      </c>
      <c r="B23" t="s">
        <v>2290</v>
      </c>
      <c r="C23" t="s">
        <v>2291</v>
      </c>
      <c r="D23" t="s">
        <v>2292</v>
      </c>
      <c r="E23" t="s">
        <v>2293</v>
      </c>
      <c r="F23" t="s">
        <v>2294</v>
      </c>
      <c r="G23" t="s">
        <v>2295</v>
      </c>
      <c r="H23" t="s">
        <v>629</v>
      </c>
      <c r="I23" s="97" t="s">
        <v>4870</v>
      </c>
      <c r="J23" s="1187" t="s">
        <v>5313</v>
      </c>
    </row>
    <row r="24" spans="1:11" ht="12.75" customHeight="1" x14ac:dyDescent="0.35">
      <c r="A24" t="s">
        <v>2195</v>
      </c>
      <c r="B24" t="s">
        <v>2296</v>
      </c>
      <c r="C24" t="s">
        <v>2297</v>
      </c>
      <c r="D24" t="s">
        <v>2298</v>
      </c>
      <c r="E24" t="s">
        <v>2299</v>
      </c>
      <c r="F24" t="s">
        <v>2300</v>
      </c>
      <c r="G24" t="s">
        <v>2301</v>
      </c>
      <c r="H24" t="s">
        <v>2302</v>
      </c>
      <c r="I24" s="97" t="s">
        <v>4871</v>
      </c>
      <c r="J24" s="1187" t="s">
        <v>5314</v>
      </c>
    </row>
    <row r="25" spans="1:11" ht="12.75" customHeight="1" x14ac:dyDescent="0.35">
      <c r="A25" t="s">
        <v>2203</v>
      </c>
      <c r="B25" t="s">
        <v>2303</v>
      </c>
      <c r="C25" t="s">
        <v>2304</v>
      </c>
      <c r="D25" t="s">
        <v>2305</v>
      </c>
      <c r="E25" t="s">
        <v>2306</v>
      </c>
      <c r="F25" t="s">
        <v>2307</v>
      </c>
      <c r="G25" t="s">
        <v>2308</v>
      </c>
      <c r="H25" t="s">
        <v>2309</v>
      </c>
      <c r="I25" s="97" t="s">
        <v>4872</v>
      </c>
      <c r="J25" s="1187" t="s">
        <v>5315</v>
      </c>
    </row>
    <row r="26" spans="1:11" ht="12.75" customHeight="1" x14ac:dyDescent="0.35">
      <c r="A26" t="s">
        <v>2211</v>
      </c>
      <c r="B26" t="s">
        <v>2310</v>
      </c>
      <c r="C26" t="s">
        <v>2311</v>
      </c>
      <c r="D26" t="s">
        <v>2312</v>
      </c>
      <c r="E26" t="s">
        <v>2313</v>
      </c>
      <c r="F26" t="s">
        <v>2314</v>
      </c>
      <c r="G26" t="s">
        <v>2315</v>
      </c>
      <c r="H26" t="s">
        <v>2316</v>
      </c>
      <c r="I26" s="97" t="s">
        <v>4873</v>
      </c>
      <c r="J26" s="1187" t="s">
        <v>5316</v>
      </c>
    </row>
    <row r="27" spans="1:11" ht="12.75" customHeight="1" x14ac:dyDescent="0.35">
      <c r="A27" t="s">
        <v>2219</v>
      </c>
      <c r="B27" t="s">
        <v>2317</v>
      </c>
      <c r="C27" t="s">
        <v>2318</v>
      </c>
      <c r="D27" t="s">
        <v>2319</v>
      </c>
      <c r="E27" t="s">
        <v>2320</v>
      </c>
      <c r="F27" t="s">
        <v>2321</v>
      </c>
      <c r="G27" t="s">
        <v>2322</v>
      </c>
      <c r="H27" t="s">
        <v>2323</v>
      </c>
      <c r="I27" s="97" t="s">
        <v>4874</v>
      </c>
      <c r="J27" s="1187" t="s">
        <v>5317</v>
      </c>
    </row>
    <row r="28" spans="1:11" ht="12.75" customHeight="1" x14ac:dyDescent="0.35">
      <c r="A28" t="s">
        <v>2225</v>
      </c>
      <c r="B28" t="s">
        <v>2290</v>
      </c>
      <c r="C28" t="s">
        <v>2324</v>
      </c>
      <c r="D28" t="s">
        <v>2325</v>
      </c>
      <c r="E28" t="s">
        <v>2326</v>
      </c>
      <c r="F28" t="s">
        <v>2327</v>
      </c>
      <c r="G28" s="97" t="s">
        <v>2328</v>
      </c>
      <c r="H28" t="s">
        <v>2329</v>
      </c>
      <c r="I28" s="97" t="s">
        <v>4875</v>
      </c>
      <c r="J28" s="1187" t="s">
        <v>5318</v>
      </c>
    </row>
    <row r="29" spans="1:11" ht="12.75" customHeight="1" x14ac:dyDescent="0.35">
      <c r="A29" t="s">
        <v>2233</v>
      </c>
      <c r="B29" s="97" t="s">
        <v>2330</v>
      </c>
      <c r="C29" s="97" t="s">
        <v>2331</v>
      </c>
      <c r="D29" s="97" t="s">
        <v>2332</v>
      </c>
      <c r="E29" s="97" t="s">
        <v>2333</v>
      </c>
      <c r="F29" s="97" t="s">
        <v>2334</v>
      </c>
      <c r="G29" s="97" t="s">
        <v>2335</v>
      </c>
      <c r="H29" s="97" t="s">
        <v>2336</v>
      </c>
      <c r="I29" s="97" t="s">
        <v>4876</v>
      </c>
      <c r="J29" s="1187" t="s">
        <v>5319</v>
      </c>
    </row>
    <row r="30" spans="1:11" ht="12.75" customHeight="1" x14ac:dyDescent="0.35">
      <c r="A30" s="1301" t="s">
        <v>5677</v>
      </c>
      <c r="B30" s="1302" t="s">
        <v>5623</v>
      </c>
      <c r="C30" s="1302" t="s">
        <v>5689</v>
      </c>
      <c r="D30" s="1302" t="s">
        <v>5690</v>
      </c>
      <c r="E30" s="1302" t="s">
        <v>5691</v>
      </c>
      <c r="F30" s="1302" t="s">
        <v>5692</v>
      </c>
      <c r="G30" s="1302" t="s">
        <v>5693</v>
      </c>
      <c r="H30" s="1302" t="s">
        <v>5694</v>
      </c>
      <c r="I30" s="1302" t="s">
        <v>5695</v>
      </c>
      <c r="J30" s="1302" t="s">
        <v>5696</v>
      </c>
    </row>
    <row r="31" spans="1:11" ht="12.75" customHeight="1" x14ac:dyDescent="0.35">
      <c r="A31"/>
      <c r="B31"/>
      <c r="C31"/>
      <c r="D31"/>
      <c r="E31"/>
      <c r="F31"/>
      <c r="G31"/>
      <c r="H31"/>
      <c r="I31" s="97" t="s">
        <v>4877</v>
      </c>
      <c r="J31" s="1216" t="s">
        <v>5320</v>
      </c>
    </row>
    <row r="32" spans="1:11" ht="12.75" customHeight="1" x14ac:dyDescent="0.35">
      <c r="A32"/>
      <c r="B32" s="100" t="str">
        <f t="shared" ref="B32:H32" ca="1" si="6">""&amp;OFFSET(B32,Language,0)</f>
        <v>average</v>
      </c>
      <c r="C32" s="100" t="str">
        <f t="shared" ca="1" si="6"/>
        <v>opening balance</v>
      </c>
      <c r="D32" s="100" t="str">
        <f t="shared" ca="1" si="6"/>
        <v>closing balance</v>
      </c>
      <c r="E32" s="100" t="str">
        <f t="shared" ca="1" si="6"/>
        <v>Net assets</v>
      </c>
      <c r="F32" s="100" t="str">
        <f t="shared" ca="1" si="6"/>
        <v>Capital charge on net assets</v>
      </c>
      <c r="G32" s="100" t="str">
        <f t="shared" ca="1" si="6"/>
        <v>Group Net assets</v>
      </c>
      <c r="H32" s="100" t="str">
        <f t="shared" ca="1" si="6"/>
        <v>Group Capital charge on net assets</v>
      </c>
      <c r="I32" s="212" t="str">
        <f t="shared" ref="I32" ca="1" si="7">""&amp;OFFSET(I32,Language,0)</f>
        <v>Consolidated</v>
      </c>
      <c r="J32" s="1215" t="str">
        <f t="shared" ref="J32" ca="1" si="8">""&amp;OFFSET(J32,Language,0)</f>
        <v>Index (base year 100)</v>
      </c>
    </row>
    <row r="33" spans="1:10" ht="12.75" customHeight="1" x14ac:dyDescent="0.35">
      <c r="A33" t="s">
        <v>2187</v>
      </c>
      <c r="B33" t="s">
        <v>2337</v>
      </c>
      <c r="C33" t="s">
        <v>2338</v>
      </c>
      <c r="D33" t="s">
        <v>2339</v>
      </c>
      <c r="E33" t="s">
        <v>2340</v>
      </c>
      <c r="F33" t="s">
        <v>2341</v>
      </c>
      <c r="G33" t="s">
        <v>2342</v>
      </c>
      <c r="H33" t="s">
        <v>2343</v>
      </c>
      <c r="I33" s="97" t="s">
        <v>4878</v>
      </c>
      <c r="J33" s="1187" t="s">
        <v>5321</v>
      </c>
    </row>
    <row r="34" spans="1:10" ht="12.75" customHeight="1" x14ac:dyDescent="0.35">
      <c r="A34" t="s">
        <v>2195</v>
      </c>
      <c r="B34" t="s">
        <v>2344</v>
      </c>
      <c r="C34" t="s">
        <v>2345</v>
      </c>
      <c r="D34" t="s">
        <v>2346</v>
      </c>
      <c r="E34" t="s">
        <v>2347</v>
      </c>
      <c r="F34" t="s">
        <v>2348</v>
      </c>
      <c r="G34" t="s">
        <v>2349</v>
      </c>
      <c r="H34" t="s">
        <v>2350</v>
      </c>
      <c r="I34" s="97" t="s">
        <v>4879</v>
      </c>
      <c r="J34" s="1187" t="s">
        <v>5322</v>
      </c>
    </row>
    <row r="35" spans="1:10" ht="12.75" customHeight="1" x14ac:dyDescent="0.35">
      <c r="A35" t="s">
        <v>2203</v>
      </c>
      <c r="B35" t="s">
        <v>2351</v>
      </c>
      <c r="C35" t="s">
        <v>2352</v>
      </c>
      <c r="D35" t="s">
        <v>2353</v>
      </c>
      <c r="E35" t="s">
        <v>2354</v>
      </c>
      <c r="F35" t="s">
        <v>2355</v>
      </c>
      <c r="G35" t="s">
        <v>2356</v>
      </c>
      <c r="H35" t="s">
        <v>2357</v>
      </c>
      <c r="I35" s="97" t="s">
        <v>4880</v>
      </c>
      <c r="J35" s="1187" t="s">
        <v>5323</v>
      </c>
    </row>
    <row r="36" spans="1:10" ht="12.75" customHeight="1" x14ac:dyDescent="0.35">
      <c r="A36" t="s">
        <v>2211</v>
      </c>
      <c r="B36" t="s">
        <v>2358</v>
      </c>
      <c r="C36" t="s">
        <v>2359</v>
      </c>
      <c r="D36" t="s">
        <v>2360</v>
      </c>
      <c r="E36" t="s">
        <v>2361</v>
      </c>
      <c r="F36" t="s">
        <v>2362</v>
      </c>
      <c r="G36" t="s">
        <v>2363</v>
      </c>
      <c r="H36" t="s">
        <v>2364</v>
      </c>
      <c r="I36" s="97" t="s">
        <v>4881</v>
      </c>
      <c r="J36" s="1187" t="s">
        <v>5324</v>
      </c>
    </row>
    <row r="37" spans="1:10" ht="12.75" customHeight="1" x14ac:dyDescent="0.35">
      <c r="A37" t="s">
        <v>2219</v>
      </c>
      <c r="B37" t="s">
        <v>2365</v>
      </c>
      <c r="C37" t="s">
        <v>2366</v>
      </c>
      <c r="D37" t="s">
        <v>2367</v>
      </c>
      <c r="E37" t="s">
        <v>2368</v>
      </c>
      <c r="F37" t="s">
        <v>2369</v>
      </c>
      <c r="G37" t="s">
        <v>2370</v>
      </c>
      <c r="H37" t="s">
        <v>2371</v>
      </c>
      <c r="I37" s="97" t="s">
        <v>4882</v>
      </c>
      <c r="J37" s="1187" t="s">
        <v>5325</v>
      </c>
    </row>
    <row r="38" spans="1:10" ht="12.75" customHeight="1" x14ac:dyDescent="0.35">
      <c r="A38" t="s">
        <v>2225</v>
      </c>
      <c r="B38" t="s">
        <v>2372</v>
      </c>
      <c r="C38" t="s">
        <v>2373</v>
      </c>
      <c r="D38" t="s">
        <v>2374</v>
      </c>
      <c r="E38" t="s">
        <v>2375</v>
      </c>
      <c r="F38" t="s">
        <v>2376</v>
      </c>
      <c r="G38" t="s">
        <v>2377</v>
      </c>
      <c r="H38" t="s">
        <v>2378</v>
      </c>
      <c r="I38" s="97" t="s">
        <v>4883</v>
      </c>
      <c r="J38" s="1187" t="s">
        <v>5326</v>
      </c>
    </row>
    <row r="39" spans="1:10" ht="12.75" customHeight="1" x14ac:dyDescent="0.35">
      <c r="A39" t="s">
        <v>2233</v>
      </c>
      <c r="B39" t="s">
        <v>2379</v>
      </c>
      <c r="C39" t="s">
        <v>2380</v>
      </c>
      <c r="D39" t="s">
        <v>2381</v>
      </c>
      <c r="E39" t="s">
        <v>2382</v>
      </c>
      <c r="F39" t="s">
        <v>2383</v>
      </c>
      <c r="G39" t="s">
        <v>2384</v>
      </c>
      <c r="H39" t="s">
        <v>2385</v>
      </c>
      <c r="I39" s="97" t="s">
        <v>4884</v>
      </c>
      <c r="J39" s="1187" t="s">
        <v>5327</v>
      </c>
    </row>
    <row r="40" spans="1:10" x14ac:dyDescent="0.35">
      <c r="A40" s="1304" t="s">
        <v>5677</v>
      </c>
      <c r="B40" s="1305" t="s">
        <v>5698</v>
      </c>
      <c r="C40" s="1305" t="s">
        <v>5699</v>
      </c>
      <c r="D40" s="1305" t="s">
        <v>5700</v>
      </c>
      <c r="E40" s="1305" t="s">
        <v>5701</v>
      </c>
      <c r="F40" s="1305" t="s">
        <v>5702</v>
      </c>
      <c r="G40" s="1305" t="s">
        <v>5703</v>
      </c>
      <c r="H40" s="1305" t="s">
        <v>5704</v>
      </c>
      <c r="I40" s="1305" t="s">
        <v>5705</v>
      </c>
      <c r="J40" s="1305" t="s">
        <v>5706</v>
      </c>
    </row>
  </sheetData>
  <pageMargins left="0.75" right="0.75" top="1" bottom="1" header="0.5" footer="0.5"/>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pageSetUpPr autoPageBreaks="0"/>
  </sheetPr>
  <dimension ref="A1:J69"/>
  <sheetViews>
    <sheetView workbookViewId="0">
      <selection activeCell="G18" sqref="G18"/>
    </sheetView>
  </sheetViews>
  <sheetFormatPr defaultColWidth="9.1796875" defaultRowHeight="14.5" x14ac:dyDescent="0.35"/>
  <cols>
    <col min="1" max="1" width="2.1796875" style="97" customWidth="1"/>
    <col min="2" max="2" width="8.26953125" style="97" customWidth="1"/>
    <col min="3" max="4" width="5.7265625" style="97" customWidth="1"/>
    <col min="5" max="5" width="12.26953125" style="97" customWidth="1"/>
    <col min="6" max="6" width="8.54296875" style="97" customWidth="1"/>
    <col min="7" max="7" width="9.26953125" style="97" customWidth="1"/>
    <col min="8" max="10" width="5.7265625" style="97" customWidth="1"/>
    <col min="11" max="16384" width="9.1796875" style="97"/>
  </cols>
  <sheetData>
    <row r="1" spans="1:8" ht="12.75" customHeight="1" x14ac:dyDescent="0.35"/>
    <row r="2" spans="1:8" ht="12.75" customHeight="1" x14ac:dyDescent="0.35"/>
    <row r="3" spans="1:8" ht="12.75" customHeight="1" x14ac:dyDescent="0.35">
      <c r="C3" s="97" t="s">
        <v>2</v>
      </c>
    </row>
    <row r="4" spans="1:8" ht="12.75" customHeight="1" x14ac:dyDescent="0.35"/>
    <row r="5" spans="1:8" ht="12.75" customHeight="1" x14ac:dyDescent="0.35">
      <c r="B5" s="97" t="s">
        <v>3</v>
      </c>
      <c r="C5" s="97" t="s">
        <v>4</v>
      </c>
    </row>
    <row r="6" spans="1:8" ht="12.75" customHeight="1" x14ac:dyDescent="0.35"/>
    <row r="7" spans="1:8" ht="12.75" customHeight="1" x14ac:dyDescent="0.35">
      <c r="B7" s="97" t="s">
        <v>5</v>
      </c>
      <c r="C7" s="97" t="s">
        <v>6</v>
      </c>
      <c r="H7" s="97" t="s">
        <v>7</v>
      </c>
    </row>
    <row r="8" spans="1:8" ht="12.75" customHeight="1" x14ac:dyDescent="0.35">
      <c r="C8" s="97" t="s">
        <v>8</v>
      </c>
    </row>
    <row r="9" spans="1:8" ht="12.75" customHeight="1" x14ac:dyDescent="0.35">
      <c r="B9" s="97" t="s">
        <v>9</v>
      </c>
      <c r="C9" s="97" t="s">
        <v>10</v>
      </c>
    </row>
    <row r="10" spans="1:8" ht="12.75" customHeight="1" x14ac:dyDescent="0.35">
      <c r="B10" s="97" t="s">
        <v>11</v>
      </c>
      <c r="C10" s="97" t="s">
        <v>12</v>
      </c>
    </row>
    <row r="11" spans="1:8" ht="12.75" customHeight="1" x14ac:dyDescent="0.35"/>
    <row r="12" spans="1:8" ht="12.75" customHeight="1" x14ac:dyDescent="0.35">
      <c r="C12" s="97" t="s">
        <v>13</v>
      </c>
    </row>
    <row r="13" spans="1:8" ht="12.75" customHeight="1" x14ac:dyDescent="0.35">
      <c r="C13" s="97" t="s">
        <v>14</v>
      </c>
    </row>
    <row r="14" spans="1:8" ht="12.75" customHeight="1" x14ac:dyDescent="0.35"/>
    <row r="15" spans="1:8" ht="12.75" customHeight="1" x14ac:dyDescent="0.35">
      <c r="F15" s="97" t="s">
        <v>15</v>
      </c>
    </row>
    <row r="16" spans="1:8" ht="12.75" customHeight="1" x14ac:dyDescent="0.35">
      <c r="A16" s="97">
        <v>1</v>
      </c>
      <c r="C16" s="97" t="s">
        <v>16</v>
      </c>
      <c r="G16" s="1311" t="str">
        <f>IF(BeginEnd=0,"(in the beginning of period)","(in the end of period)")</f>
        <v>(in the beginning of period)</v>
      </c>
    </row>
    <row r="17" spans="2:7" ht="12.75" customHeight="1" x14ac:dyDescent="0.35">
      <c r="C17" s="97" t="s">
        <v>17</v>
      </c>
      <c r="G17" s="1311" t="str">
        <f>IF(CalcPoint=0,"(in the beginning of period)","(in the end of period)")</f>
        <v>(in the beginning of period)</v>
      </c>
    </row>
    <row r="18" spans="2:7" ht="12.75" customHeight="1" x14ac:dyDescent="0.35">
      <c r="C18" s="97" t="s">
        <v>18</v>
      </c>
      <c r="G18" s="97" t="s">
        <v>19</v>
      </c>
    </row>
    <row r="19" spans="2:7" ht="12.75" customHeight="1" x14ac:dyDescent="0.35"/>
    <row r="20" spans="2:7" ht="12.75" customHeight="1" x14ac:dyDescent="0.35">
      <c r="C20" s="97" t="s">
        <v>20</v>
      </c>
    </row>
    <row r="21" spans="2:7" ht="12.75" customHeight="1" x14ac:dyDescent="0.35">
      <c r="C21" s="97" t="s">
        <v>21</v>
      </c>
    </row>
    <row r="22" spans="2:7" ht="12.75" customHeight="1" x14ac:dyDescent="0.35"/>
    <row r="23" spans="2:7" ht="12.75" customHeight="1" x14ac:dyDescent="0.35">
      <c r="C23" s="97" t="s">
        <v>22</v>
      </c>
      <c r="G23" s="1311" t="str">
        <f>IF(J23="","%  (required rate of return)","%")</f>
        <v>%  (required rate of return)</v>
      </c>
    </row>
    <row r="24" spans="2:7" ht="12.75" customHeight="1" x14ac:dyDescent="0.35">
      <c r="B24" s="97" t="s">
        <v>24</v>
      </c>
      <c r="C24" s="97" t="s">
        <v>25</v>
      </c>
    </row>
    <row r="25" spans="2:7" ht="12.75" customHeight="1" x14ac:dyDescent="0.35"/>
    <row r="26" spans="2:7" ht="12.75" customHeight="1" x14ac:dyDescent="0.35">
      <c r="C26" s="97" t="s">
        <v>26</v>
      </c>
    </row>
    <row r="27" spans="2:7" ht="12.75" customHeight="1" x14ac:dyDescent="0.35">
      <c r="C27" s="97" t="s">
        <v>25</v>
      </c>
    </row>
    <row r="28" spans="2:7" ht="12.75" customHeight="1" x14ac:dyDescent="0.35"/>
    <row r="29" spans="2:7" ht="12.75" customHeight="1" x14ac:dyDescent="0.35"/>
    <row r="30" spans="2:7" ht="12.75" customHeight="1" x14ac:dyDescent="0.35">
      <c r="C30" s="97" t="s">
        <v>28</v>
      </c>
    </row>
    <row r="31" spans="2:7" ht="12.75" customHeight="1" x14ac:dyDescent="0.35"/>
    <row r="32" spans="2:7" ht="12.75" customHeight="1" x14ac:dyDescent="0.35"/>
    <row r="33" spans="3:10" ht="12.75" customHeight="1" x14ac:dyDescent="0.35"/>
    <row r="34" spans="3:10" ht="12.75" customHeight="1" x14ac:dyDescent="0.35"/>
    <row r="35" spans="3:10" ht="12.75" customHeight="1" x14ac:dyDescent="0.35"/>
    <row r="36" spans="3:10" ht="12.75" customHeight="1" x14ac:dyDescent="0.35"/>
    <row r="37" spans="3:10" ht="12.75" customHeight="1" x14ac:dyDescent="0.35"/>
    <row r="38" spans="3:10" ht="12.75" customHeight="1" x14ac:dyDescent="0.35"/>
    <row r="39" spans="3:10" ht="12.75" customHeight="1" x14ac:dyDescent="0.35"/>
    <row r="40" spans="3:10" ht="12.75" customHeight="1" x14ac:dyDescent="0.35"/>
    <row r="41" spans="3:10" ht="12.75" customHeight="1" x14ac:dyDescent="0.35"/>
    <row r="42" spans="3:10" ht="12.75" customHeight="1" x14ac:dyDescent="0.35"/>
    <row r="43" spans="3:10" ht="12.75" customHeight="1" x14ac:dyDescent="0.35"/>
    <row r="44" spans="3:10" ht="12.75" customHeight="1" x14ac:dyDescent="0.35"/>
    <row r="45" spans="3:10" ht="12.75" customHeight="1" x14ac:dyDescent="0.35">
      <c r="C45" s="97" t="s">
        <v>30</v>
      </c>
    </row>
    <row r="46" spans="3:10" ht="12.75" customHeight="1" x14ac:dyDescent="0.35"/>
    <row r="47" spans="3:10" ht="12.75" customHeight="1" x14ac:dyDescent="0.35">
      <c r="C47" s="97" t="s">
        <v>4</v>
      </c>
      <c r="J47" s="1311" t="str">
        <f>"Calculation term: "&amp;FIXED((InvTime+InvTimeMonths/12+InvTime2+InvTimeMonths2/12),1)&amp;" years"</f>
        <v>Calculation term: 5.3 years</v>
      </c>
    </row>
    <row r="48" spans="3:10" ht="12.75" customHeight="1" x14ac:dyDescent="0.35"/>
    <row r="49" spans="3:3" ht="12.75" customHeight="1" x14ac:dyDescent="0.35"/>
    <row r="50" spans="3:3" ht="12.75" customHeight="1" x14ac:dyDescent="0.35">
      <c r="C50" s="97" t="s">
        <v>31</v>
      </c>
    </row>
    <row r="51" spans="3:3" ht="12.75" customHeight="1" x14ac:dyDescent="0.35">
      <c r="C51" s="97" t="s">
        <v>32</v>
      </c>
    </row>
    <row r="52" spans="3:3" ht="12.75" customHeight="1" x14ac:dyDescent="0.35"/>
    <row r="53" spans="3:3" ht="12.75" customHeight="1" x14ac:dyDescent="0.35"/>
    <row r="54" spans="3:3" ht="12.75" customHeight="1" x14ac:dyDescent="0.35"/>
    <row r="55" spans="3:3" ht="12.75" customHeight="1" x14ac:dyDescent="0.35"/>
    <row r="56" spans="3:3" ht="12.75" customHeight="1" x14ac:dyDescent="0.35">
      <c r="C56" s="97" t="s">
        <v>33</v>
      </c>
    </row>
    <row r="57" spans="3:3" ht="12.75" customHeight="1" x14ac:dyDescent="0.35"/>
    <row r="58" spans="3:3" ht="12.75" customHeight="1" x14ac:dyDescent="0.35">
      <c r="C58" s="97" t="s">
        <v>34</v>
      </c>
    </row>
    <row r="59" spans="3:3" ht="12.75" customHeight="1" x14ac:dyDescent="0.35"/>
    <row r="60" spans="3:3" ht="12.75" customHeight="1" x14ac:dyDescent="0.35"/>
    <row r="61" spans="3:3" ht="12.75" customHeight="1" x14ac:dyDescent="0.35"/>
    <row r="69" spans="3:3" x14ac:dyDescent="0.35">
      <c r="C69" s="97" t="s">
        <v>35</v>
      </c>
    </row>
  </sheetData>
  <printOptions gridLines="1"/>
  <pageMargins left="0.75" right="0.75" top="1" bottom="1" header="0.5" footer="0.5"/>
  <pageSetup paperSize="9" orientation="portrait" r:id="rId1"/>
  <headerFooter>
    <oddHeader>&amp;C&amp;A</oddHeader>
    <oddFooter>&amp;CPage &amp;P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pageSetUpPr autoPageBreaks="0"/>
  </sheetPr>
  <dimension ref="A1:J69"/>
  <sheetViews>
    <sheetView workbookViewId="0">
      <selection activeCell="G23" sqref="G23"/>
    </sheetView>
  </sheetViews>
  <sheetFormatPr defaultColWidth="9.1796875" defaultRowHeight="14.5" x14ac:dyDescent="0.35"/>
  <cols>
    <col min="1" max="1" width="2.1796875" style="97" customWidth="1"/>
    <col min="2" max="2" width="7.1796875" style="97" customWidth="1"/>
    <col min="3" max="4" width="5.7265625" style="97" customWidth="1"/>
    <col min="5" max="5" width="13.81640625" style="97" customWidth="1"/>
    <col min="6" max="8" width="10.54296875" style="97" customWidth="1"/>
    <col min="9" max="10" width="5.7265625" style="97" customWidth="1"/>
    <col min="11" max="16384" width="9.1796875" style="97"/>
  </cols>
  <sheetData>
    <row r="1" spans="1:10" ht="12.75" customHeight="1" x14ac:dyDescent="0.35">
      <c r="A1" s="28"/>
      <c r="B1" s="28"/>
      <c r="C1" s="28"/>
      <c r="D1" s="28"/>
      <c r="E1" s="28"/>
      <c r="F1" s="28"/>
      <c r="G1" s="28"/>
      <c r="H1" s="28"/>
      <c r="I1"/>
      <c r="J1"/>
    </row>
    <row r="2" spans="1:10" ht="12.75" customHeight="1" x14ac:dyDescent="0.35">
      <c r="A2" s="28"/>
      <c r="B2" s="28"/>
      <c r="C2" s="28"/>
      <c r="D2" s="28"/>
      <c r="E2" s="28"/>
      <c r="F2" s="28"/>
      <c r="G2" s="28"/>
      <c r="H2" s="28"/>
      <c r="I2"/>
      <c r="J2"/>
    </row>
    <row r="3" spans="1:10" ht="12.75" customHeight="1" x14ac:dyDescent="0.35">
      <c r="A3" s="28"/>
      <c r="B3" s="28"/>
      <c r="C3" s="28" t="s">
        <v>2386</v>
      </c>
      <c r="D3" s="28"/>
      <c r="E3" s="28"/>
      <c r="F3" s="28"/>
      <c r="G3" s="28"/>
      <c r="H3" s="28"/>
      <c r="I3"/>
      <c r="J3"/>
    </row>
    <row r="4" spans="1:10" ht="12.75" customHeight="1" x14ac:dyDescent="0.35">
      <c r="A4" s="28"/>
      <c r="B4" s="28"/>
      <c r="C4" s="28"/>
      <c r="D4" s="28"/>
      <c r="E4" s="28"/>
      <c r="F4" s="28"/>
      <c r="G4" s="28"/>
      <c r="H4" s="28"/>
      <c r="I4"/>
      <c r="J4"/>
    </row>
    <row r="5" spans="1:10" ht="12.75" customHeight="1" x14ac:dyDescent="0.35">
      <c r="A5" s="28"/>
      <c r="B5" s="28" t="s">
        <v>2387</v>
      </c>
      <c r="C5" s="28" t="s">
        <v>2388</v>
      </c>
      <c r="D5" s="28"/>
      <c r="E5" s="28"/>
      <c r="F5" s="28"/>
      <c r="G5" s="28"/>
      <c r="H5" s="28"/>
      <c r="I5"/>
      <c r="J5"/>
    </row>
    <row r="6" spans="1:10" ht="12.75" customHeight="1" x14ac:dyDescent="0.35">
      <c r="A6" s="28"/>
      <c r="B6" s="28"/>
      <c r="C6" s="28"/>
      <c r="D6" s="28"/>
      <c r="E6" s="28"/>
      <c r="F6" s="28"/>
      <c r="G6" s="28"/>
      <c r="H6" s="28"/>
      <c r="I6"/>
      <c r="J6"/>
    </row>
    <row r="7" spans="1:10" ht="12.75" customHeight="1" x14ac:dyDescent="0.35">
      <c r="A7" s="28"/>
      <c r="B7" s="28" t="s">
        <v>2389</v>
      </c>
      <c r="C7" s="28" t="s">
        <v>2390</v>
      </c>
      <c r="D7" s="28"/>
      <c r="E7" s="28"/>
      <c r="F7" s="28"/>
      <c r="G7" s="28"/>
      <c r="H7" s="28" t="s">
        <v>2391</v>
      </c>
      <c r="I7"/>
      <c r="J7"/>
    </row>
    <row r="8" spans="1:10" ht="12.75" customHeight="1" x14ac:dyDescent="0.35">
      <c r="A8" s="28"/>
      <c r="B8" s="28"/>
      <c r="C8" s="28" t="s">
        <v>2392</v>
      </c>
      <c r="D8" s="28"/>
      <c r="E8" s="28"/>
      <c r="F8" s="28"/>
      <c r="G8" s="28"/>
      <c r="H8" s="28"/>
      <c r="I8"/>
      <c r="J8"/>
    </row>
    <row r="9" spans="1:10" ht="12.75" customHeight="1" x14ac:dyDescent="0.35">
      <c r="A9" s="28"/>
      <c r="B9" s="28" t="s">
        <v>2393</v>
      </c>
      <c r="C9" s="28" t="s">
        <v>2394</v>
      </c>
      <c r="D9" s="28"/>
      <c r="E9" s="28"/>
      <c r="F9" s="28"/>
      <c r="G9" s="28"/>
      <c r="H9" s="28"/>
      <c r="I9"/>
      <c r="J9"/>
    </row>
    <row r="10" spans="1:10" ht="12.75" customHeight="1" x14ac:dyDescent="0.35">
      <c r="A10" s="28"/>
      <c r="B10" s="28" t="s">
        <v>2389</v>
      </c>
      <c r="C10" s="103" t="s">
        <v>2395</v>
      </c>
      <c r="D10" s="28"/>
      <c r="E10" s="28"/>
      <c r="F10" s="28"/>
      <c r="G10" s="28"/>
      <c r="H10" s="28"/>
      <c r="I10"/>
      <c r="J10"/>
    </row>
    <row r="11" spans="1:10" ht="12.75" customHeight="1" x14ac:dyDescent="0.35">
      <c r="A11" s="28"/>
      <c r="B11" s="28"/>
      <c r="C11" s="28"/>
      <c r="D11" s="28"/>
      <c r="E11" s="28"/>
      <c r="F11" s="28"/>
      <c r="G11" s="28"/>
      <c r="H11" s="28"/>
      <c r="I11"/>
      <c r="J11"/>
    </row>
    <row r="12" spans="1:10" ht="12.75" customHeight="1" x14ac:dyDescent="0.35">
      <c r="A12" s="28"/>
      <c r="B12" s="28"/>
      <c r="C12" s="28" t="s">
        <v>2396</v>
      </c>
      <c r="D12" s="28"/>
      <c r="E12" s="28"/>
      <c r="F12" s="28"/>
      <c r="G12" s="28"/>
      <c r="H12" s="28"/>
      <c r="I12"/>
      <c r="J12"/>
    </row>
    <row r="13" spans="1:10" ht="12.75" customHeight="1" x14ac:dyDescent="0.35">
      <c r="A13" s="28"/>
      <c r="B13" s="28"/>
      <c r="C13" s="28" t="s">
        <v>2397</v>
      </c>
      <c r="D13" s="28"/>
      <c r="E13" s="28"/>
      <c r="F13" s="28"/>
      <c r="G13" s="28"/>
      <c r="H13" s="28"/>
      <c r="I13"/>
      <c r="J13"/>
    </row>
    <row r="14" spans="1:10" ht="12.75" customHeight="1" x14ac:dyDescent="0.35">
      <c r="A14" s="28"/>
      <c r="B14" s="28"/>
      <c r="C14" s="28"/>
      <c r="D14" s="28"/>
      <c r="E14" s="28"/>
      <c r="F14" s="28"/>
      <c r="G14" s="28"/>
      <c r="H14" s="28"/>
      <c r="I14"/>
      <c r="J14"/>
    </row>
    <row r="15" spans="1:10" ht="12.75" customHeight="1" x14ac:dyDescent="0.35">
      <c r="A15" s="28"/>
      <c r="B15" s="28"/>
      <c r="C15" s="28"/>
      <c r="D15" s="28"/>
      <c r="E15" s="28"/>
      <c r="F15" s="28" t="s">
        <v>2398</v>
      </c>
      <c r="G15" s="28"/>
      <c r="H15" s="28"/>
      <c r="I15"/>
      <c r="J15"/>
    </row>
    <row r="16" spans="1:10" ht="12.75" customHeight="1" x14ac:dyDescent="0.35">
      <c r="A16" s="38">
        <v>2</v>
      </c>
      <c r="B16" s="28"/>
      <c r="C16" s="28" t="s">
        <v>2399</v>
      </c>
      <c r="D16" s="28"/>
      <c r="E16" s="28"/>
      <c r="F16" s="28"/>
      <c r="G16" s="28" t="str">
        <f>IF(BeginEnd=0,"(kauden alussa)","(kauden lopussa)")</f>
        <v>(kauden alussa)</v>
      </c>
      <c r="H16" s="28"/>
      <c r="I16"/>
      <c r="J16"/>
    </row>
    <row r="17" spans="1:10" ht="12.75" customHeight="1" x14ac:dyDescent="0.35">
      <c r="A17" s="28"/>
      <c r="B17" s="28"/>
      <c r="C17" s="28" t="s">
        <v>2400</v>
      </c>
      <c r="D17" s="28"/>
      <c r="E17" s="28"/>
      <c r="F17" s="28"/>
      <c r="G17" s="28" t="str">
        <f>IF(CalcPoint=0,"(kauden alussa)","(kauden lopussa)")</f>
        <v>(kauden alussa)</v>
      </c>
      <c r="H17" s="28"/>
      <c r="I17"/>
      <c r="J17"/>
    </row>
    <row r="18" spans="1:10" ht="12.75" customHeight="1" x14ac:dyDescent="0.35">
      <c r="A18" s="28"/>
      <c r="B18" s="28"/>
      <c r="C18" s="28" t="s">
        <v>2401</v>
      </c>
      <c r="D18" s="28"/>
      <c r="E18" s="28"/>
      <c r="F18" s="28"/>
      <c r="G18" s="28" t="s">
        <v>2402</v>
      </c>
      <c r="H18" s="28"/>
      <c r="I18"/>
      <c r="J18"/>
    </row>
    <row r="19" spans="1:10" ht="12.75" customHeight="1" x14ac:dyDescent="0.35">
      <c r="A19" s="28"/>
      <c r="B19" s="28"/>
      <c r="C19" s="28"/>
      <c r="D19" s="28"/>
      <c r="E19" s="28"/>
      <c r="F19" s="28"/>
      <c r="G19" s="28"/>
      <c r="H19" s="28"/>
      <c r="I19"/>
      <c r="J19"/>
    </row>
    <row r="20" spans="1:10" ht="12.75" customHeight="1" x14ac:dyDescent="0.35">
      <c r="A20" s="28"/>
      <c r="B20" s="28"/>
      <c r="C20" s="28" t="s">
        <v>2403</v>
      </c>
      <c r="D20" s="28"/>
      <c r="E20" s="28"/>
      <c r="F20" s="28"/>
      <c r="G20" s="28"/>
      <c r="H20" s="28"/>
      <c r="I20"/>
      <c r="J20"/>
    </row>
    <row r="21" spans="1:10" ht="12.75" customHeight="1" x14ac:dyDescent="0.35">
      <c r="A21" s="28"/>
      <c r="B21" s="28"/>
      <c r="C21" s="28" t="s">
        <v>2404</v>
      </c>
      <c r="D21" s="28"/>
      <c r="E21" s="28"/>
      <c r="F21" s="28"/>
      <c r="G21" s="28"/>
      <c r="H21" s="28"/>
      <c r="I21"/>
      <c r="J21"/>
    </row>
    <row r="22" spans="1:10" ht="12.75" customHeight="1" x14ac:dyDescent="0.35">
      <c r="A22" s="28"/>
      <c r="B22" s="28"/>
      <c r="C22" s="28"/>
      <c r="D22" s="28"/>
      <c r="E22" s="28"/>
      <c r="F22" s="28"/>
      <c r="G22" s="28"/>
      <c r="H22" s="28"/>
      <c r="I22"/>
      <c r="J22"/>
    </row>
    <row r="23" spans="1:10" ht="12.75" customHeight="1" x14ac:dyDescent="0.35">
      <c r="A23" s="28"/>
      <c r="B23" s="28"/>
      <c r="C23" s="28" t="s">
        <v>2405</v>
      </c>
      <c r="D23" s="28"/>
      <c r="E23" s="28"/>
      <c r="F23" s="28"/>
      <c r="G23" s="28" t="str">
        <f>IF(J23="","%  ( = pääoman tuottovaatimus )","%")</f>
        <v>%  ( = pääoman tuottovaatimus )</v>
      </c>
      <c r="H23" s="28"/>
      <c r="I23"/>
      <c r="J23"/>
    </row>
    <row r="24" spans="1:10" ht="12.75" customHeight="1" x14ac:dyDescent="0.35">
      <c r="A24" s="28"/>
      <c r="B24" s="28" t="s">
        <v>2406</v>
      </c>
      <c r="C24" s="28" t="s">
        <v>2407</v>
      </c>
      <c r="D24" s="28"/>
      <c r="E24" s="28"/>
      <c r="F24" s="28"/>
      <c r="G24" s="28"/>
      <c r="H24" s="28"/>
      <c r="I24"/>
      <c r="J24"/>
    </row>
    <row r="25" spans="1:10" ht="12.75" customHeight="1" x14ac:dyDescent="0.35">
      <c r="A25" s="28"/>
      <c r="B25" s="28"/>
      <c r="C25" s="28"/>
      <c r="D25" s="28"/>
      <c r="E25" s="28"/>
      <c r="F25" s="28"/>
      <c r="G25" s="28"/>
      <c r="H25" s="28"/>
      <c r="I25"/>
      <c r="J25"/>
    </row>
    <row r="26" spans="1:10" ht="12.75" customHeight="1" x14ac:dyDescent="0.35">
      <c r="A26" s="28"/>
      <c r="B26" s="28"/>
      <c r="C26" s="28" t="s">
        <v>2408</v>
      </c>
      <c r="D26" s="28"/>
      <c r="E26" s="28"/>
      <c r="F26" s="28"/>
      <c r="G26" s="28"/>
      <c r="H26" s="28"/>
      <c r="I26"/>
      <c r="J26"/>
    </row>
    <row r="27" spans="1:10" ht="12.75" customHeight="1" x14ac:dyDescent="0.35">
      <c r="A27" s="28"/>
      <c r="B27" s="28"/>
      <c r="C27" s="28" t="s">
        <v>2407</v>
      </c>
      <c r="D27" s="28"/>
      <c r="E27" s="28"/>
      <c r="F27" s="28"/>
      <c r="G27" s="28"/>
      <c r="H27" s="28"/>
      <c r="I27"/>
      <c r="J27"/>
    </row>
    <row r="28" spans="1:10" ht="12.75" customHeight="1" x14ac:dyDescent="0.35">
      <c r="A28" s="28"/>
      <c r="B28" s="28"/>
      <c r="C28" s="28"/>
      <c r="D28" s="28"/>
      <c r="E28" s="28"/>
      <c r="F28" s="28"/>
      <c r="G28" s="28"/>
      <c r="H28" s="28"/>
      <c r="I28"/>
      <c r="J28"/>
    </row>
    <row r="29" spans="1:10" ht="12.75" customHeight="1" x14ac:dyDescent="0.35">
      <c r="A29" s="28"/>
      <c r="B29" s="28"/>
      <c r="C29" s="28"/>
      <c r="D29" s="28"/>
      <c r="E29" s="28"/>
      <c r="F29" s="28"/>
      <c r="G29" s="28"/>
      <c r="H29" s="28"/>
      <c r="I29"/>
      <c r="J29"/>
    </row>
    <row r="30" spans="1:10" ht="12.75" customHeight="1" x14ac:dyDescent="0.35">
      <c r="A30" s="28"/>
      <c r="B30" s="28"/>
      <c r="C30" s="28" t="s">
        <v>2409</v>
      </c>
      <c r="D30" s="28"/>
      <c r="E30" s="28"/>
      <c r="F30" s="28"/>
      <c r="G30" s="28"/>
      <c r="H30" s="28"/>
      <c r="I30"/>
      <c r="J30"/>
    </row>
    <row r="31" spans="1:10" ht="12.75" customHeight="1" x14ac:dyDescent="0.35">
      <c r="A31" s="28"/>
      <c r="B31" s="28"/>
      <c r="C31" s="28"/>
      <c r="D31" s="28"/>
      <c r="E31" s="28"/>
      <c r="F31" s="28"/>
      <c r="G31" s="28"/>
      <c r="H31" s="28"/>
      <c r="I31"/>
      <c r="J31"/>
    </row>
    <row r="32" spans="1:10" ht="12.75" customHeight="1" x14ac:dyDescent="0.35">
      <c r="A32" s="28"/>
      <c r="B32" s="28"/>
      <c r="C32" s="28"/>
      <c r="D32" s="28"/>
      <c r="E32" s="28"/>
      <c r="F32" s="28"/>
      <c r="G32" s="28"/>
      <c r="H32" s="28"/>
      <c r="I32"/>
      <c r="J32"/>
    </row>
    <row r="33" spans="1:10" ht="12.75" customHeight="1" x14ac:dyDescent="0.35">
      <c r="A33" s="28"/>
      <c r="B33" s="28"/>
      <c r="C33" s="28"/>
      <c r="D33" s="28"/>
      <c r="E33" s="28"/>
      <c r="F33" s="28"/>
      <c r="G33" s="28"/>
      <c r="H33" s="28"/>
      <c r="I33"/>
      <c r="J33"/>
    </row>
    <row r="34" spans="1:10" ht="12.75" customHeight="1" x14ac:dyDescent="0.35">
      <c r="A34" s="28"/>
      <c r="B34" s="28"/>
      <c r="C34" s="28"/>
      <c r="D34" s="28"/>
      <c r="E34" s="28"/>
      <c r="F34" s="28"/>
      <c r="G34" s="28"/>
      <c r="H34" s="28"/>
      <c r="I34"/>
      <c r="J34"/>
    </row>
    <row r="35" spans="1:10" ht="12.75" customHeight="1" x14ac:dyDescent="0.35">
      <c r="A35" s="28"/>
      <c r="B35" s="28"/>
      <c r="C35" s="28"/>
      <c r="D35" s="28"/>
      <c r="E35" s="28"/>
      <c r="F35" s="28"/>
      <c r="G35" s="28"/>
      <c r="H35" s="28"/>
      <c r="I35"/>
      <c r="J35"/>
    </row>
    <row r="36" spans="1:10" ht="12.75" customHeight="1" x14ac:dyDescent="0.35">
      <c r="A36" s="28"/>
      <c r="B36" s="28"/>
      <c r="C36" s="28"/>
      <c r="D36" s="28"/>
      <c r="E36" s="28"/>
      <c r="F36" s="28"/>
      <c r="G36" s="28"/>
      <c r="H36" s="28"/>
      <c r="I36"/>
      <c r="J36"/>
    </row>
    <row r="37" spans="1:10" ht="12.75" customHeight="1" x14ac:dyDescent="0.35">
      <c r="A37" s="28"/>
      <c r="B37" s="28"/>
      <c r="C37" s="28"/>
      <c r="D37" s="28"/>
      <c r="E37" s="28"/>
      <c r="F37" s="28"/>
      <c r="G37" s="28"/>
      <c r="H37" s="28"/>
      <c r="I37"/>
      <c r="J37"/>
    </row>
    <row r="38" spans="1:10" ht="12.75" customHeight="1" x14ac:dyDescent="0.35">
      <c r="A38" s="28"/>
      <c r="B38" s="28"/>
      <c r="C38" s="28"/>
      <c r="D38" s="28"/>
      <c r="E38" s="28"/>
      <c r="F38" s="28"/>
      <c r="G38" s="28"/>
      <c r="H38" s="28"/>
      <c r="I38"/>
      <c r="J38"/>
    </row>
    <row r="39" spans="1:10" ht="12.75" customHeight="1" x14ac:dyDescent="0.35">
      <c r="A39" s="28"/>
      <c r="B39" s="28"/>
      <c r="C39" s="28"/>
      <c r="D39" s="28"/>
      <c r="E39" s="28"/>
      <c r="F39" s="28"/>
      <c r="G39" s="28"/>
      <c r="H39" s="28"/>
      <c r="I39"/>
      <c r="J39"/>
    </row>
    <row r="40" spans="1:10" ht="12.75" customHeight="1" x14ac:dyDescent="0.35">
      <c r="A40" s="28"/>
      <c r="B40" s="28"/>
      <c r="C40" s="28"/>
      <c r="D40" s="28"/>
      <c r="E40" s="28"/>
      <c r="F40" s="28"/>
      <c r="G40" s="28"/>
      <c r="H40" s="28"/>
      <c r="I40"/>
      <c r="J40"/>
    </row>
    <row r="41" spans="1:10" ht="12.75" customHeight="1" x14ac:dyDescent="0.35">
      <c r="A41" s="28"/>
      <c r="B41" s="28"/>
      <c r="C41" s="28"/>
      <c r="D41" s="28"/>
      <c r="E41" s="28"/>
      <c r="F41" s="28"/>
      <c r="G41" s="28"/>
      <c r="H41" s="28"/>
      <c r="I41"/>
      <c r="J41"/>
    </row>
    <row r="42" spans="1:10" ht="12.75" customHeight="1" x14ac:dyDescent="0.35">
      <c r="A42" s="28"/>
      <c r="B42" s="28"/>
      <c r="C42" s="28"/>
      <c r="D42" s="28"/>
      <c r="E42" s="28"/>
      <c r="F42" s="28"/>
      <c r="G42" s="28"/>
      <c r="H42" s="28"/>
      <c r="I42"/>
      <c r="J42"/>
    </row>
    <row r="43" spans="1:10" ht="12.75" customHeight="1" x14ac:dyDescent="0.35">
      <c r="A43" s="28"/>
      <c r="B43" s="28"/>
      <c r="C43" s="28"/>
      <c r="D43" s="28"/>
      <c r="E43" s="28"/>
      <c r="F43" s="28"/>
      <c r="G43" s="28"/>
      <c r="H43" s="28"/>
      <c r="I43"/>
      <c r="J43"/>
    </row>
    <row r="44" spans="1:10" ht="12.75" customHeight="1" x14ac:dyDescent="0.35">
      <c r="A44" s="28"/>
      <c r="B44" s="28"/>
      <c r="C44" s="28"/>
      <c r="D44" s="28"/>
      <c r="E44" s="28"/>
      <c r="F44" s="28"/>
      <c r="G44" s="28"/>
      <c r="H44" s="28"/>
      <c r="I44"/>
      <c r="J44"/>
    </row>
    <row r="45" spans="1:10" ht="12.75" customHeight="1" x14ac:dyDescent="0.35">
      <c r="A45" s="28"/>
      <c r="B45" s="28"/>
      <c r="C45" s="28" t="s">
        <v>2410</v>
      </c>
      <c r="D45" s="28"/>
      <c r="E45" s="28"/>
      <c r="F45" s="28"/>
      <c r="G45" s="28"/>
      <c r="H45" s="28"/>
      <c r="I45"/>
      <c r="J45"/>
    </row>
    <row r="46" spans="1:10" ht="12.75" customHeight="1" x14ac:dyDescent="0.35">
      <c r="A46" s="28"/>
      <c r="B46" s="28"/>
      <c r="C46" s="28"/>
      <c r="D46" s="28"/>
      <c r="E46" s="28"/>
      <c r="F46" s="28"/>
      <c r="G46" s="28"/>
      <c r="H46" s="28"/>
      <c r="I46"/>
      <c r="J46"/>
    </row>
    <row r="47" spans="1:10" ht="12.75" customHeight="1" x14ac:dyDescent="0.35">
      <c r="A47" s="28"/>
      <c r="B47" s="28"/>
      <c r="C47" s="28" t="s">
        <v>2388</v>
      </c>
      <c r="D47" s="28"/>
      <c r="E47" s="28"/>
      <c r="F47" s="28"/>
      <c r="G47" s="28"/>
      <c r="H47"/>
      <c r="I47"/>
      <c r="J47" s="28" t="str">
        <f>"Tarkasteluaika: "&amp;FIXED((InvTime+InvTimeMonths/12+InvTime2+InvTimeMonths2/12),1)&amp;" v."</f>
        <v>Tarkasteluaika: 5.3 v.</v>
      </c>
    </row>
    <row r="48" spans="1:10" ht="12.75" customHeight="1" x14ac:dyDescent="0.35">
      <c r="A48" s="28"/>
      <c r="B48" s="28"/>
      <c r="C48" s="28"/>
      <c r="D48" s="28"/>
      <c r="E48" s="28"/>
      <c r="F48" s="28"/>
      <c r="G48" s="28"/>
      <c r="H48" s="28"/>
      <c r="I48"/>
      <c r="J48"/>
    </row>
    <row r="49" spans="1:10" ht="12.75" customHeight="1" x14ac:dyDescent="0.35">
      <c r="A49" s="28"/>
      <c r="B49" s="28"/>
      <c r="C49" s="28"/>
      <c r="D49" s="28"/>
      <c r="E49" s="28"/>
      <c r="F49" s="28"/>
      <c r="G49" s="28"/>
      <c r="H49" s="28"/>
      <c r="I49"/>
      <c r="J49"/>
    </row>
    <row r="50" spans="1:10" ht="12.75" customHeight="1" x14ac:dyDescent="0.35">
      <c r="A50" s="28"/>
      <c r="B50" s="28"/>
      <c r="C50" s="28" t="s">
        <v>2411</v>
      </c>
      <c r="D50" s="28"/>
      <c r="E50" s="28"/>
      <c r="F50" s="28"/>
      <c r="G50" s="28"/>
      <c r="H50" s="28"/>
      <c r="I50"/>
      <c r="J50"/>
    </row>
    <row r="51" spans="1:10" ht="12.75" customHeight="1" x14ac:dyDescent="0.35">
      <c r="A51" s="28"/>
      <c r="B51" s="28"/>
      <c r="C51" s="28" t="s">
        <v>2412</v>
      </c>
      <c r="D51" s="28"/>
      <c r="E51" s="28"/>
      <c r="F51" s="28"/>
      <c r="G51" s="28"/>
      <c r="H51" s="28"/>
      <c r="I51"/>
      <c r="J51"/>
    </row>
    <row r="52" spans="1:10" ht="12.75" customHeight="1" x14ac:dyDescent="0.35">
      <c r="A52" s="28"/>
      <c r="B52" s="28"/>
      <c r="C52" s="28"/>
      <c r="D52" s="28"/>
      <c r="E52" s="28"/>
      <c r="F52" s="28"/>
      <c r="G52" s="28"/>
      <c r="H52" s="28"/>
      <c r="I52"/>
      <c r="J52"/>
    </row>
    <row r="53" spans="1:10" ht="12.75" customHeight="1" x14ac:dyDescent="0.35">
      <c r="A53" s="28"/>
      <c r="B53" s="28"/>
      <c r="C53" s="28"/>
      <c r="D53" s="28"/>
      <c r="E53" s="28"/>
      <c r="F53" s="28"/>
      <c r="G53" s="28"/>
      <c r="H53" s="28"/>
      <c r="I53"/>
      <c r="J53"/>
    </row>
    <row r="54" spans="1:10" ht="12.75" customHeight="1" x14ac:dyDescent="0.35">
      <c r="A54" s="28"/>
      <c r="B54" s="28"/>
      <c r="D54" s="28"/>
      <c r="E54" s="28"/>
      <c r="F54" s="28"/>
      <c r="G54" s="28"/>
      <c r="H54" s="28"/>
      <c r="I54"/>
      <c r="J54"/>
    </row>
    <row r="55" spans="1:10" ht="12.75" customHeight="1" x14ac:dyDescent="0.35">
      <c r="A55" s="28"/>
      <c r="B55" s="28"/>
      <c r="D55" s="28"/>
      <c r="E55" s="28"/>
      <c r="F55" s="28"/>
      <c r="G55" s="28"/>
      <c r="H55" s="28"/>
      <c r="I55"/>
      <c r="J55"/>
    </row>
    <row r="56" spans="1:10" ht="12.75" customHeight="1" x14ac:dyDescent="0.35">
      <c r="A56" s="28"/>
      <c r="B56" s="28"/>
      <c r="C56" s="28" t="s">
        <v>2413</v>
      </c>
      <c r="D56" s="28"/>
      <c r="E56" s="28"/>
      <c r="F56" s="28"/>
      <c r="G56" s="28"/>
      <c r="H56" s="28"/>
      <c r="I56"/>
      <c r="J56"/>
    </row>
    <row r="57" spans="1:10" ht="12.75" customHeight="1" x14ac:dyDescent="0.35">
      <c r="A57" s="28"/>
      <c r="B57" s="28"/>
      <c r="C57" s="28"/>
      <c r="D57" s="28"/>
      <c r="E57" s="28"/>
      <c r="F57" s="28"/>
      <c r="G57" s="28"/>
      <c r="H57" s="28"/>
      <c r="I57"/>
      <c r="J57"/>
    </row>
    <row r="58" spans="1:10" ht="12.75" customHeight="1" x14ac:dyDescent="0.35">
      <c r="A58" s="28"/>
      <c r="B58" s="28"/>
      <c r="C58" s="28" t="s">
        <v>2414</v>
      </c>
      <c r="D58" s="28"/>
      <c r="E58" s="28"/>
      <c r="F58" s="28"/>
      <c r="G58" s="28"/>
      <c r="H58" s="28"/>
      <c r="I58"/>
      <c r="J58"/>
    </row>
    <row r="59" spans="1:10" ht="12.75" customHeight="1" x14ac:dyDescent="0.35">
      <c r="A59" s="28"/>
      <c r="B59" s="28"/>
      <c r="C59" s="28"/>
      <c r="D59" s="28"/>
      <c r="E59" s="28"/>
      <c r="F59" s="28"/>
      <c r="G59" s="28"/>
      <c r="H59" s="28"/>
      <c r="I59"/>
      <c r="J59"/>
    </row>
    <row r="60" spans="1:10" ht="12.75" customHeight="1" x14ac:dyDescent="0.35">
      <c r="A60" s="28"/>
      <c r="B60" s="28"/>
      <c r="C60" s="28"/>
      <c r="D60" s="28"/>
      <c r="E60" s="28"/>
      <c r="F60" s="28"/>
      <c r="G60" s="28"/>
      <c r="H60" s="28"/>
      <c r="I60"/>
      <c r="J60"/>
    </row>
    <row r="61" spans="1:10" ht="12.75" customHeight="1" x14ac:dyDescent="0.35">
      <c r="A61" s="28"/>
      <c r="B61" s="28"/>
      <c r="C61" s="28"/>
      <c r="D61" s="28"/>
      <c r="E61" s="28"/>
      <c r="F61" s="28"/>
      <c r="G61" s="28"/>
      <c r="H61" s="28"/>
      <c r="I61"/>
      <c r="J61"/>
    </row>
    <row r="62" spans="1:10" ht="12.75" customHeight="1" x14ac:dyDescent="0.35">
      <c r="A62" s="28"/>
      <c r="B62" s="28"/>
      <c r="C62" s="28"/>
      <c r="D62" s="28"/>
      <c r="E62" s="28"/>
      <c r="F62" s="28"/>
      <c r="G62" s="28"/>
      <c r="H62" s="28"/>
      <c r="I62"/>
      <c r="J62"/>
    </row>
    <row r="63" spans="1:10" ht="12.75" customHeight="1" x14ac:dyDescent="0.35">
      <c r="A63" s="28"/>
      <c r="B63" s="28"/>
      <c r="D63" s="28"/>
      <c r="E63" s="28"/>
      <c r="F63" s="28"/>
      <c r="G63" s="28"/>
      <c r="H63" s="28"/>
      <c r="I63"/>
      <c r="J63"/>
    </row>
    <row r="69" spans="3:3" x14ac:dyDescent="0.35">
      <c r="C69" s="28" t="s">
        <v>2415</v>
      </c>
    </row>
  </sheetData>
  <printOptions gridLines="1"/>
  <pageMargins left="0.75" right="0.75" top="1" bottom="1" header="0.5" footer="0.5"/>
  <pageSetup paperSize="9" orientation="portrait" r:id="rId1"/>
  <headerFooter>
    <oddHeader>&amp;C&amp;A</oddHeader>
    <oddFooter>&amp;CPage &amp;P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pageSetUpPr autoPageBreaks="0"/>
  </sheetPr>
  <dimension ref="A1:J69"/>
  <sheetViews>
    <sheetView workbookViewId="0">
      <selection activeCell="G23" sqref="G23"/>
    </sheetView>
  </sheetViews>
  <sheetFormatPr defaultColWidth="9.1796875" defaultRowHeight="14.5" x14ac:dyDescent="0.35"/>
  <cols>
    <col min="1" max="1" width="2.1796875" style="97" customWidth="1"/>
    <col min="2" max="2" width="6" style="97" customWidth="1"/>
    <col min="3" max="4" width="5.7265625" style="97" customWidth="1"/>
    <col min="5" max="5" width="14.453125" style="97" customWidth="1"/>
    <col min="6" max="8" width="10.26953125" style="97" customWidth="1"/>
    <col min="9" max="10" width="5.7265625" style="97" customWidth="1"/>
    <col min="11" max="16384" width="9.1796875" style="97"/>
  </cols>
  <sheetData>
    <row r="1" spans="1:10" ht="12.75" customHeight="1" x14ac:dyDescent="0.35">
      <c r="A1" s="28"/>
      <c r="B1" s="28"/>
      <c r="C1" s="28"/>
      <c r="D1" s="28"/>
      <c r="E1" s="28"/>
      <c r="F1" s="28"/>
      <c r="G1" s="28"/>
      <c r="H1" s="28"/>
      <c r="I1"/>
      <c r="J1"/>
    </row>
    <row r="2" spans="1:10" ht="12.75" customHeight="1" x14ac:dyDescent="0.35">
      <c r="A2" s="28"/>
      <c r="B2" s="28"/>
      <c r="C2" s="28"/>
      <c r="D2" s="28"/>
      <c r="E2" s="28"/>
      <c r="F2" s="28"/>
      <c r="G2" s="28"/>
      <c r="H2" s="28"/>
      <c r="I2"/>
      <c r="J2"/>
    </row>
    <row r="3" spans="1:10" ht="12.75" customHeight="1" x14ac:dyDescent="0.35">
      <c r="A3" s="28"/>
      <c r="B3" s="28"/>
      <c r="C3" s="28" t="s">
        <v>2416</v>
      </c>
      <c r="D3" s="28"/>
      <c r="E3" s="28"/>
      <c r="F3" s="28"/>
      <c r="G3" s="28"/>
      <c r="H3" s="28"/>
      <c r="I3"/>
      <c r="J3"/>
    </row>
    <row r="4" spans="1:10" ht="12.75" customHeight="1" x14ac:dyDescent="0.35">
      <c r="A4" s="28"/>
      <c r="B4" s="28"/>
      <c r="C4" s="28"/>
      <c r="D4" s="28"/>
      <c r="E4" s="28"/>
      <c r="F4" s="28"/>
      <c r="G4" s="28"/>
      <c r="H4" s="28"/>
      <c r="I4"/>
      <c r="J4"/>
    </row>
    <row r="5" spans="1:10" ht="12.75" customHeight="1" x14ac:dyDescent="0.35">
      <c r="A5" s="28"/>
      <c r="B5" s="28" t="s">
        <v>2417</v>
      </c>
      <c r="C5" s="28" t="s">
        <v>2418</v>
      </c>
      <c r="D5" s="28"/>
      <c r="E5" s="28"/>
      <c r="F5" s="28"/>
      <c r="G5" s="28"/>
      <c r="H5" s="28"/>
      <c r="I5"/>
      <c r="J5"/>
    </row>
    <row r="6" spans="1:10" ht="12.75" customHeight="1" x14ac:dyDescent="0.35">
      <c r="A6" s="28"/>
      <c r="B6" s="28"/>
      <c r="C6" s="28"/>
      <c r="D6" s="28"/>
      <c r="E6" s="28"/>
      <c r="F6" s="28"/>
      <c r="G6" s="28"/>
      <c r="H6" s="28"/>
      <c r="I6"/>
      <c r="J6"/>
    </row>
    <row r="7" spans="1:10" ht="12.75" customHeight="1" x14ac:dyDescent="0.35">
      <c r="A7" s="28"/>
      <c r="B7" s="28" t="s">
        <v>2419</v>
      </c>
      <c r="C7" s="28" t="s">
        <v>2420</v>
      </c>
      <c r="D7" s="28"/>
      <c r="E7" s="28"/>
      <c r="F7" s="28"/>
      <c r="G7" s="28"/>
      <c r="H7" s="28" t="s">
        <v>2421</v>
      </c>
      <c r="I7"/>
      <c r="J7"/>
    </row>
    <row r="8" spans="1:10" ht="12.75" customHeight="1" x14ac:dyDescent="0.35">
      <c r="A8" s="28"/>
      <c r="B8" s="28"/>
      <c r="C8" s="28" t="s">
        <v>2422</v>
      </c>
      <c r="D8" s="28"/>
      <c r="E8" s="28"/>
      <c r="F8" s="28"/>
      <c r="G8" s="28"/>
      <c r="H8" s="28"/>
      <c r="I8"/>
      <c r="J8"/>
    </row>
    <row r="9" spans="1:10" ht="12.75" customHeight="1" x14ac:dyDescent="0.35">
      <c r="A9" s="28"/>
      <c r="B9" s="28" t="s">
        <v>2417</v>
      </c>
      <c r="C9" s="28" t="s">
        <v>2423</v>
      </c>
      <c r="D9" s="28"/>
      <c r="E9" s="28"/>
      <c r="F9" s="28"/>
      <c r="G9" s="28"/>
      <c r="H9" s="28"/>
      <c r="I9"/>
      <c r="J9"/>
    </row>
    <row r="10" spans="1:10" ht="12.75" customHeight="1" x14ac:dyDescent="0.35">
      <c r="A10" s="28"/>
      <c r="B10" s="28" t="s">
        <v>2424</v>
      </c>
      <c r="C10" s="103" t="s">
        <v>2425</v>
      </c>
      <c r="D10" s="28"/>
      <c r="E10" s="28"/>
      <c r="F10" s="28"/>
      <c r="G10" s="28"/>
      <c r="H10" s="28"/>
      <c r="I10"/>
      <c r="J10"/>
    </row>
    <row r="11" spans="1:10" ht="12.75" customHeight="1" x14ac:dyDescent="0.35">
      <c r="A11" s="28"/>
      <c r="B11" s="28"/>
      <c r="C11" s="28"/>
      <c r="D11" s="28"/>
      <c r="E11" s="28"/>
      <c r="F11" s="28"/>
      <c r="G11" s="28"/>
      <c r="H11" s="28"/>
      <c r="I11"/>
      <c r="J11"/>
    </row>
    <row r="12" spans="1:10" ht="12.75" customHeight="1" x14ac:dyDescent="0.35">
      <c r="A12" s="28"/>
      <c r="B12" s="28"/>
      <c r="C12" s="28" t="s">
        <v>2426</v>
      </c>
      <c r="D12" s="28"/>
      <c r="E12" s="28"/>
      <c r="F12" s="28"/>
      <c r="G12" s="28"/>
      <c r="H12" s="28"/>
      <c r="I12"/>
      <c r="J12"/>
    </row>
    <row r="13" spans="1:10" ht="12.75" customHeight="1" x14ac:dyDescent="0.35">
      <c r="A13" s="28"/>
      <c r="B13" s="28"/>
      <c r="C13" s="28" t="s">
        <v>2427</v>
      </c>
      <c r="D13" s="28"/>
      <c r="E13" s="28"/>
      <c r="F13" s="28"/>
      <c r="G13" s="28"/>
      <c r="H13" s="28"/>
      <c r="I13"/>
      <c r="J13"/>
    </row>
    <row r="14" spans="1:10" ht="12.75" customHeight="1" x14ac:dyDescent="0.35">
      <c r="A14" s="28"/>
      <c r="B14" s="28"/>
      <c r="C14" s="28"/>
      <c r="D14" s="28"/>
      <c r="E14" s="28"/>
      <c r="F14" s="28"/>
      <c r="G14" s="28"/>
      <c r="H14" s="28"/>
      <c r="I14"/>
      <c r="J14"/>
    </row>
    <row r="15" spans="1:10" ht="12.75" customHeight="1" x14ac:dyDescent="0.35">
      <c r="A15" s="28"/>
      <c r="B15" s="28"/>
      <c r="C15" s="28"/>
      <c r="D15" s="28"/>
      <c r="E15" s="28"/>
      <c r="F15" s="28" t="s">
        <v>2428</v>
      </c>
      <c r="G15" s="28"/>
      <c r="H15" s="28"/>
      <c r="I15"/>
      <c r="J15"/>
    </row>
    <row r="16" spans="1:10" ht="12.75" customHeight="1" x14ac:dyDescent="0.35">
      <c r="A16" s="38">
        <v>3</v>
      </c>
      <c r="B16" s="28"/>
      <c r="C16" s="28" t="s">
        <v>2429</v>
      </c>
      <c r="D16" s="28"/>
      <c r="E16" s="28"/>
      <c r="F16" s="28"/>
      <c r="G16" s="28" t="str">
        <f>IF(BeginEnd=0,"(i början av perioden)","(i slutet av perioden)")</f>
        <v>(i början av perioden)</v>
      </c>
      <c r="H16" s="28"/>
      <c r="I16"/>
      <c r="J16"/>
    </row>
    <row r="17" spans="1:10" ht="12.75" customHeight="1" x14ac:dyDescent="0.35">
      <c r="A17" s="28"/>
      <c r="B17" s="28"/>
      <c r="C17" s="28" t="s">
        <v>2430</v>
      </c>
      <c r="D17" s="28"/>
      <c r="E17" s="28"/>
      <c r="F17" s="28"/>
      <c r="G17" s="28" t="str">
        <f>IF(CalcPoint=0,"(i början av perioden)","(i slutet av perioden)")</f>
        <v>(i början av perioden)</v>
      </c>
      <c r="H17" s="28"/>
      <c r="I17"/>
      <c r="J17"/>
    </row>
    <row r="18" spans="1:10" ht="12.75" customHeight="1" x14ac:dyDescent="0.35">
      <c r="A18" s="28"/>
      <c r="B18" s="28"/>
      <c r="C18" s="28" t="s">
        <v>2431</v>
      </c>
      <c r="D18" s="28"/>
      <c r="E18" s="28"/>
      <c r="F18" s="28"/>
      <c r="G18" s="28" t="s">
        <v>2432</v>
      </c>
      <c r="H18" s="28"/>
      <c r="I18"/>
      <c r="J18"/>
    </row>
    <row r="19" spans="1:10" ht="12.75" customHeight="1" x14ac:dyDescent="0.35">
      <c r="A19" s="28"/>
      <c r="B19" s="28"/>
      <c r="C19" s="28"/>
      <c r="D19" s="28"/>
      <c r="E19" s="28"/>
      <c r="F19" s="28"/>
      <c r="G19" s="28"/>
      <c r="H19" s="28"/>
      <c r="I19"/>
      <c r="J19"/>
    </row>
    <row r="20" spans="1:10" ht="12.75" customHeight="1" x14ac:dyDescent="0.35">
      <c r="A20" s="28"/>
      <c r="B20" s="28"/>
      <c r="C20" s="28" t="s">
        <v>2433</v>
      </c>
      <c r="D20" s="28"/>
      <c r="E20" s="28"/>
      <c r="F20" s="28"/>
      <c r="G20" s="28"/>
      <c r="H20" s="28"/>
      <c r="I20"/>
      <c r="J20"/>
    </row>
    <row r="21" spans="1:10" ht="12.75" customHeight="1" x14ac:dyDescent="0.35">
      <c r="A21" s="28"/>
      <c r="B21" s="28"/>
      <c r="C21" s="28" t="s">
        <v>2434</v>
      </c>
      <c r="D21" s="28"/>
      <c r="E21" s="28"/>
      <c r="F21" s="28"/>
      <c r="G21" s="28"/>
      <c r="H21" s="28"/>
      <c r="I21"/>
      <c r="J21"/>
    </row>
    <row r="22" spans="1:10" ht="12.75" customHeight="1" x14ac:dyDescent="0.35">
      <c r="A22" s="28"/>
      <c r="B22" s="28"/>
      <c r="C22" s="28"/>
      <c r="D22" s="28"/>
      <c r="E22" s="28"/>
      <c r="F22" s="28"/>
      <c r="G22" s="28"/>
      <c r="H22" s="28"/>
      <c r="I22"/>
      <c r="J22"/>
    </row>
    <row r="23" spans="1:10" ht="12.75" customHeight="1" x14ac:dyDescent="0.35">
      <c r="A23" s="28"/>
      <c r="B23" s="28"/>
      <c r="C23" s="28" t="s">
        <v>2435</v>
      </c>
      <c r="D23" s="28"/>
      <c r="E23" s="28"/>
      <c r="F23" s="28"/>
      <c r="G23" s="28" t="str">
        <f>IF(J23="","%  ( = avkastningskrav på kapital )","%")</f>
        <v>%  ( = avkastningskrav på kapital )</v>
      </c>
      <c r="H23" s="28"/>
      <c r="I23"/>
      <c r="J23"/>
    </row>
    <row r="24" spans="1:10" ht="12.75" customHeight="1" x14ac:dyDescent="0.35">
      <c r="A24" s="28"/>
      <c r="B24" s="28" t="s">
        <v>2436</v>
      </c>
      <c r="C24" s="28" t="s">
        <v>2437</v>
      </c>
      <c r="D24" s="28"/>
      <c r="E24" s="28"/>
      <c r="F24" s="28"/>
      <c r="G24" s="28"/>
      <c r="H24" s="28"/>
      <c r="I24"/>
      <c r="J24"/>
    </row>
    <row r="25" spans="1:10" ht="12.75" customHeight="1" x14ac:dyDescent="0.35">
      <c r="A25" s="28"/>
      <c r="B25" s="28"/>
      <c r="C25" s="28"/>
      <c r="D25" s="28"/>
      <c r="E25" s="28"/>
      <c r="F25" s="28"/>
      <c r="G25" s="28"/>
      <c r="H25" s="28"/>
      <c r="I25"/>
      <c r="J25"/>
    </row>
    <row r="26" spans="1:10" ht="12.75" customHeight="1" x14ac:dyDescent="0.35">
      <c r="A26" s="28"/>
      <c r="B26" s="28"/>
      <c r="C26" s="28" t="s">
        <v>2438</v>
      </c>
      <c r="D26" s="28"/>
      <c r="E26" s="28"/>
      <c r="F26" s="28"/>
      <c r="G26" s="28"/>
      <c r="H26" s="28"/>
      <c r="I26"/>
      <c r="J26"/>
    </row>
    <row r="27" spans="1:10" ht="12.75" customHeight="1" x14ac:dyDescent="0.35">
      <c r="A27" s="28"/>
      <c r="B27" s="28"/>
      <c r="C27" s="28" t="s">
        <v>2437</v>
      </c>
      <c r="D27" s="28"/>
      <c r="E27" s="28"/>
      <c r="F27" s="28"/>
      <c r="G27" s="28"/>
      <c r="H27" s="28"/>
      <c r="I27"/>
      <c r="J27"/>
    </row>
    <row r="28" spans="1:10" ht="12.75" customHeight="1" x14ac:dyDescent="0.35">
      <c r="A28" s="28"/>
      <c r="B28" s="28"/>
      <c r="C28" s="28"/>
      <c r="D28" s="28"/>
      <c r="E28" s="28"/>
      <c r="F28" s="28"/>
      <c r="G28" s="28"/>
      <c r="H28" s="28"/>
      <c r="I28"/>
      <c r="J28"/>
    </row>
    <row r="29" spans="1:10" ht="12.75" customHeight="1" x14ac:dyDescent="0.35">
      <c r="A29" s="28"/>
      <c r="B29" s="28"/>
      <c r="C29" s="28"/>
      <c r="D29" s="28"/>
      <c r="E29" s="28"/>
      <c r="F29" s="28"/>
      <c r="G29" s="28"/>
      <c r="H29" s="28"/>
      <c r="I29"/>
      <c r="J29"/>
    </row>
    <row r="30" spans="1:10" ht="12.75" customHeight="1" x14ac:dyDescent="0.35">
      <c r="A30" s="28"/>
      <c r="B30" s="28"/>
      <c r="C30" s="28" t="s">
        <v>2439</v>
      </c>
      <c r="D30" s="28"/>
      <c r="E30" s="28"/>
      <c r="F30" s="28"/>
      <c r="G30" s="28"/>
      <c r="H30" s="28"/>
      <c r="I30"/>
      <c r="J30"/>
    </row>
    <row r="31" spans="1:10" ht="12.75" customHeight="1" x14ac:dyDescent="0.35">
      <c r="A31" s="28"/>
      <c r="B31" s="28"/>
      <c r="C31" s="28"/>
      <c r="D31" s="28"/>
      <c r="E31" s="28"/>
      <c r="F31" s="28"/>
      <c r="G31" s="28"/>
      <c r="H31" s="28"/>
      <c r="I31"/>
      <c r="J31"/>
    </row>
    <row r="32" spans="1:10" ht="12.75" customHeight="1" x14ac:dyDescent="0.35">
      <c r="A32" s="28"/>
      <c r="B32" s="28"/>
      <c r="C32" s="28"/>
      <c r="D32" s="28"/>
      <c r="E32" s="28"/>
      <c r="F32" s="28"/>
      <c r="G32" s="28"/>
      <c r="H32" s="28"/>
      <c r="I32"/>
      <c r="J32"/>
    </row>
    <row r="33" spans="1:10" ht="12.75" customHeight="1" x14ac:dyDescent="0.35">
      <c r="A33" s="28"/>
      <c r="B33" s="28"/>
      <c r="C33" s="28"/>
      <c r="D33" s="28"/>
      <c r="E33" s="28"/>
      <c r="F33" s="28"/>
      <c r="G33" s="28"/>
      <c r="H33" s="28"/>
      <c r="I33"/>
      <c r="J33"/>
    </row>
    <row r="34" spans="1:10" ht="12.75" customHeight="1" x14ac:dyDescent="0.35">
      <c r="A34" s="28"/>
      <c r="B34" s="28"/>
      <c r="C34" s="28"/>
      <c r="D34" s="28"/>
      <c r="E34" s="28"/>
      <c r="F34" s="28"/>
      <c r="G34" s="28"/>
      <c r="H34" s="28"/>
      <c r="I34"/>
      <c r="J34"/>
    </row>
    <row r="35" spans="1:10" ht="12.75" customHeight="1" x14ac:dyDescent="0.35">
      <c r="A35" s="28"/>
      <c r="B35" s="28"/>
      <c r="C35" s="28"/>
      <c r="D35" s="28"/>
      <c r="E35" s="28"/>
      <c r="F35" s="28"/>
      <c r="G35" s="28"/>
      <c r="H35" s="28"/>
      <c r="I35"/>
      <c r="J35"/>
    </row>
    <row r="36" spans="1:10" ht="12.75" customHeight="1" x14ac:dyDescent="0.35">
      <c r="A36" s="28"/>
      <c r="B36" s="28"/>
      <c r="C36" s="28"/>
      <c r="D36" s="28"/>
      <c r="E36" s="28"/>
      <c r="F36" s="28"/>
      <c r="G36" s="28"/>
      <c r="H36" s="28"/>
      <c r="I36"/>
      <c r="J36"/>
    </row>
    <row r="37" spans="1:10" ht="12.75" customHeight="1" x14ac:dyDescent="0.35">
      <c r="A37" s="28"/>
      <c r="B37" s="28"/>
      <c r="C37" s="28"/>
      <c r="D37" s="28"/>
      <c r="E37" s="28"/>
      <c r="F37" s="28"/>
      <c r="G37" s="28"/>
      <c r="H37" s="28"/>
      <c r="I37"/>
      <c r="J37"/>
    </row>
    <row r="38" spans="1:10" ht="12.75" customHeight="1" x14ac:dyDescent="0.35">
      <c r="A38" s="28"/>
      <c r="B38" s="28"/>
      <c r="C38" s="28"/>
      <c r="D38" s="28"/>
      <c r="E38" s="28"/>
      <c r="F38" s="28"/>
      <c r="G38" s="28"/>
      <c r="H38" s="28"/>
      <c r="I38"/>
      <c r="J38"/>
    </row>
    <row r="39" spans="1:10" ht="12.75" customHeight="1" x14ac:dyDescent="0.35">
      <c r="A39" s="28"/>
      <c r="B39" s="28"/>
      <c r="C39" s="28"/>
      <c r="D39" s="28"/>
      <c r="E39" s="28"/>
      <c r="F39" s="28"/>
      <c r="G39" s="28"/>
      <c r="H39" s="28"/>
      <c r="I39"/>
      <c r="J39"/>
    </row>
    <row r="40" spans="1:10" ht="12.75" customHeight="1" x14ac:dyDescent="0.35">
      <c r="A40" s="28"/>
      <c r="B40" s="28"/>
      <c r="C40" s="28"/>
      <c r="D40" s="28"/>
      <c r="E40" s="28"/>
      <c r="F40" s="28"/>
      <c r="G40" s="28"/>
      <c r="H40" s="28"/>
      <c r="I40"/>
      <c r="J40"/>
    </row>
    <row r="41" spans="1:10" ht="12.75" customHeight="1" x14ac:dyDescent="0.35">
      <c r="A41" s="28"/>
      <c r="B41" s="28"/>
      <c r="C41" s="28"/>
      <c r="D41" s="28"/>
      <c r="E41" s="28"/>
      <c r="F41" s="28"/>
      <c r="G41" s="28"/>
      <c r="H41" s="28"/>
      <c r="I41"/>
      <c r="J41"/>
    </row>
    <row r="42" spans="1:10" ht="12.75" customHeight="1" x14ac:dyDescent="0.35">
      <c r="A42" s="28"/>
      <c r="B42" s="28"/>
      <c r="C42" s="28"/>
      <c r="D42" s="28"/>
      <c r="E42" s="28"/>
      <c r="F42" s="28"/>
      <c r="G42" s="28"/>
      <c r="H42" s="28"/>
      <c r="I42"/>
      <c r="J42"/>
    </row>
    <row r="43" spans="1:10" ht="12.75" customHeight="1" x14ac:dyDescent="0.35">
      <c r="A43" s="28"/>
      <c r="B43" s="28"/>
      <c r="C43" s="28"/>
      <c r="D43" s="28"/>
      <c r="E43" s="28"/>
      <c r="F43" s="28"/>
      <c r="G43" s="28"/>
      <c r="H43" s="28"/>
      <c r="I43"/>
      <c r="J43"/>
    </row>
    <row r="44" spans="1:10" ht="12.75" customHeight="1" x14ac:dyDescent="0.35">
      <c r="A44" s="28"/>
      <c r="B44" s="28"/>
      <c r="C44" s="28"/>
      <c r="D44" s="28"/>
      <c r="E44" s="28"/>
      <c r="F44" s="28"/>
      <c r="G44" s="28"/>
      <c r="H44" s="28"/>
      <c r="I44"/>
      <c r="J44"/>
    </row>
    <row r="45" spans="1:10" ht="12.75" customHeight="1" x14ac:dyDescent="0.35">
      <c r="A45" s="28"/>
      <c r="B45" s="28"/>
      <c r="C45" s="28" t="s">
        <v>2440</v>
      </c>
      <c r="D45" s="28"/>
      <c r="E45" s="28"/>
      <c r="F45" s="28"/>
      <c r="G45" s="28"/>
      <c r="H45" s="28"/>
      <c r="I45"/>
      <c r="J45"/>
    </row>
    <row r="46" spans="1:10" ht="12.75" customHeight="1" x14ac:dyDescent="0.35">
      <c r="A46" s="28"/>
      <c r="B46" s="28"/>
      <c r="C46" s="28"/>
      <c r="D46" s="28"/>
      <c r="E46" s="28"/>
      <c r="F46" s="28"/>
      <c r="G46" s="28"/>
      <c r="H46" s="28"/>
      <c r="I46"/>
      <c r="J46"/>
    </row>
    <row r="47" spans="1:10" ht="12.75" customHeight="1" x14ac:dyDescent="0.35">
      <c r="A47" s="28"/>
      <c r="B47" s="28"/>
      <c r="C47" s="28" t="s">
        <v>2418</v>
      </c>
      <c r="D47" s="28"/>
      <c r="E47" s="28"/>
      <c r="F47" s="28"/>
      <c r="G47" s="28"/>
      <c r="H47"/>
      <c r="I47"/>
      <c r="J47" s="28" t="str">
        <f>"Uppföljningstid: "&amp;FIXED((InvTime+InvTimeMonths/12+InvTime2+InvTimeMonths2/12),1)&amp;" år."</f>
        <v>Uppföljningstid: 5.3 år.</v>
      </c>
    </row>
    <row r="48" spans="1:10" ht="12.75" customHeight="1" x14ac:dyDescent="0.35">
      <c r="A48" s="28"/>
      <c r="B48" s="28"/>
      <c r="C48" s="28"/>
      <c r="D48" s="28"/>
      <c r="E48" s="28"/>
      <c r="F48" s="28"/>
      <c r="G48" s="28"/>
      <c r="H48" s="28"/>
      <c r="I48"/>
      <c r="J48"/>
    </row>
    <row r="49" spans="1:10" ht="12.75" customHeight="1" x14ac:dyDescent="0.35">
      <c r="A49" s="28"/>
      <c r="B49" s="28"/>
      <c r="C49" s="28"/>
      <c r="D49" s="28"/>
      <c r="E49" s="28"/>
      <c r="F49" s="28"/>
      <c r="G49" s="28"/>
      <c r="H49" s="28"/>
      <c r="I49"/>
      <c r="J49"/>
    </row>
    <row r="50" spans="1:10" ht="12.75" customHeight="1" x14ac:dyDescent="0.35">
      <c r="A50" s="28"/>
      <c r="B50" s="28"/>
      <c r="C50" s="28" t="s">
        <v>2441</v>
      </c>
      <c r="D50" s="28"/>
      <c r="E50" s="28"/>
      <c r="F50" s="28"/>
      <c r="G50" s="28"/>
      <c r="H50" s="28"/>
      <c r="I50"/>
      <c r="J50"/>
    </row>
    <row r="51" spans="1:10" ht="12.75" customHeight="1" x14ac:dyDescent="0.35">
      <c r="A51" s="28"/>
      <c r="B51" s="28"/>
      <c r="C51" s="28" t="s">
        <v>2442</v>
      </c>
      <c r="D51" s="28"/>
      <c r="E51" s="28"/>
      <c r="F51" s="28"/>
      <c r="G51" s="28"/>
      <c r="H51" s="28"/>
      <c r="I51"/>
      <c r="J51"/>
    </row>
    <row r="52" spans="1:10" ht="12.75" customHeight="1" x14ac:dyDescent="0.35">
      <c r="A52" s="28"/>
      <c r="B52" s="28"/>
      <c r="C52" s="28"/>
      <c r="D52" s="28"/>
      <c r="E52" s="28"/>
      <c r="F52" s="28"/>
      <c r="G52" s="28"/>
      <c r="H52" s="28"/>
      <c r="I52"/>
      <c r="J52"/>
    </row>
    <row r="53" spans="1:10" ht="12.75" customHeight="1" x14ac:dyDescent="0.35">
      <c r="A53" s="28"/>
      <c r="B53" s="28"/>
      <c r="C53" s="28"/>
      <c r="D53" s="28"/>
      <c r="E53" s="28"/>
      <c r="F53" s="28"/>
      <c r="G53" s="28"/>
      <c r="H53" s="28"/>
      <c r="I53"/>
      <c r="J53"/>
    </row>
    <row r="54" spans="1:10" ht="12.75" customHeight="1" x14ac:dyDescent="0.35">
      <c r="A54" s="28"/>
      <c r="B54" s="28"/>
      <c r="D54" s="28"/>
      <c r="E54" s="28"/>
      <c r="F54" s="28"/>
      <c r="G54" s="28"/>
      <c r="H54" s="28"/>
      <c r="I54"/>
      <c r="J54"/>
    </row>
    <row r="55" spans="1:10" ht="12.75" customHeight="1" x14ac:dyDescent="0.35">
      <c r="A55" s="28"/>
      <c r="B55" s="28"/>
      <c r="D55" s="28"/>
      <c r="E55" s="28"/>
      <c r="F55" s="28"/>
      <c r="G55" s="28"/>
      <c r="H55" s="28"/>
      <c r="I55"/>
      <c r="J55"/>
    </row>
    <row r="56" spans="1:10" ht="12.75" customHeight="1" x14ac:dyDescent="0.35">
      <c r="A56" s="28"/>
      <c r="B56" s="28"/>
      <c r="C56" s="28" t="s">
        <v>2443</v>
      </c>
      <c r="D56" s="28"/>
      <c r="E56" s="28"/>
      <c r="F56" s="28"/>
      <c r="G56" s="28"/>
      <c r="H56" s="28"/>
      <c r="I56"/>
      <c r="J56"/>
    </row>
    <row r="57" spans="1:10" ht="12.75" customHeight="1" x14ac:dyDescent="0.35">
      <c r="A57" s="28"/>
      <c r="B57" s="28"/>
      <c r="C57" s="28"/>
      <c r="D57" s="28"/>
      <c r="E57" s="28"/>
      <c r="F57" s="28"/>
      <c r="G57" s="28"/>
      <c r="H57" s="28"/>
      <c r="I57"/>
      <c r="J57"/>
    </row>
    <row r="58" spans="1:10" ht="12.75" customHeight="1" x14ac:dyDescent="0.35">
      <c r="A58" s="28"/>
      <c r="B58" s="28"/>
      <c r="C58" s="28" t="s">
        <v>2444</v>
      </c>
      <c r="D58" s="28"/>
      <c r="E58" s="28"/>
      <c r="F58" s="28"/>
      <c r="G58" s="28"/>
      <c r="H58" s="28"/>
      <c r="I58"/>
      <c r="J58"/>
    </row>
    <row r="59" spans="1:10" ht="12.75" customHeight="1" x14ac:dyDescent="0.35">
      <c r="A59" s="28"/>
      <c r="B59" s="28"/>
      <c r="C59" s="28"/>
      <c r="D59" s="28"/>
      <c r="E59" s="28"/>
      <c r="F59" s="28"/>
      <c r="G59" s="28"/>
      <c r="H59" s="28"/>
      <c r="I59"/>
      <c r="J59"/>
    </row>
    <row r="60" spans="1:10" ht="12.75" customHeight="1" x14ac:dyDescent="0.35">
      <c r="A60" s="28"/>
      <c r="B60" s="28"/>
      <c r="C60" s="28"/>
      <c r="D60" s="28"/>
      <c r="E60" s="28"/>
      <c r="F60" s="28"/>
      <c r="G60" s="28"/>
      <c r="H60" s="28"/>
      <c r="I60"/>
      <c r="J60"/>
    </row>
    <row r="61" spans="1:10" ht="12.75" customHeight="1" x14ac:dyDescent="0.35">
      <c r="A61" s="28"/>
      <c r="B61" s="28"/>
      <c r="C61" s="28"/>
      <c r="D61" s="28"/>
      <c r="E61" s="28"/>
      <c r="F61" s="28"/>
      <c r="G61" s="28"/>
      <c r="H61" s="28"/>
      <c r="I61"/>
      <c r="J61"/>
    </row>
    <row r="62" spans="1:10" ht="12.75" customHeight="1" x14ac:dyDescent="0.35">
      <c r="A62" s="28"/>
      <c r="B62" s="28"/>
      <c r="C62" s="28"/>
      <c r="D62" s="28"/>
      <c r="E62" s="28"/>
      <c r="F62" s="28"/>
      <c r="G62" s="28"/>
      <c r="H62" s="28"/>
      <c r="I62"/>
      <c r="J62"/>
    </row>
    <row r="63" spans="1:10" ht="12.75" customHeight="1" x14ac:dyDescent="0.35">
      <c r="A63" s="28"/>
      <c r="B63" s="28"/>
      <c r="D63" s="28"/>
      <c r="E63" s="28"/>
      <c r="F63" s="28"/>
      <c r="G63" s="28"/>
      <c r="H63" s="28"/>
      <c r="I63"/>
      <c r="J63"/>
    </row>
    <row r="69" spans="3:3" x14ac:dyDescent="0.35">
      <c r="C69" s="28" t="s">
        <v>2445</v>
      </c>
    </row>
  </sheetData>
  <printOptions gridLines="1"/>
  <pageMargins left="0.75" right="0.75" top="1" bottom="1" header="0.5" footer="0.5"/>
  <pageSetup paperSize="9" orientation="portrait" r:id="rId1"/>
  <headerFooter>
    <oddHeader>&amp;C&amp;A</oddHeader>
    <oddFooter>&amp;CPage &amp;P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pageSetUpPr autoPageBreaks="0"/>
  </sheetPr>
  <dimension ref="A1:J69"/>
  <sheetViews>
    <sheetView workbookViewId="0">
      <selection activeCell="G23" sqref="G23"/>
    </sheetView>
  </sheetViews>
  <sheetFormatPr defaultColWidth="9.1796875" defaultRowHeight="14.5" x14ac:dyDescent="0.35"/>
  <cols>
    <col min="1" max="1" width="2.1796875" style="97" customWidth="1"/>
    <col min="2" max="2" width="6" style="97" customWidth="1"/>
    <col min="3" max="4" width="5.7265625" style="97" customWidth="1"/>
    <col min="5" max="5" width="15.1796875" style="97" customWidth="1"/>
    <col min="6" max="8" width="9.81640625" style="97" customWidth="1"/>
    <col min="9" max="10" width="5.7265625" style="97" customWidth="1"/>
    <col min="11" max="16384" width="9.1796875" style="97"/>
  </cols>
  <sheetData>
    <row r="1" spans="1:8" ht="12.75" customHeight="1" x14ac:dyDescent="0.35">
      <c r="A1" s="28"/>
      <c r="B1" s="28"/>
      <c r="C1" s="28"/>
      <c r="D1" s="28"/>
      <c r="E1" s="28"/>
      <c r="F1" s="28"/>
      <c r="G1" s="28"/>
      <c r="H1" s="28"/>
    </row>
    <row r="2" spans="1:8" ht="12.75" customHeight="1" x14ac:dyDescent="0.35">
      <c r="A2" s="28"/>
      <c r="B2" s="28"/>
      <c r="C2" s="28"/>
      <c r="D2" s="28"/>
      <c r="E2" s="28"/>
      <c r="F2" s="28"/>
      <c r="G2" s="28"/>
      <c r="H2" s="28"/>
    </row>
    <row r="3" spans="1:8" ht="12.75" customHeight="1" x14ac:dyDescent="0.35">
      <c r="A3" s="28"/>
      <c r="B3" s="28"/>
      <c r="C3" s="28" t="s">
        <v>2446</v>
      </c>
      <c r="D3" s="28"/>
      <c r="E3" s="28"/>
      <c r="F3" s="28"/>
      <c r="G3" s="28"/>
      <c r="H3" s="28"/>
    </row>
    <row r="4" spans="1:8" ht="12.75" customHeight="1" x14ac:dyDescent="0.35">
      <c r="A4" s="28"/>
      <c r="B4" s="28"/>
      <c r="C4" s="28"/>
      <c r="D4" s="28"/>
      <c r="E4" s="28"/>
      <c r="F4" s="28"/>
      <c r="G4" s="28"/>
      <c r="H4" s="28"/>
    </row>
    <row r="5" spans="1:8" ht="12.75" customHeight="1" x14ac:dyDescent="0.35">
      <c r="A5" s="28"/>
      <c r="B5" s="28" t="s">
        <v>2447</v>
      </c>
      <c r="C5" s="28" t="s">
        <v>4843</v>
      </c>
      <c r="D5" s="28"/>
      <c r="E5" s="28"/>
      <c r="F5" s="28"/>
      <c r="G5" s="28"/>
      <c r="H5" s="28"/>
    </row>
    <row r="6" spans="1:8" ht="12.75" customHeight="1" x14ac:dyDescent="0.35">
      <c r="A6" s="28"/>
      <c r="B6" s="28"/>
      <c r="C6" s="28"/>
      <c r="D6" s="28"/>
      <c r="E6" s="28"/>
      <c r="F6" s="28"/>
      <c r="G6" s="28"/>
      <c r="H6" s="28"/>
    </row>
    <row r="7" spans="1:8" ht="12.75" customHeight="1" x14ac:dyDescent="0.35">
      <c r="A7" s="28"/>
      <c r="B7" s="28" t="s">
        <v>2449</v>
      </c>
      <c r="C7" s="194" t="s">
        <v>5282</v>
      </c>
      <c r="D7" s="28"/>
      <c r="E7" s="28"/>
      <c r="F7" s="28"/>
      <c r="G7" s="28"/>
      <c r="H7" s="28" t="s">
        <v>2450</v>
      </c>
    </row>
    <row r="8" spans="1:8" ht="12.75" customHeight="1" x14ac:dyDescent="0.35">
      <c r="A8" s="28"/>
      <c r="B8" s="28"/>
      <c r="C8" s="28" t="s">
        <v>2451</v>
      </c>
      <c r="D8" s="28"/>
      <c r="E8" s="28"/>
      <c r="F8" s="28"/>
      <c r="G8" s="28"/>
      <c r="H8" s="28"/>
    </row>
    <row r="9" spans="1:8" ht="12.75" customHeight="1" x14ac:dyDescent="0.35">
      <c r="A9" s="28"/>
      <c r="B9" s="28" t="s">
        <v>2452</v>
      </c>
      <c r="C9" s="28" t="s">
        <v>2453</v>
      </c>
      <c r="D9" s="28"/>
      <c r="E9" s="28"/>
      <c r="F9" s="28"/>
      <c r="G9" s="28"/>
      <c r="H9" s="28"/>
    </row>
    <row r="10" spans="1:8" ht="12.75" customHeight="1" x14ac:dyDescent="0.35">
      <c r="A10" s="28"/>
      <c r="B10" s="28" t="s">
        <v>2454</v>
      </c>
      <c r="C10" s="103" t="s">
        <v>2455</v>
      </c>
      <c r="D10" s="28"/>
      <c r="E10" s="28"/>
      <c r="F10" s="28"/>
      <c r="G10" s="28"/>
      <c r="H10" s="28"/>
    </row>
    <row r="11" spans="1:8" ht="12.75" customHeight="1" x14ac:dyDescent="0.35">
      <c r="A11" s="28"/>
      <c r="B11" s="28"/>
      <c r="C11" s="28"/>
      <c r="D11" s="28"/>
      <c r="E11" s="28"/>
      <c r="F11" s="28"/>
      <c r="G11" s="28"/>
      <c r="H11" s="28"/>
    </row>
    <row r="12" spans="1:8" ht="12.75" customHeight="1" x14ac:dyDescent="0.35">
      <c r="A12" s="28"/>
      <c r="B12" s="28"/>
      <c r="C12" s="28" t="s">
        <v>2456</v>
      </c>
      <c r="D12" s="28"/>
      <c r="E12" s="28"/>
      <c r="F12" s="28"/>
      <c r="G12" s="28"/>
      <c r="H12" s="28"/>
    </row>
    <row r="13" spans="1:8" ht="12.75" customHeight="1" x14ac:dyDescent="0.35">
      <c r="A13" s="28"/>
      <c r="B13" s="28"/>
      <c r="C13" s="28" t="s">
        <v>2457</v>
      </c>
      <c r="D13" s="28"/>
      <c r="E13" s="28"/>
      <c r="F13" s="28"/>
      <c r="G13" s="28"/>
      <c r="H13" s="28"/>
    </row>
    <row r="14" spans="1:8" ht="12.75" customHeight="1" x14ac:dyDescent="0.35">
      <c r="A14" s="28"/>
      <c r="B14" s="28"/>
      <c r="C14" s="28"/>
      <c r="D14" s="28"/>
      <c r="E14" s="28"/>
      <c r="F14" s="28"/>
      <c r="G14" s="28"/>
      <c r="H14" s="28"/>
    </row>
    <row r="15" spans="1:8" ht="12.75" customHeight="1" x14ac:dyDescent="0.35">
      <c r="A15" s="28"/>
      <c r="B15" s="28"/>
      <c r="C15" s="28"/>
      <c r="D15" s="28"/>
      <c r="E15" s="28"/>
      <c r="F15" s="28" t="s">
        <v>2458</v>
      </c>
      <c r="G15" s="28"/>
      <c r="H15" s="28"/>
    </row>
    <row r="16" spans="1:8" ht="12.75" customHeight="1" x14ac:dyDescent="0.35">
      <c r="A16" s="38">
        <v>4</v>
      </c>
      <c r="B16" s="28"/>
      <c r="C16" s="28" t="s">
        <v>2459</v>
      </c>
      <c r="D16" s="28"/>
      <c r="E16" s="28"/>
      <c r="F16" s="28"/>
      <c r="G16" s="28" t="str">
        <f>IF(BeginEnd=0,"(am Anfang des Monats)","(zum Ende des Monats)")</f>
        <v>(am Anfang des Monats)</v>
      </c>
      <c r="H16" s="28"/>
    </row>
    <row r="17" spans="1:8" ht="12.75" customHeight="1" x14ac:dyDescent="0.35">
      <c r="A17" s="28"/>
      <c r="B17" s="28"/>
      <c r="C17" s="28" t="s">
        <v>2460</v>
      </c>
      <c r="D17" s="28"/>
      <c r="E17" s="28"/>
      <c r="F17" s="28"/>
      <c r="G17" s="28" t="str">
        <f>IF(CalcPoint=0,"(am Anfang des Monats)","(zum Ende des Monats)")</f>
        <v>(am Anfang des Monats)</v>
      </c>
      <c r="H17" s="28"/>
    </row>
    <row r="18" spans="1:8" ht="12.75" customHeight="1" x14ac:dyDescent="0.35">
      <c r="A18" s="28"/>
      <c r="B18" s="28"/>
      <c r="C18" s="28" t="s">
        <v>2461</v>
      </c>
      <c r="D18" s="28"/>
      <c r="E18" s="28"/>
      <c r="F18" s="28"/>
      <c r="G18" s="28" t="s">
        <v>2462</v>
      </c>
      <c r="H18" s="28"/>
    </row>
    <row r="19" spans="1:8" ht="12.75" customHeight="1" x14ac:dyDescent="0.35">
      <c r="A19" s="28"/>
      <c r="B19" s="28"/>
      <c r="C19" s="28"/>
      <c r="D19" s="28"/>
      <c r="E19" s="28"/>
      <c r="F19" s="28"/>
      <c r="G19" s="28"/>
      <c r="H19" s="28"/>
    </row>
    <row r="20" spans="1:8" ht="12.75" customHeight="1" x14ac:dyDescent="0.35">
      <c r="A20" s="28"/>
      <c r="B20" s="28"/>
      <c r="C20" s="28" t="s">
        <v>2463</v>
      </c>
      <c r="D20" s="28"/>
      <c r="E20" s="28"/>
      <c r="F20" s="28"/>
      <c r="G20" s="28"/>
      <c r="H20" s="28"/>
    </row>
    <row r="21" spans="1:8" ht="12.75" customHeight="1" x14ac:dyDescent="0.35">
      <c r="A21" s="28"/>
      <c r="B21" s="28"/>
      <c r="C21" s="28" t="s">
        <v>2464</v>
      </c>
      <c r="D21" s="28"/>
      <c r="E21" s="28"/>
      <c r="F21" s="28"/>
      <c r="G21" s="28"/>
      <c r="H21" s="28"/>
    </row>
    <row r="22" spans="1:8" ht="12.75" customHeight="1" x14ac:dyDescent="0.35">
      <c r="A22" s="28"/>
      <c r="B22" s="28"/>
      <c r="C22" s="28"/>
      <c r="D22" s="28"/>
      <c r="E22" s="28"/>
      <c r="F22" s="28"/>
      <c r="G22" s="28"/>
      <c r="H22" s="28"/>
    </row>
    <row r="23" spans="1:8" ht="12.75" customHeight="1" x14ac:dyDescent="0.35">
      <c r="A23" s="28"/>
      <c r="B23" s="28"/>
      <c r="C23" s="28" t="s">
        <v>2465</v>
      </c>
      <c r="D23" s="28"/>
      <c r="E23" s="28"/>
      <c r="F23" s="28"/>
      <c r="G23" s="28" t="str">
        <f>IF(J23="","%  ( = Renditeforderung )","%")</f>
        <v>%  ( = Renditeforderung )</v>
      </c>
      <c r="H23" s="28"/>
    </row>
    <row r="24" spans="1:8" ht="12.75" customHeight="1" x14ac:dyDescent="0.35">
      <c r="A24" s="28"/>
      <c r="B24" s="28" t="s">
        <v>2466</v>
      </c>
      <c r="C24" s="28" t="s">
        <v>2467</v>
      </c>
      <c r="D24" s="28"/>
      <c r="E24" s="28"/>
      <c r="F24" s="28"/>
      <c r="G24" s="28"/>
      <c r="H24" s="28"/>
    </row>
    <row r="25" spans="1:8" ht="12.75" customHeight="1" x14ac:dyDescent="0.35">
      <c r="A25" s="28"/>
      <c r="B25" s="28"/>
      <c r="C25" s="28"/>
      <c r="D25" s="28"/>
      <c r="E25" s="28"/>
      <c r="F25" s="28"/>
      <c r="G25" s="28"/>
      <c r="H25" s="28"/>
    </row>
    <row r="26" spans="1:8" ht="12.75" customHeight="1" x14ac:dyDescent="0.35">
      <c r="A26" s="28"/>
      <c r="B26" s="28"/>
      <c r="C26" s="28" t="s">
        <v>2468</v>
      </c>
      <c r="D26" s="28"/>
      <c r="E26" s="28"/>
      <c r="F26" s="28"/>
      <c r="G26" s="28"/>
      <c r="H26" s="28"/>
    </row>
    <row r="27" spans="1:8" ht="12.75" customHeight="1" x14ac:dyDescent="0.35">
      <c r="A27" s="28"/>
      <c r="B27" s="28"/>
      <c r="C27" s="28" t="s">
        <v>2467</v>
      </c>
      <c r="D27" s="28"/>
      <c r="E27" s="28"/>
      <c r="F27" s="28"/>
      <c r="G27" s="28"/>
      <c r="H27" s="28"/>
    </row>
    <row r="28" spans="1:8" ht="12.75" customHeight="1" x14ac:dyDescent="0.35">
      <c r="A28" s="28"/>
      <c r="B28" s="28"/>
      <c r="C28" s="28"/>
      <c r="D28" s="28"/>
      <c r="E28" s="28"/>
      <c r="F28" s="28"/>
      <c r="G28" s="28"/>
      <c r="H28" s="28"/>
    </row>
    <row r="29" spans="1:8" ht="12.75" customHeight="1" x14ac:dyDescent="0.35">
      <c r="A29" s="28"/>
      <c r="B29" s="28"/>
      <c r="C29" s="28"/>
      <c r="D29" s="28"/>
      <c r="E29" s="28"/>
      <c r="F29" s="28"/>
      <c r="G29" s="28"/>
      <c r="H29" s="28"/>
    </row>
    <row r="30" spans="1:8" ht="12.75" customHeight="1" x14ac:dyDescent="0.35">
      <c r="A30" s="28"/>
      <c r="B30" s="28"/>
      <c r="C30" s="28" t="s">
        <v>4847</v>
      </c>
      <c r="D30" s="28"/>
      <c r="E30" s="28"/>
      <c r="F30" s="28"/>
      <c r="G30" s="28"/>
      <c r="H30" s="28"/>
    </row>
    <row r="31" spans="1:8" ht="12.75" customHeight="1" x14ac:dyDescent="0.35">
      <c r="A31" s="28"/>
      <c r="B31" s="28"/>
      <c r="C31" s="28"/>
      <c r="D31" s="28"/>
      <c r="E31" s="28"/>
      <c r="F31" s="28"/>
      <c r="G31" s="28"/>
      <c r="H31" s="28"/>
    </row>
    <row r="32" spans="1:8" ht="12.75" customHeight="1" x14ac:dyDescent="0.35">
      <c r="A32" s="28"/>
      <c r="B32" s="28"/>
      <c r="C32" s="28"/>
      <c r="D32" s="28"/>
      <c r="E32" s="28"/>
      <c r="F32" s="28"/>
      <c r="G32" s="28"/>
      <c r="H32" s="28"/>
    </row>
    <row r="33" spans="1:10" ht="12.75" customHeight="1" x14ac:dyDescent="0.35">
      <c r="A33" s="28"/>
      <c r="B33" s="28"/>
      <c r="C33" s="28"/>
      <c r="D33" s="28"/>
      <c r="E33" s="28"/>
      <c r="F33" s="28"/>
      <c r="G33" s="28"/>
      <c r="H33" s="28"/>
    </row>
    <row r="34" spans="1:10" ht="12.75" customHeight="1" x14ac:dyDescent="0.35">
      <c r="A34" s="28"/>
      <c r="B34" s="28"/>
      <c r="C34" s="28"/>
      <c r="D34" s="28"/>
      <c r="E34" s="28"/>
      <c r="F34" s="28"/>
      <c r="G34" s="28"/>
      <c r="H34" s="28"/>
    </row>
    <row r="35" spans="1:10" ht="12.75" customHeight="1" x14ac:dyDescent="0.35">
      <c r="A35" s="28"/>
      <c r="B35" s="28"/>
      <c r="C35" s="28"/>
      <c r="D35" s="28"/>
      <c r="E35" s="28"/>
      <c r="F35" s="28"/>
      <c r="G35" s="28"/>
      <c r="H35" s="28"/>
    </row>
    <row r="36" spans="1:10" ht="12.75" customHeight="1" x14ac:dyDescent="0.35">
      <c r="A36" s="28"/>
      <c r="B36" s="28"/>
      <c r="C36" s="28"/>
      <c r="D36" s="28"/>
      <c r="E36" s="28"/>
      <c r="F36" s="28"/>
      <c r="G36" s="28"/>
      <c r="H36" s="28"/>
    </row>
    <row r="37" spans="1:10" ht="12.75" customHeight="1" x14ac:dyDescent="0.35">
      <c r="A37" s="28"/>
      <c r="B37" s="28"/>
      <c r="C37" s="28"/>
      <c r="D37" s="28"/>
      <c r="E37" s="28"/>
      <c r="F37" s="28"/>
      <c r="G37" s="28"/>
      <c r="H37" s="28"/>
    </row>
    <row r="38" spans="1:10" ht="12.75" customHeight="1" x14ac:dyDescent="0.35">
      <c r="A38" s="28"/>
      <c r="B38" s="28"/>
      <c r="C38" s="28"/>
      <c r="D38" s="28"/>
      <c r="E38" s="28"/>
      <c r="F38" s="28"/>
      <c r="G38" s="28"/>
      <c r="H38" s="28"/>
    </row>
    <row r="39" spans="1:10" ht="12.75" customHeight="1" x14ac:dyDescent="0.35">
      <c r="A39" s="28"/>
      <c r="B39" s="28"/>
      <c r="C39" s="28"/>
      <c r="D39" s="28"/>
      <c r="E39" s="28"/>
      <c r="F39" s="28"/>
      <c r="G39" s="28"/>
      <c r="H39" s="28"/>
    </row>
    <row r="40" spans="1:10" ht="12.75" customHeight="1" x14ac:dyDescent="0.35">
      <c r="A40" s="28"/>
      <c r="B40" s="28"/>
      <c r="C40" s="28"/>
      <c r="D40" s="28"/>
      <c r="E40" s="28"/>
      <c r="F40" s="28"/>
      <c r="G40" s="28"/>
      <c r="H40" s="28"/>
    </row>
    <row r="41" spans="1:10" ht="12.75" customHeight="1" x14ac:dyDescent="0.35">
      <c r="A41" s="28"/>
      <c r="B41" s="28"/>
      <c r="C41" s="28"/>
      <c r="D41" s="28"/>
      <c r="E41" s="28"/>
      <c r="F41" s="28"/>
      <c r="G41" s="28"/>
      <c r="H41" s="28"/>
    </row>
    <row r="42" spans="1:10" ht="12.75" customHeight="1" x14ac:dyDescent="0.35">
      <c r="A42" s="28"/>
      <c r="B42" s="28"/>
      <c r="C42" s="28"/>
      <c r="D42" s="28"/>
      <c r="E42" s="28"/>
      <c r="F42" s="28"/>
      <c r="G42" s="28"/>
      <c r="H42" s="28"/>
    </row>
    <row r="43" spans="1:10" ht="12.75" customHeight="1" x14ac:dyDescent="0.35">
      <c r="A43" s="28"/>
      <c r="B43" s="28"/>
      <c r="C43" s="28"/>
      <c r="D43" s="28"/>
      <c r="E43" s="28"/>
      <c r="F43" s="28"/>
      <c r="G43" s="28"/>
      <c r="H43" s="28"/>
    </row>
    <row r="44" spans="1:10" ht="12.75" customHeight="1" x14ac:dyDescent="0.35">
      <c r="A44" s="28"/>
      <c r="B44" s="28"/>
      <c r="C44" s="28"/>
      <c r="D44" s="28"/>
      <c r="E44" s="28"/>
      <c r="F44" s="28"/>
      <c r="G44" s="28"/>
      <c r="H44" s="28"/>
    </row>
    <row r="45" spans="1:10" ht="12.75" customHeight="1" x14ac:dyDescent="0.35">
      <c r="A45" s="28"/>
      <c r="B45" s="28"/>
      <c r="C45" s="28" t="s">
        <v>2469</v>
      </c>
      <c r="D45" s="28"/>
      <c r="E45" s="28"/>
      <c r="F45" s="28"/>
      <c r="G45" s="28"/>
      <c r="H45" s="28"/>
    </row>
    <row r="46" spans="1:10" ht="12.75" customHeight="1" x14ac:dyDescent="0.35">
      <c r="A46" s="28"/>
      <c r="B46" s="28"/>
      <c r="C46" s="28"/>
      <c r="D46" s="28"/>
      <c r="E46" s="28"/>
      <c r="F46" s="28"/>
      <c r="G46" s="28"/>
      <c r="H46" s="28"/>
    </row>
    <row r="47" spans="1:10" ht="12.75" customHeight="1" x14ac:dyDescent="0.35">
      <c r="A47" s="28"/>
      <c r="B47" s="28"/>
      <c r="C47" s="28" t="s">
        <v>2448</v>
      </c>
      <c r="D47" s="28"/>
      <c r="E47" s="28"/>
      <c r="F47" s="28"/>
      <c r="G47" s="28"/>
      <c r="J47" s="28" t="str">
        <f>"Planungszeitraum: "&amp;FIXED((InvTime+InvTimeMonths/12+InvTime2+InvTimeMonths2/12),1)&amp;" Jahre"</f>
        <v>Planungszeitraum: 5.3 Jahre</v>
      </c>
    </row>
    <row r="48" spans="1:10" ht="12.75" customHeight="1" x14ac:dyDescent="0.35">
      <c r="A48" s="28"/>
      <c r="B48" s="28"/>
      <c r="C48" s="28"/>
      <c r="D48" s="28"/>
      <c r="E48" s="28"/>
      <c r="F48" s="28"/>
      <c r="G48" s="28"/>
      <c r="H48" s="28"/>
    </row>
    <row r="49" spans="1:8" ht="12.75" customHeight="1" x14ac:dyDescent="0.35">
      <c r="A49" s="28"/>
      <c r="B49" s="28"/>
      <c r="C49" s="28"/>
      <c r="D49" s="28"/>
      <c r="E49" s="28"/>
      <c r="F49" s="28"/>
      <c r="G49" s="28"/>
      <c r="H49" s="28"/>
    </row>
    <row r="50" spans="1:8" ht="12.75" customHeight="1" x14ac:dyDescent="0.35">
      <c r="A50" s="28"/>
      <c r="B50" s="28"/>
      <c r="C50" s="28" t="s">
        <v>2441</v>
      </c>
      <c r="D50" s="28"/>
      <c r="E50" s="28"/>
      <c r="F50" s="28"/>
      <c r="G50" s="28"/>
      <c r="H50" s="28"/>
    </row>
    <row r="51" spans="1:8" ht="12.75" customHeight="1" x14ac:dyDescent="0.35">
      <c r="A51" s="28"/>
      <c r="B51" s="28"/>
      <c r="C51" s="28" t="s">
        <v>2470</v>
      </c>
      <c r="D51" s="28"/>
      <c r="E51" s="28"/>
      <c r="F51" s="28"/>
      <c r="G51" s="28"/>
      <c r="H51" s="28"/>
    </row>
    <row r="52" spans="1:8" ht="12.75" customHeight="1" x14ac:dyDescent="0.35">
      <c r="A52" s="28"/>
      <c r="B52" s="28"/>
      <c r="C52" s="28"/>
      <c r="D52" s="28"/>
      <c r="E52" s="28"/>
      <c r="F52" s="28"/>
      <c r="G52" s="28"/>
      <c r="H52" s="28"/>
    </row>
    <row r="53" spans="1:8" ht="12.75" customHeight="1" x14ac:dyDescent="0.35">
      <c r="A53" s="28"/>
      <c r="B53" s="28"/>
      <c r="C53" s="28"/>
      <c r="D53" s="28"/>
      <c r="E53" s="28"/>
      <c r="F53" s="28"/>
      <c r="G53" s="28"/>
      <c r="H53" s="28"/>
    </row>
    <row r="54" spans="1:8" ht="12.75" customHeight="1" x14ac:dyDescent="0.35">
      <c r="A54" s="28"/>
      <c r="B54" s="28"/>
      <c r="D54" s="28"/>
      <c r="E54" s="28"/>
      <c r="F54" s="28"/>
      <c r="G54" s="28"/>
      <c r="H54" s="28"/>
    </row>
    <row r="55" spans="1:8" ht="12.75" customHeight="1" x14ac:dyDescent="0.35">
      <c r="A55" s="28"/>
      <c r="B55" s="28"/>
      <c r="D55" s="28"/>
      <c r="E55" s="28"/>
      <c r="F55" s="28"/>
      <c r="G55" s="28"/>
      <c r="H55" s="28"/>
    </row>
    <row r="56" spans="1:8" ht="12.75" customHeight="1" x14ac:dyDescent="0.35">
      <c r="A56" s="28"/>
      <c r="B56" s="28"/>
      <c r="C56" s="28" t="s">
        <v>2443</v>
      </c>
      <c r="D56" s="28"/>
      <c r="E56" s="28"/>
      <c r="F56" s="28"/>
      <c r="G56" s="28"/>
      <c r="H56" s="28"/>
    </row>
    <row r="57" spans="1:8" ht="12.75" customHeight="1" x14ac:dyDescent="0.35">
      <c r="A57" s="28"/>
      <c r="B57" s="28"/>
      <c r="C57" s="28"/>
      <c r="D57" s="28"/>
      <c r="E57" s="28"/>
      <c r="F57" s="28"/>
      <c r="G57" s="28"/>
      <c r="H57" s="28"/>
    </row>
    <row r="58" spans="1:8" ht="12.75" customHeight="1" x14ac:dyDescent="0.35">
      <c r="A58" s="28"/>
      <c r="B58" s="28"/>
      <c r="C58" s="28" t="s">
        <v>2471</v>
      </c>
      <c r="D58" s="28"/>
      <c r="E58" s="28"/>
      <c r="F58" s="28"/>
      <c r="G58" s="28"/>
      <c r="H58" s="28"/>
    </row>
    <row r="59" spans="1:8" ht="12.75" customHeight="1" x14ac:dyDescent="0.35">
      <c r="A59" s="28"/>
      <c r="B59" s="28"/>
      <c r="C59" s="28"/>
      <c r="D59" s="28"/>
      <c r="E59" s="28"/>
      <c r="F59" s="28"/>
      <c r="G59" s="28"/>
      <c r="H59" s="28"/>
    </row>
    <row r="60" spans="1:8" ht="12.75" customHeight="1" x14ac:dyDescent="0.35">
      <c r="A60" s="28"/>
      <c r="B60" s="28"/>
      <c r="C60" s="28"/>
      <c r="D60" s="28"/>
      <c r="E60" s="28"/>
      <c r="F60" s="28"/>
      <c r="G60" s="28"/>
      <c r="H60" s="28"/>
    </row>
    <row r="61" spans="1:8" ht="12.75" customHeight="1" x14ac:dyDescent="0.35">
      <c r="A61" s="28"/>
      <c r="B61" s="28"/>
      <c r="C61" s="28"/>
      <c r="D61" s="28"/>
      <c r="E61" s="28"/>
      <c r="F61" s="28"/>
      <c r="G61" s="28"/>
      <c r="H61" s="28"/>
    </row>
    <row r="62" spans="1:8" ht="12.75" customHeight="1" x14ac:dyDescent="0.35">
      <c r="A62" s="28"/>
      <c r="B62" s="28"/>
      <c r="C62" s="28"/>
      <c r="D62" s="28"/>
      <c r="E62" s="28"/>
      <c r="F62" s="28"/>
      <c r="G62" s="28"/>
      <c r="H62" s="28"/>
    </row>
    <row r="63" spans="1:8" ht="12.75" customHeight="1" x14ac:dyDescent="0.35">
      <c r="A63" s="28"/>
      <c r="B63" s="28"/>
      <c r="D63" s="28"/>
      <c r="E63" s="28"/>
      <c r="F63" s="28"/>
      <c r="G63" s="28"/>
      <c r="H63" s="28"/>
    </row>
    <row r="69" spans="3:3" x14ac:dyDescent="0.35">
      <c r="C69" s="28" t="s">
        <v>2472</v>
      </c>
    </row>
  </sheetData>
  <printOptions gridLines="1"/>
  <pageMargins left="0.75" right="0.75" top="1" bottom="1" header="0.51181102300000003" footer="0.51181102300000003"/>
  <pageSetup paperSize="9" orientation="portrait" r:id="rId1"/>
  <headerFooter>
    <oddHeader>&amp;C&amp;A</oddHeader>
    <oddFooter>&amp;CSeite &amp;P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5">
    <pageSetUpPr autoPageBreaks="0" fitToPage="1"/>
  </sheetPr>
  <dimension ref="A1:J69"/>
  <sheetViews>
    <sheetView workbookViewId="0">
      <selection activeCell="G23" sqref="G23"/>
    </sheetView>
  </sheetViews>
  <sheetFormatPr defaultColWidth="9.1796875" defaultRowHeight="14.5" x14ac:dyDescent="0.35"/>
  <cols>
    <col min="1" max="1" width="2.1796875" style="97" customWidth="1"/>
    <col min="2" max="2" width="10.54296875" style="97" customWidth="1"/>
    <col min="3" max="6" width="9.1796875" style="97"/>
    <col min="7" max="7" width="22.1796875" style="97" customWidth="1"/>
    <col min="8" max="8" width="7.81640625" style="97" customWidth="1"/>
    <col min="9" max="9" width="25.7265625" style="97" customWidth="1"/>
    <col min="10" max="16384" width="9.1796875" style="97"/>
  </cols>
  <sheetData>
    <row r="1" spans="1:8" ht="12.75" customHeight="1" x14ac:dyDescent="0.35"/>
    <row r="2" spans="1:8" ht="12.75" customHeight="1" x14ac:dyDescent="0.35"/>
    <row r="3" spans="1:8" ht="12.75" customHeight="1" x14ac:dyDescent="0.35">
      <c r="C3" s="97" t="s">
        <v>2473</v>
      </c>
    </row>
    <row r="4" spans="1:8" ht="12.75" customHeight="1" x14ac:dyDescent="0.35"/>
    <row r="5" spans="1:8" ht="12.75" customHeight="1" x14ac:dyDescent="0.35">
      <c r="B5" s="97" t="s">
        <v>2474</v>
      </c>
      <c r="C5" s="97" t="s">
        <v>2475</v>
      </c>
    </row>
    <row r="6" spans="1:8" ht="12.75" customHeight="1" x14ac:dyDescent="0.35"/>
    <row r="7" spans="1:8" ht="12.75" customHeight="1" x14ac:dyDescent="0.35">
      <c r="B7" s="97" t="s">
        <v>2476</v>
      </c>
      <c r="C7" s="97" t="s">
        <v>2477</v>
      </c>
      <c r="H7" s="97" t="s">
        <v>2478</v>
      </c>
    </row>
    <row r="8" spans="1:8" ht="12.75" customHeight="1" x14ac:dyDescent="0.35">
      <c r="C8" s="97" t="s">
        <v>2479</v>
      </c>
    </row>
    <row r="9" spans="1:8" ht="12.75" customHeight="1" x14ac:dyDescent="0.35">
      <c r="B9" s="97" t="s">
        <v>2480</v>
      </c>
      <c r="C9" s="97" t="s">
        <v>2481</v>
      </c>
    </row>
    <row r="10" spans="1:8" ht="12.75" customHeight="1" x14ac:dyDescent="0.35">
      <c r="B10" s="97" t="s">
        <v>2482</v>
      </c>
      <c r="C10" s="97" t="s">
        <v>2483</v>
      </c>
    </row>
    <row r="11" spans="1:8" ht="12.75" customHeight="1" x14ac:dyDescent="0.35"/>
    <row r="12" spans="1:8" ht="12.75" customHeight="1" x14ac:dyDescent="0.35">
      <c r="C12" s="97" t="s">
        <v>2484</v>
      </c>
    </row>
    <row r="13" spans="1:8" ht="12.75" customHeight="1" x14ac:dyDescent="0.35">
      <c r="C13" s="97" t="s">
        <v>2485</v>
      </c>
    </row>
    <row r="14" spans="1:8" ht="12.75" customHeight="1" x14ac:dyDescent="0.35"/>
    <row r="15" spans="1:8" ht="12.75" customHeight="1" x14ac:dyDescent="0.35">
      <c r="F15" s="97" t="s">
        <v>2486</v>
      </c>
    </row>
    <row r="16" spans="1:8" ht="12.75" customHeight="1" x14ac:dyDescent="0.35">
      <c r="A16" s="97">
        <v>5</v>
      </c>
      <c r="C16" s="97" t="s">
        <v>2487</v>
      </c>
      <c r="G16" s="97" t="str">
        <f>IF(BeginEnd=0,"(na początku okresu)","(na końcu okresu)")</f>
        <v>(na początku okresu)</v>
      </c>
    </row>
    <row r="17" spans="2:7" ht="12.75" customHeight="1" x14ac:dyDescent="0.35">
      <c r="C17" s="97" t="s">
        <v>2488</v>
      </c>
      <c r="G17" s="97" t="str">
        <f>IF(CalcPoint=0,"(na początku okresu)","(na końcu okresu)")</f>
        <v>(na początku okresu)</v>
      </c>
    </row>
    <row r="18" spans="2:7" ht="12.75" customHeight="1" x14ac:dyDescent="0.35">
      <c r="C18" s="97" t="s">
        <v>2489</v>
      </c>
      <c r="G18" s="97" t="s">
        <v>2490</v>
      </c>
    </row>
    <row r="19" spans="2:7" ht="12.75" customHeight="1" x14ac:dyDescent="0.35"/>
    <row r="20" spans="2:7" ht="12.75" customHeight="1" x14ac:dyDescent="0.35">
      <c r="C20" s="97" t="s">
        <v>2491</v>
      </c>
    </row>
    <row r="21" spans="2:7" ht="12.75" customHeight="1" x14ac:dyDescent="0.35">
      <c r="C21" s="97" t="s">
        <v>2492</v>
      </c>
    </row>
    <row r="22" spans="2:7" ht="12.75" customHeight="1" x14ac:dyDescent="0.35"/>
    <row r="23" spans="2:7" ht="12.75" customHeight="1" x14ac:dyDescent="0.35">
      <c r="C23" s="97" t="s">
        <v>2493</v>
      </c>
      <c r="G23" s="97" t="str">
        <f>IF(J23="","% (=oczekiwana stopa zwrotu)","%")</f>
        <v>% (=oczekiwana stopa zwrotu)</v>
      </c>
    </row>
    <row r="24" spans="2:7" ht="12.75" customHeight="1" x14ac:dyDescent="0.35">
      <c r="B24" s="97" t="s">
        <v>2494</v>
      </c>
      <c r="C24" s="97" t="s">
        <v>2495</v>
      </c>
    </row>
    <row r="25" spans="2:7" ht="12.75" customHeight="1" x14ac:dyDescent="0.35"/>
    <row r="26" spans="2:7" ht="12.75" customHeight="1" x14ac:dyDescent="0.35">
      <c r="C26" s="97" t="s">
        <v>2496</v>
      </c>
    </row>
    <row r="27" spans="2:7" ht="12.75" customHeight="1" x14ac:dyDescent="0.35">
      <c r="C27" s="97" t="s">
        <v>2495</v>
      </c>
    </row>
    <row r="28" spans="2:7" ht="12.75" customHeight="1" x14ac:dyDescent="0.35"/>
    <row r="29" spans="2:7" ht="12.75" customHeight="1" x14ac:dyDescent="0.35"/>
    <row r="30" spans="2:7" ht="12.75" customHeight="1" x14ac:dyDescent="0.35">
      <c r="C30" s="97" t="s">
        <v>2497</v>
      </c>
    </row>
    <row r="31" spans="2:7" ht="12.75" customHeight="1" x14ac:dyDescent="0.35"/>
    <row r="32" spans="2:7" ht="12.75" customHeight="1" x14ac:dyDescent="0.35"/>
    <row r="33" spans="3:10" ht="12.75" customHeight="1" x14ac:dyDescent="0.35"/>
    <row r="34" spans="3:10" ht="12.75" customHeight="1" x14ac:dyDescent="0.35"/>
    <row r="35" spans="3:10" ht="12.75" customHeight="1" x14ac:dyDescent="0.35"/>
    <row r="36" spans="3:10" ht="12.75" customHeight="1" x14ac:dyDescent="0.35"/>
    <row r="37" spans="3:10" ht="12.75" customHeight="1" x14ac:dyDescent="0.35"/>
    <row r="38" spans="3:10" ht="12.75" customHeight="1" x14ac:dyDescent="0.35"/>
    <row r="39" spans="3:10" ht="12.75" customHeight="1" x14ac:dyDescent="0.35"/>
    <row r="40" spans="3:10" ht="12.75" customHeight="1" x14ac:dyDescent="0.35"/>
    <row r="41" spans="3:10" ht="12.75" customHeight="1" x14ac:dyDescent="0.35"/>
    <row r="42" spans="3:10" ht="12.75" customHeight="1" x14ac:dyDescent="0.35"/>
    <row r="43" spans="3:10" ht="12.75" customHeight="1" x14ac:dyDescent="0.35"/>
    <row r="44" spans="3:10" ht="12.75" customHeight="1" x14ac:dyDescent="0.35"/>
    <row r="45" spans="3:10" ht="12.75" customHeight="1" x14ac:dyDescent="0.35">
      <c r="C45" s="97" t="s">
        <v>2498</v>
      </c>
    </row>
    <row r="46" spans="3:10" ht="12.75" customHeight="1" x14ac:dyDescent="0.35"/>
    <row r="47" spans="3:10" ht="12.75" customHeight="1" x14ac:dyDescent="0.35">
      <c r="C47" s="97" t="s">
        <v>2475</v>
      </c>
      <c r="J47" s="97" t="str">
        <f>"Okres obliczeniowy: "&amp;FIXED((InvTime+InvTimeMonths/12+InvTime2+InvTimeMonths2/12),1)&amp;" lat(a)"</f>
        <v>Okres obliczeniowy: 5.3 lat(a)</v>
      </c>
    </row>
    <row r="48" spans="3:10" ht="12.75" customHeight="1" x14ac:dyDescent="0.35"/>
    <row r="49" spans="3:3" ht="12.75" customHeight="1" x14ac:dyDescent="0.35"/>
    <row r="50" spans="3:3" ht="12.75" customHeight="1" x14ac:dyDescent="0.35">
      <c r="C50" s="97" t="s">
        <v>2499</v>
      </c>
    </row>
    <row r="51" spans="3:3" ht="12.75" customHeight="1" x14ac:dyDescent="0.35">
      <c r="C51" s="97" t="s">
        <v>2500</v>
      </c>
    </row>
    <row r="52" spans="3:3" ht="12.75" customHeight="1" x14ac:dyDescent="0.35"/>
    <row r="53" spans="3:3" ht="12.75" customHeight="1" x14ac:dyDescent="0.35"/>
    <row r="54" spans="3:3" ht="12.75" customHeight="1" x14ac:dyDescent="0.35"/>
    <row r="55" spans="3:3" ht="12.75" customHeight="1" x14ac:dyDescent="0.35"/>
    <row r="56" spans="3:3" ht="12.75" customHeight="1" x14ac:dyDescent="0.35">
      <c r="C56" s="97" t="s">
        <v>2501</v>
      </c>
    </row>
    <row r="57" spans="3:3" ht="12.75" customHeight="1" x14ac:dyDescent="0.35"/>
    <row r="58" spans="3:3" ht="12.75" customHeight="1" x14ac:dyDescent="0.35">
      <c r="C58" s="97" t="s">
        <v>2502</v>
      </c>
    </row>
    <row r="59" spans="3:3" ht="12.75" customHeight="1" x14ac:dyDescent="0.35"/>
    <row r="60" spans="3:3" ht="12.75" customHeight="1" x14ac:dyDescent="0.35"/>
    <row r="61" spans="3:3" ht="12.75" customHeight="1" x14ac:dyDescent="0.35"/>
    <row r="69" spans="3:3" x14ac:dyDescent="0.35">
      <c r="C69" s="97" t="s">
        <v>2503</v>
      </c>
    </row>
  </sheetData>
  <printOptions gridLines="1"/>
  <pageMargins left="0.35433070866141736" right="0.35433070866141736" top="0.78740157480314965" bottom="0.78740157480314965" header="0.51181102362204722" footer="0.51181102362204722"/>
  <pageSetup paperSize="9" fitToWidth="2" orientation="portrait" r:id="rId1"/>
  <headerFooter>
    <oddHeader>&amp;C&amp;A</oddHeader>
    <oddFooter>&amp;CPage &amp;P</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outlinePr showOutlineSymbols="0"/>
    <pageSetUpPr autoPageBreaks="0"/>
  </sheetPr>
  <dimension ref="A1:Q1296"/>
  <sheetViews>
    <sheetView showGridLines="0" showRowColHeaders="0" showOutlineSymbols="0" topLeftCell="A8" zoomScaleNormal="100" workbookViewId="0">
      <pane xSplit="6" ySplit="11" topLeftCell="G19" activePane="bottomRight" state="frozen"/>
      <selection activeCell="A8" sqref="A8"/>
      <selection pane="topRight" activeCell="G8" sqref="G8"/>
      <selection pane="bottomLeft" activeCell="A19" sqref="A19"/>
      <selection pane="bottomRight" activeCell="C15" sqref="C15"/>
    </sheetView>
  </sheetViews>
  <sheetFormatPr defaultColWidth="9.1796875" defaultRowHeight="14.5" x14ac:dyDescent="0.35"/>
  <cols>
    <col min="1" max="1" width="0.54296875" style="218" customWidth="1"/>
    <col min="2" max="2" width="2.453125" style="218" customWidth="1"/>
    <col min="3" max="3" width="34.7265625" style="218" customWidth="1"/>
    <col min="4" max="4" width="9.7265625" style="218" customWidth="1"/>
    <col min="5" max="5" width="6.7265625" style="218" hidden="1" customWidth="1"/>
    <col min="6" max="7" width="10.7265625" style="218" hidden="1" customWidth="1"/>
    <col min="8" max="14" width="10.7265625" style="218" customWidth="1"/>
    <col min="15" max="15" width="0.54296875" style="218" customWidth="1"/>
    <col min="16" max="16" width="0.54296875" style="225" customWidth="1"/>
    <col min="17" max="17" width="9.26953125" style="213" customWidth="1"/>
    <col min="18" max="16384" width="9.1796875" style="213"/>
  </cols>
  <sheetData>
    <row r="1" spans="1:16" ht="11.25" hidden="1" customHeight="1" x14ac:dyDescent="0.35">
      <c r="A1" s="320" t="s">
        <v>36</v>
      </c>
      <c r="B1" s="320" t="s">
        <v>37</v>
      </c>
      <c r="C1" s="320"/>
      <c r="D1" s="321" t="s">
        <v>38</v>
      </c>
      <c r="E1" s="322" t="s">
        <v>39</v>
      </c>
      <c r="F1" s="322">
        <v>8</v>
      </c>
      <c r="G1" s="235">
        <v>9</v>
      </c>
      <c r="H1" s="235">
        <v>12</v>
      </c>
      <c r="I1" s="235">
        <v>12</v>
      </c>
      <c r="J1" s="235">
        <v>12</v>
      </c>
      <c r="K1" s="235">
        <v>12</v>
      </c>
      <c r="L1" s="235">
        <v>12</v>
      </c>
      <c r="M1" s="235">
        <v>12</v>
      </c>
      <c r="N1" s="235">
        <f ca="1">OFFSET(N1,0,-1)</f>
        <v>12</v>
      </c>
      <c r="O1" s="323" t="b">
        <f ca="1">IF(ISNA(MATCH("  ",$O$17:$O$1229,0)),FALSE,TRUE)</f>
        <v>0</v>
      </c>
      <c r="P1" s="324" t="s">
        <v>40</v>
      </c>
    </row>
    <row r="2" spans="1:16" ht="11.25" hidden="1" customHeight="1" x14ac:dyDescent="0.35">
      <c r="A2" s="320"/>
      <c r="B2" s="320" t="s">
        <v>41</v>
      </c>
      <c r="C2" s="325" t="s">
        <v>42</v>
      </c>
      <c r="D2" s="325" t="s">
        <v>42</v>
      </c>
      <c r="E2" s="322" t="s">
        <v>39</v>
      </c>
      <c r="F2" s="322">
        <v>9</v>
      </c>
      <c r="G2" s="235">
        <v>9</v>
      </c>
      <c r="H2" s="235">
        <v>12</v>
      </c>
      <c r="I2" s="235">
        <v>12</v>
      </c>
      <c r="J2" s="235">
        <v>12</v>
      </c>
      <c r="K2" s="235">
        <v>12</v>
      </c>
      <c r="L2" s="235">
        <v>12</v>
      </c>
      <c r="M2" s="235">
        <v>12</v>
      </c>
      <c r="N2" s="235">
        <f ca="1">OFFSET(N2,0,-1)</f>
        <v>12</v>
      </c>
      <c r="O2" s="326"/>
      <c r="P2" s="324" t="s">
        <v>40</v>
      </c>
    </row>
    <row r="3" spans="1:16" ht="11.25" hidden="1" customHeight="1" x14ac:dyDescent="0.35">
      <c r="A3" s="320"/>
      <c r="B3" s="320" t="s">
        <v>43</v>
      </c>
      <c r="C3" s="327" t="s">
        <v>39</v>
      </c>
      <c r="D3" s="327" t="s">
        <v>39</v>
      </c>
      <c r="E3" s="322" t="s">
        <v>39</v>
      </c>
      <c r="F3" s="322">
        <v>2019</v>
      </c>
      <c r="G3" s="235">
        <v>2019</v>
      </c>
      <c r="H3" s="235">
        <v>2019</v>
      </c>
      <c r="I3" s="235">
        <v>2020</v>
      </c>
      <c r="J3" s="235">
        <v>2021</v>
      </c>
      <c r="K3" s="235">
        <v>2022</v>
      </c>
      <c r="L3" s="235">
        <v>2023</v>
      </c>
      <c r="M3" s="235">
        <v>2024</v>
      </c>
      <c r="N3" s="235">
        <f ca="1">OFFSET(N3,0,-1)</f>
        <v>2024</v>
      </c>
      <c r="O3" s="326"/>
      <c r="P3" s="324" t="s">
        <v>40</v>
      </c>
    </row>
    <row r="4" spans="1:16" ht="11.25" hidden="1" customHeight="1" x14ac:dyDescent="0.35">
      <c r="A4" s="320"/>
      <c r="B4" s="320" t="s">
        <v>44</v>
      </c>
      <c r="C4" s="328" t="s">
        <v>45</v>
      </c>
      <c r="D4" s="327" t="s">
        <v>46</v>
      </c>
      <c r="E4" s="322" t="s">
        <v>39</v>
      </c>
      <c r="F4" s="322"/>
      <c r="G4" s="235">
        <f t="shared" ref="G4:L4" ca="1" si="0">IF(G3=Year1,_Tax1,IF(G3=Year2,_Tax2,IF(G3=Year3,_Tax3,IF(G3=Year4,_Tax4,_Tax5))))/100</f>
        <v>0.28000000000000003</v>
      </c>
      <c r="H4" s="235">
        <f t="shared" ca="1" si="0"/>
        <v>0.28000000000000003</v>
      </c>
      <c r="I4" s="235">
        <f t="shared" ca="1" si="0"/>
        <v>0.28000000000000003</v>
      </c>
      <c r="J4" s="235">
        <f t="shared" ca="1" si="0"/>
        <v>0.28000000000000003</v>
      </c>
      <c r="K4" s="235">
        <f t="shared" ca="1" si="0"/>
        <v>0.28000000000000003</v>
      </c>
      <c r="L4" s="235">
        <f t="shared" ca="1" si="0"/>
        <v>0.28000000000000003</v>
      </c>
      <c r="M4" s="235">
        <f t="shared" ref="M4" ca="1" si="1">IF(M3=Year1,_Tax1,IF(M3=Year2,_Tax2,IF(M3=Year3,_Tax3,IF(M3=Year4,_Tax4,_Tax5))))/100</f>
        <v>0.28000000000000003</v>
      </c>
      <c r="N4" s="235">
        <f ca="1">OFFSET(N4,0,-1)</f>
        <v>0.28000000000000003</v>
      </c>
      <c r="O4" s="326"/>
      <c r="P4" s="324" t="s">
        <v>40</v>
      </c>
    </row>
    <row r="5" spans="1:16" ht="11.25" hidden="1" customHeight="1" x14ac:dyDescent="0.35">
      <c r="A5" s="320"/>
      <c r="B5" s="320" t="s">
        <v>47</v>
      </c>
      <c r="C5" s="320"/>
      <c r="D5" s="327" t="s">
        <v>48</v>
      </c>
      <c r="E5" s="322" t="s">
        <v>39</v>
      </c>
      <c r="F5" s="322">
        <v>-1</v>
      </c>
      <c r="G5" s="235">
        <v>0</v>
      </c>
      <c r="H5" s="235">
        <v>1</v>
      </c>
      <c r="I5" s="235">
        <v>2</v>
      </c>
      <c r="J5" s="235">
        <v>3</v>
      </c>
      <c r="K5" s="235">
        <v>4</v>
      </c>
      <c r="L5" s="235">
        <v>5</v>
      </c>
      <c r="M5" s="235">
        <v>6</v>
      </c>
      <c r="N5" s="235">
        <v>-99</v>
      </c>
      <c r="O5" s="326"/>
      <c r="P5" s="324" t="s">
        <v>40</v>
      </c>
    </row>
    <row r="6" spans="1:16" ht="11.25" hidden="1" customHeight="1" x14ac:dyDescent="0.35">
      <c r="A6" s="320"/>
      <c r="B6" s="320" t="s">
        <v>49</v>
      </c>
      <c r="C6" s="320"/>
      <c r="D6" s="328" t="s">
        <v>45</v>
      </c>
      <c r="E6" s="329" t="s">
        <v>50</v>
      </c>
      <c r="F6" s="330" t="s">
        <v>6267</v>
      </c>
      <c r="G6" s="330" t="s">
        <v>6269</v>
      </c>
      <c r="H6" s="330" t="s">
        <v>6271</v>
      </c>
      <c r="I6" s="330" t="s">
        <v>6273</v>
      </c>
      <c r="J6" s="330" t="s">
        <v>6275</v>
      </c>
      <c r="K6" s="330" t="s">
        <v>6277</v>
      </c>
      <c r="L6" s="330" t="s">
        <v>6279</v>
      </c>
      <c r="M6" s="330" t="s">
        <v>6281</v>
      </c>
      <c r="N6" s="330" t="s">
        <v>6281</v>
      </c>
      <c r="O6" s="326"/>
      <c r="P6" s="324" t="s">
        <v>40</v>
      </c>
    </row>
    <row r="7" spans="1:16" ht="11.25" hidden="1" customHeight="1" x14ac:dyDescent="0.35">
      <c r="A7" s="331"/>
      <c r="B7" s="332" t="s">
        <v>51</v>
      </c>
      <c r="C7" s="332"/>
      <c r="D7" s="333">
        <f>IF(ISNA(MATCH(1,E7:N7,0)),IF(ISNA(MATCH(2,E7:N7,0)),2,MATCH(2,E7:N7,0)),MATCH(1,E7:N7,0))+4</f>
        <v>7</v>
      </c>
      <c r="E7" s="322" t="s">
        <v>39</v>
      </c>
      <c r="F7" s="334">
        <f>9</f>
        <v>9</v>
      </c>
      <c r="G7" s="335">
        <f>1</f>
        <v>1</v>
      </c>
      <c r="H7" s="335">
        <f>1</f>
        <v>1</v>
      </c>
      <c r="I7" s="335">
        <f>1</f>
        <v>1</v>
      </c>
      <c r="J7" s="335">
        <f>1</f>
        <v>1</v>
      </c>
      <c r="K7" s="335">
        <f>1</f>
        <v>1</v>
      </c>
      <c r="L7" s="335">
        <f>1</f>
        <v>1</v>
      </c>
      <c r="M7" s="335">
        <f>1</f>
        <v>1</v>
      </c>
      <c r="N7" s="335">
        <f ca="1">OFFSET(N7,0,-1)</f>
        <v>1</v>
      </c>
      <c r="O7" s="326"/>
      <c r="P7" s="324" t="s">
        <v>40</v>
      </c>
    </row>
    <row r="8" spans="1:16" ht="11.25" customHeight="1" x14ac:dyDescent="0.35">
      <c r="A8" s="235"/>
      <c r="B8" s="336" t="s">
        <v>52</v>
      </c>
      <c r="C8" s="235"/>
      <c r="D8" s="235"/>
      <c r="E8" s="329" t="s">
        <v>53</v>
      </c>
      <c r="F8" s="337">
        <f t="shared" ref="F8:N8" si="2">COLUMN(F8)-COLUMN($E8)</f>
        <v>1</v>
      </c>
      <c r="G8" s="337">
        <f t="shared" si="2"/>
        <v>2</v>
      </c>
      <c r="H8" s="337">
        <f t="shared" si="2"/>
        <v>3</v>
      </c>
      <c r="I8" s="337">
        <f t="shared" si="2"/>
        <v>4</v>
      </c>
      <c r="J8" s="337">
        <f t="shared" si="2"/>
        <v>5</v>
      </c>
      <c r="K8" s="337">
        <f t="shared" si="2"/>
        <v>6</v>
      </c>
      <c r="L8" s="337">
        <f t="shared" si="2"/>
        <v>7</v>
      </c>
      <c r="M8" s="337">
        <f t="shared" si="2"/>
        <v>8</v>
      </c>
      <c r="N8" s="337">
        <f t="shared" si="2"/>
        <v>9</v>
      </c>
      <c r="O8" s="326"/>
      <c r="P8" s="324" t="s">
        <v>54</v>
      </c>
    </row>
    <row r="9" spans="1:16" ht="12" customHeight="1" x14ac:dyDescent="0.35">
      <c r="A9" s="235"/>
      <c r="B9" s="235"/>
      <c r="C9" s="235"/>
      <c r="D9" s="235"/>
      <c r="E9" s="329" t="s">
        <v>55</v>
      </c>
      <c r="F9" s="322"/>
      <c r="G9" s="235"/>
      <c r="H9" s="235"/>
      <c r="I9" s="235"/>
      <c r="J9" s="235"/>
      <c r="K9" s="235"/>
      <c r="L9" s="235"/>
      <c r="M9" s="235"/>
      <c r="N9" s="235"/>
      <c r="O9" s="326"/>
      <c r="P9" s="324" t="s">
        <v>54</v>
      </c>
    </row>
    <row r="10" spans="1:16" ht="15" hidden="1" customHeight="1" x14ac:dyDescent="0.35">
      <c r="A10" s="235"/>
      <c r="B10" s="235"/>
      <c r="C10" s="235"/>
      <c r="D10" s="235"/>
      <c r="E10" s="329" t="s">
        <v>39</v>
      </c>
      <c r="F10" s="329"/>
      <c r="G10" s="338"/>
      <c r="H10" s="338"/>
      <c r="I10" s="338"/>
      <c r="J10" s="338"/>
      <c r="K10" s="338"/>
      <c r="L10" s="338"/>
      <c r="M10" s="338"/>
      <c r="N10" s="338"/>
      <c r="O10" s="326"/>
      <c r="P10" s="324" t="s">
        <v>56</v>
      </c>
    </row>
    <row r="11" spans="1:16" ht="11.25" hidden="1" customHeight="1" x14ac:dyDescent="0.35">
      <c r="A11" s="235"/>
      <c r="B11" s="339" t="s">
        <v>57</v>
      </c>
      <c r="C11" s="340"/>
      <c r="D11" s="341"/>
      <c r="E11" s="342" t="s">
        <v>58</v>
      </c>
      <c r="F11" s="946" t="str">
        <f t="shared" ref="F11:N11" si="3">F16</f>
        <v>8/2019</v>
      </c>
      <c r="G11" s="947" t="str">
        <f t="shared" si="3"/>
        <v>9/2019</v>
      </c>
      <c r="H11" s="948" t="str">
        <f t="shared" si="3"/>
        <v>12/2019</v>
      </c>
      <c r="I11" s="948" t="str">
        <f t="shared" si="3"/>
        <v>12/2020</v>
      </c>
      <c r="J11" s="948" t="str">
        <f t="shared" si="3"/>
        <v>12/2021</v>
      </c>
      <c r="K11" s="948" t="str">
        <f t="shared" si="3"/>
        <v>12/2022</v>
      </c>
      <c r="L11" s="948" t="str">
        <f t="shared" si="3"/>
        <v>12/2023</v>
      </c>
      <c r="M11" s="948" t="str">
        <f t="shared" ref="M11" si="4">M16</f>
        <v>12/2024</v>
      </c>
      <c r="N11" s="943" t="str">
        <f t="shared" ca="1" si="3"/>
        <v>Residual</v>
      </c>
      <c r="O11" s="326"/>
      <c r="P11" s="324" t="s">
        <v>56</v>
      </c>
    </row>
    <row r="12" spans="1:16" ht="11.25" hidden="1" customHeight="1" x14ac:dyDescent="0.35">
      <c r="A12" s="235"/>
      <c r="B12" s="346" t="s">
        <v>59</v>
      </c>
      <c r="C12" s="347"/>
      <c r="D12" s="348"/>
      <c r="E12" s="342" t="s">
        <v>60</v>
      </c>
      <c r="F12" s="949">
        <f>F$17</f>
        <v>12</v>
      </c>
      <c r="G12" s="950"/>
      <c r="H12" s="950">
        <f t="shared" ref="H12:M12" si="5">H$17</f>
        <v>4</v>
      </c>
      <c r="I12" s="950">
        <f t="shared" si="5"/>
        <v>12</v>
      </c>
      <c r="J12" s="950">
        <f t="shared" si="5"/>
        <v>12</v>
      </c>
      <c r="K12" s="950">
        <f t="shared" si="5"/>
        <v>12</v>
      </c>
      <c r="L12" s="950">
        <f t="shared" si="5"/>
        <v>12</v>
      </c>
      <c r="M12" s="950">
        <f t="shared" si="5"/>
        <v>12</v>
      </c>
      <c r="N12" s="944"/>
      <c r="O12" s="326"/>
      <c r="P12" s="324" t="s">
        <v>61</v>
      </c>
    </row>
    <row r="13" spans="1:16" ht="15" hidden="1" customHeight="1" x14ac:dyDescent="0.35">
      <c r="A13" s="235"/>
      <c r="B13" s="349" t="s">
        <v>62</v>
      </c>
      <c r="C13" s="350"/>
      <c r="D13" s="351"/>
      <c r="E13" s="350" t="s">
        <v>63</v>
      </c>
      <c r="F13" s="951"/>
      <c r="G13" s="952"/>
      <c r="H13" s="952"/>
      <c r="I13" s="952"/>
      <c r="J13" s="952"/>
      <c r="K13" s="952"/>
      <c r="L13" s="952"/>
      <c r="M13" s="952"/>
      <c r="N13" s="945"/>
      <c r="O13" s="326" t="str">
        <f>IF(MID(P13,7,1)="D","  ","")</f>
        <v/>
      </c>
      <c r="P13" s="324" t="s">
        <v>56</v>
      </c>
    </row>
    <row r="14" spans="1:16" ht="5.15" hidden="1" customHeight="1" x14ac:dyDescent="0.35">
      <c r="A14" s="235"/>
      <c r="B14" s="352"/>
      <c r="C14" s="353"/>
      <c r="D14" s="353"/>
      <c r="E14" s="354" t="s">
        <v>39</v>
      </c>
      <c r="F14" s="353"/>
      <c r="G14" s="336">
        <f ca="1">G15*IF(IF(G$5=-99,OFFSET(G$5,0,-1),G$5)&lt;=CalcPoint,IF(DontCompound=1,1,(1+IF(VariableRate=1,G$1057,DiscMonth))^G$1059),1/((1+IF(VariableRate=1,G$1057,DiscMonth))^G$1059))</f>
        <v>0</v>
      </c>
      <c r="H14" s="336">
        <f t="shared" ref="H14:N14" ca="1" si="6">H15*IF(IF(H$5=-99,OFFSET(H$5,0,-1),H$5)&lt;=CalcPoint,IF(DontCompound=1,1,(1+IF(VariableRate=1,H$1057,DiscMonth))^H$1059),1/((1+IF(VariableRate=1,H$1057,DiscMonth))^H$1059))</f>
        <v>-8027082.7860849742</v>
      </c>
      <c r="I14" s="336">
        <f t="shared" ca="1" si="6"/>
        <v>0</v>
      </c>
      <c r="J14" s="336">
        <f t="shared" ca="1" si="6"/>
        <v>-253438.63813530086</v>
      </c>
      <c r="K14" s="336">
        <f t="shared" ca="1" si="6"/>
        <v>0</v>
      </c>
      <c r="L14" s="336">
        <f t="shared" ca="1" si="6"/>
        <v>-120027.06028749561</v>
      </c>
      <c r="M14" s="336">
        <f t="shared" ca="1" si="6"/>
        <v>0</v>
      </c>
      <c r="N14" s="336">
        <f t="shared" ca="1" si="6"/>
        <v>0</v>
      </c>
      <c r="O14" s="326"/>
      <c r="P14" s="324" t="s">
        <v>56</v>
      </c>
    </row>
    <row r="15" spans="1:16" ht="16" customHeight="1" x14ac:dyDescent="0.35">
      <c r="A15" s="235"/>
      <c r="B15" s="355" t="s">
        <v>64</v>
      </c>
      <c r="C15" s="235"/>
      <c r="D15" s="235"/>
      <c r="E15" s="329" t="s">
        <v>65</v>
      </c>
      <c r="F15" s="322"/>
      <c r="G15" s="336">
        <f>IF(OR(AND(G$5=0,NoZeroCol=1),AND(G$5=-99,NoResCol=1)),0,SUM(G$988:G$995)+G$1012)</f>
        <v>0</v>
      </c>
      <c r="H15" s="336">
        <f t="shared" ref="H15:N15" ca="1" si="7">IF(OR(AND(H$5=0,NoZeroCol=1),AND(H$5=-99,NoResCol=1)),0,SUM(H$988:H$995)+H$1012)</f>
        <v>-8100000</v>
      </c>
      <c r="I15" s="336">
        <f t="shared" ca="1" si="7"/>
        <v>0</v>
      </c>
      <c r="J15" s="336">
        <f t="shared" ca="1" si="7"/>
        <v>-270000</v>
      </c>
      <c r="K15" s="336">
        <f t="shared" ca="1" si="7"/>
        <v>0</v>
      </c>
      <c r="L15" s="336">
        <f t="shared" ca="1" si="7"/>
        <v>-135000</v>
      </c>
      <c r="M15" s="336">
        <f t="shared" ca="1" si="7"/>
        <v>0</v>
      </c>
      <c r="N15" s="336">
        <f t="shared" si="7"/>
        <v>0</v>
      </c>
      <c r="O15" s="326"/>
      <c r="P15" s="324" t="s">
        <v>66</v>
      </c>
    </row>
    <row r="16" spans="1:16" ht="11.25" customHeight="1" x14ac:dyDescent="0.35">
      <c r="A16" s="356"/>
      <c r="B16" s="339" t="str">
        <f>IF(PrintMode=0,"      ","")&amp;IF(Figures&gt;1,Figures&amp;" ","")&amp;Currency</f>
        <v xml:space="preserve">      Euro</v>
      </c>
      <c r="C16" s="340" t="str">
        <f>""&amp;$B$325</f>
        <v>Imputed depreciation</v>
      </c>
      <c r="D16" s="1097"/>
      <c r="E16" s="342" t="s">
        <v>68</v>
      </c>
      <c r="F16" s="946" t="str">
        <f t="shared" ref="F16:M16" si="8">IF(AND(F$1&lt;&gt;0,F$3&gt;1900),F$1&amp;"/"&amp;F$3,"")</f>
        <v>8/2019</v>
      </c>
      <c r="G16" s="947" t="str">
        <f t="shared" si="8"/>
        <v>9/2019</v>
      </c>
      <c r="H16" s="948" t="str">
        <f t="shared" si="8"/>
        <v>12/2019</v>
      </c>
      <c r="I16" s="948" t="str">
        <f t="shared" si="8"/>
        <v>12/2020</v>
      </c>
      <c r="J16" s="948" t="str">
        <f t="shared" si="8"/>
        <v>12/2021</v>
      </c>
      <c r="K16" s="948" t="str">
        <f t="shared" si="8"/>
        <v>12/2022</v>
      </c>
      <c r="L16" s="948" t="str">
        <f t="shared" si="8"/>
        <v>12/2023</v>
      </c>
      <c r="M16" s="948" t="str">
        <f t="shared" si="8"/>
        <v>12/2024</v>
      </c>
      <c r="N16" s="943" t="str">
        <f ca="1">ResidualTxt</f>
        <v>Residual</v>
      </c>
      <c r="O16" s="326"/>
      <c r="P16" s="324" t="s">
        <v>66</v>
      </c>
    </row>
    <row r="17" spans="1:16" ht="11.25" customHeight="1" x14ac:dyDescent="0.35">
      <c r="A17" s="356"/>
      <c r="B17" s="357" t="s">
        <v>59</v>
      </c>
      <c r="C17" s="347"/>
      <c r="D17" s="1177" t="s">
        <v>69</v>
      </c>
      <c r="E17" s="342" t="s">
        <v>70</v>
      </c>
      <c r="F17" s="949">
        <f>12</f>
        <v>12</v>
      </c>
      <c r="G17" s="950"/>
      <c r="H17" s="950">
        <f>4</f>
        <v>4</v>
      </c>
      <c r="I17" s="950">
        <f>12</f>
        <v>12</v>
      </c>
      <c r="J17" s="950">
        <f>12</f>
        <v>12</v>
      </c>
      <c r="K17" s="950">
        <f>12</f>
        <v>12</v>
      </c>
      <c r="L17" s="950">
        <f>12</f>
        <v>12</v>
      </c>
      <c r="M17" s="950">
        <f>12</f>
        <v>12</v>
      </c>
      <c r="N17" s="944" t="str">
        <f ca="1">"("&amp;OFFSET(N17,-1,-1)&amp;")"</f>
        <v>(12/2024)</v>
      </c>
      <c r="O17" s="326"/>
      <c r="P17" s="324" t="s">
        <v>71</v>
      </c>
    </row>
    <row r="18" spans="1:16" ht="11.25" hidden="1" customHeight="1" x14ac:dyDescent="0.35">
      <c r="A18" s="358">
        <v>0</v>
      </c>
      <c r="B18" s="359"/>
      <c r="C18" s="360"/>
      <c r="D18" s="1177"/>
      <c r="E18" s="1173" t="s">
        <v>72</v>
      </c>
      <c r="F18" s="322"/>
      <c r="G18" s="361"/>
      <c r="H18" s="361"/>
      <c r="I18" s="361"/>
      <c r="J18" s="361"/>
      <c r="K18" s="361"/>
      <c r="L18" s="361"/>
      <c r="M18" s="361"/>
      <c r="N18" s="361"/>
      <c r="O18" s="326"/>
      <c r="P18" s="324" t="s">
        <v>73</v>
      </c>
    </row>
    <row r="19" spans="1:16" ht="11.25" customHeight="1" x14ac:dyDescent="0.35">
      <c r="A19" s="362" t="s">
        <v>5999</v>
      </c>
      <c r="B19" s="1390">
        <v>1</v>
      </c>
      <c r="C19" s="364" t="s">
        <v>846</v>
      </c>
      <c r="D19" s="1178"/>
      <c r="E19" s="385" t="s">
        <v>74</v>
      </c>
      <c r="F19" s="955"/>
      <c r="G19" s="1395"/>
      <c r="H19" s="1395"/>
      <c r="I19" s="1395"/>
      <c r="J19" s="1395"/>
      <c r="K19" s="1395"/>
      <c r="L19" s="1395"/>
      <c r="M19" s="1395"/>
      <c r="N19" s="1396"/>
      <c r="O19" s="326" t="str">
        <f>IF(MID(P19,7,1)="D","  ","")</f>
        <v/>
      </c>
      <c r="P19" s="324" t="s">
        <v>71</v>
      </c>
    </row>
    <row r="20" spans="1:16" ht="11.25" customHeight="1" x14ac:dyDescent="0.35">
      <c r="A20" s="362" t="s">
        <v>6000</v>
      </c>
      <c r="B20" s="1391"/>
      <c r="C20" s="366" t="str">
        <f ca="1">SpecsTxt!$G$12&amp;" "&amp;B20</f>
        <v xml:space="preserve">Depreciation </v>
      </c>
      <c r="D20" s="1401"/>
      <c r="E20" s="390" t="s">
        <v>76</v>
      </c>
      <c r="F20" s="957"/>
      <c r="G20" s="1397"/>
      <c r="H20" s="1397"/>
      <c r="I20" s="1397"/>
      <c r="J20" s="1397"/>
      <c r="K20" s="1397"/>
      <c r="L20" s="1397"/>
      <c r="M20" s="1397"/>
      <c r="N20" s="1398"/>
      <c r="O20" s="326" t="str">
        <f>IF(MID(P20,7,1)="D","  ","")</f>
        <v/>
      </c>
      <c r="P20" s="324" t="s">
        <v>71</v>
      </c>
    </row>
    <row r="21" spans="1:16" ht="11.25" hidden="1" customHeight="1" x14ac:dyDescent="0.35">
      <c r="A21" s="362" t="s">
        <v>6001</v>
      </c>
      <c r="B21" s="1392">
        <v>1</v>
      </c>
      <c r="C21" s="369" t="s">
        <v>77</v>
      </c>
      <c r="D21" s="1180"/>
      <c r="E21" s="390" t="s">
        <v>78</v>
      </c>
      <c r="F21" s="957">
        <f t="shared" ref="F21:N21" ca="1" si="9">SUM(OFFSET(F21,0,-1))+F22</f>
        <v>0</v>
      </c>
      <c r="G21" s="1397">
        <f t="shared" ca="1" si="9"/>
        <v>0</v>
      </c>
      <c r="H21" s="1397">
        <f t="shared" ca="1" si="9"/>
        <v>0</v>
      </c>
      <c r="I21" s="1397">
        <f t="shared" ca="1" si="9"/>
        <v>0</v>
      </c>
      <c r="J21" s="1397">
        <f t="shared" ca="1" si="9"/>
        <v>0</v>
      </c>
      <c r="K21" s="1397">
        <f t="shared" ca="1" si="9"/>
        <v>0</v>
      </c>
      <c r="L21" s="1397">
        <f t="shared" ca="1" si="9"/>
        <v>0</v>
      </c>
      <c r="M21" s="1397">
        <f t="shared" ca="1" si="9"/>
        <v>0</v>
      </c>
      <c r="N21" s="1398">
        <f t="shared" ca="1" si="9"/>
        <v>0</v>
      </c>
      <c r="O21" s="326" t="str">
        <f>IF(MID(P21,7,1)="D","  ","")</f>
        <v/>
      </c>
      <c r="P21" s="324" t="s">
        <v>79</v>
      </c>
    </row>
    <row r="22" spans="1:16" ht="11.25" hidden="1" customHeight="1" x14ac:dyDescent="0.35">
      <c r="A22" s="362" t="s">
        <v>6002</v>
      </c>
      <c r="B22" s="1393">
        <v>1</v>
      </c>
      <c r="C22" s="371">
        <v>0</v>
      </c>
      <c r="D22" s="1181">
        <v>1</v>
      </c>
      <c r="E22" s="1174" t="s">
        <v>80</v>
      </c>
      <c r="F22" s="372"/>
      <c r="G22" s="1399"/>
      <c r="H22" s="1399"/>
      <c r="I22" s="1399"/>
      <c r="J22" s="1399"/>
      <c r="K22" s="1399"/>
      <c r="L22" s="1399"/>
      <c r="M22" s="1399"/>
      <c r="N22" s="1399"/>
      <c r="O22" s="326"/>
      <c r="P22" s="324" t="s">
        <v>40</v>
      </c>
    </row>
    <row r="23" spans="1:16" ht="11.25" hidden="1" customHeight="1" x14ac:dyDescent="0.35">
      <c r="A23" s="362" t="s">
        <v>6003</v>
      </c>
      <c r="B23" s="1391">
        <v>99</v>
      </c>
      <c r="C23" s="374"/>
      <c r="D23" s="1182">
        <v>1</v>
      </c>
      <c r="E23" s="1175" t="s">
        <v>81</v>
      </c>
      <c r="F23" s="375"/>
      <c r="G23" s="1400"/>
      <c r="H23" s="1400"/>
      <c r="I23" s="1400"/>
      <c r="J23" s="1400"/>
      <c r="K23" s="1400"/>
      <c r="L23" s="1400"/>
      <c r="M23" s="1400"/>
      <c r="N23" s="1400"/>
      <c r="O23" s="326"/>
      <c r="P23" s="324" t="s">
        <v>40</v>
      </c>
    </row>
    <row r="24" spans="1:16" ht="11.25" hidden="1" customHeight="1" x14ac:dyDescent="0.35">
      <c r="A24" s="362" t="s">
        <v>6004</v>
      </c>
      <c r="B24" s="1391"/>
      <c r="C24" s="377" t="str">
        <f>$C$16&amp;" "&amp;B24</f>
        <v xml:space="preserve">Imputed depreciation </v>
      </c>
      <c r="D24" s="1401"/>
      <c r="E24" s="390" t="s">
        <v>82</v>
      </c>
      <c r="F24" s="957"/>
      <c r="G24" s="1397"/>
      <c r="H24" s="1397"/>
      <c r="I24" s="1397"/>
      <c r="J24" s="1397"/>
      <c r="K24" s="1397"/>
      <c r="L24" s="1397"/>
      <c r="M24" s="1397"/>
      <c r="N24" s="1398"/>
      <c r="O24" s="326" t="str">
        <f>IF(MID(P24,7,1)="D","  ","")</f>
        <v/>
      </c>
      <c r="P24" s="324" t="s">
        <v>71</v>
      </c>
    </row>
    <row r="25" spans="1:16" ht="11.25" hidden="1" customHeight="1" x14ac:dyDescent="0.35">
      <c r="A25" s="362" t="s">
        <v>6005</v>
      </c>
      <c r="B25" s="1392">
        <v>1</v>
      </c>
      <c r="C25" s="378" t="s">
        <v>83</v>
      </c>
      <c r="D25" s="1183"/>
      <c r="E25" s="390" t="s">
        <v>84</v>
      </c>
      <c r="F25" s="960">
        <f t="shared" ref="F25:N25" ca="1" si="10">SUM(OFFSET(F25,0,-1))+F26</f>
        <v>0</v>
      </c>
      <c r="G25" s="1397">
        <f t="shared" ca="1" si="10"/>
        <v>0</v>
      </c>
      <c r="H25" s="1397">
        <f t="shared" ca="1" si="10"/>
        <v>0</v>
      </c>
      <c r="I25" s="1397">
        <f t="shared" ca="1" si="10"/>
        <v>0</v>
      </c>
      <c r="J25" s="1397">
        <f t="shared" ca="1" si="10"/>
        <v>0</v>
      </c>
      <c r="K25" s="1397">
        <f t="shared" ca="1" si="10"/>
        <v>0</v>
      </c>
      <c r="L25" s="1397">
        <f t="shared" ca="1" si="10"/>
        <v>0</v>
      </c>
      <c r="M25" s="1397">
        <f t="shared" ca="1" si="10"/>
        <v>0</v>
      </c>
      <c r="N25" s="1398">
        <f t="shared" ca="1" si="10"/>
        <v>0</v>
      </c>
      <c r="O25" s="326" t="str">
        <f>IF(MID(P25,7,1)="D","  ","")</f>
        <v/>
      </c>
      <c r="P25" s="324" t="s">
        <v>79</v>
      </c>
    </row>
    <row r="26" spans="1:16" ht="11.25" hidden="1" customHeight="1" x14ac:dyDescent="0.35">
      <c r="A26" s="362" t="s">
        <v>6006</v>
      </c>
      <c r="B26" s="1391"/>
      <c r="C26" s="380">
        <f>C22</f>
        <v>0</v>
      </c>
      <c r="D26" s="1182">
        <v>1</v>
      </c>
      <c r="E26" s="1174" t="s">
        <v>85</v>
      </c>
      <c r="F26" s="375"/>
      <c r="G26" s="1400"/>
      <c r="H26" s="1400"/>
      <c r="I26" s="1400"/>
      <c r="J26" s="1400"/>
      <c r="K26" s="1400"/>
      <c r="L26" s="1400"/>
      <c r="M26" s="1400"/>
      <c r="N26" s="1399"/>
      <c r="O26" s="326"/>
      <c r="P26" s="324" t="s">
        <v>40</v>
      </c>
    </row>
    <row r="27" spans="1:16" ht="11.25" hidden="1" customHeight="1" x14ac:dyDescent="0.35">
      <c r="A27" s="362" t="s">
        <v>6007</v>
      </c>
      <c r="B27" s="1391">
        <v>99</v>
      </c>
      <c r="C27" s="374" t="str">
        <f>""&amp;C23</f>
        <v/>
      </c>
      <c r="D27" s="1182">
        <v>1</v>
      </c>
      <c r="E27" s="1176" t="s">
        <v>86</v>
      </c>
      <c r="F27" s="375"/>
      <c r="G27" s="1400"/>
      <c r="H27" s="1400"/>
      <c r="I27" s="1400"/>
      <c r="J27" s="1400"/>
      <c r="K27" s="1400"/>
      <c r="L27" s="1400"/>
      <c r="M27" s="1400"/>
      <c r="N27" s="1400"/>
      <c r="O27" s="326"/>
      <c r="P27" s="324" t="s">
        <v>40</v>
      </c>
    </row>
    <row r="28" spans="1:16" ht="11.25" hidden="1" customHeight="1" x14ac:dyDescent="0.35">
      <c r="A28" s="358">
        <v>0</v>
      </c>
      <c r="B28" s="1394"/>
      <c r="C28" s="360"/>
      <c r="D28" s="1177"/>
      <c r="E28" s="1173" t="s">
        <v>87</v>
      </c>
      <c r="F28" s="322"/>
      <c r="G28" s="361"/>
      <c r="H28" s="361"/>
      <c r="I28" s="361"/>
      <c r="J28" s="361"/>
      <c r="K28" s="361"/>
      <c r="L28" s="361"/>
      <c r="M28" s="361"/>
      <c r="N28" s="361"/>
      <c r="O28" s="326"/>
      <c r="P28" s="324" t="s">
        <v>73</v>
      </c>
    </row>
    <row r="29" spans="1:16" ht="11.25" customHeight="1" x14ac:dyDescent="0.35">
      <c r="A29" s="362" t="s">
        <v>6008</v>
      </c>
      <c r="B29" s="1390">
        <v>2</v>
      </c>
      <c r="C29" s="364" t="s">
        <v>853</v>
      </c>
      <c r="D29" s="1178"/>
      <c r="E29" s="385" t="s">
        <v>88</v>
      </c>
      <c r="F29" s="955"/>
      <c r="G29" s="1395"/>
      <c r="H29" s="1395"/>
      <c r="I29" s="1395"/>
      <c r="J29" s="1395"/>
      <c r="K29" s="1395"/>
      <c r="L29" s="1395"/>
      <c r="M29" s="1395"/>
      <c r="N29" s="1396"/>
      <c r="O29" s="326" t="str">
        <f>IF(MID(P29,7,1)="D","  ","")</f>
        <v/>
      </c>
      <c r="P29" s="324" t="s">
        <v>71</v>
      </c>
    </row>
    <row r="30" spans="1:16" ht="11.25" customHeight="1" x14ac:dyDescent="0.35">
      <c r="A30" s="362" t="s">
        <v>6009</v>
      </c>
      <c r="B30" s="1391"/>
      <c r="C30" s="366" t="str">
        <f ca="1">SpecsTxt!$G$12&amp;" "&amp;B30</f>
        <v xml:space="preserve">Depreciation </v>
      </c>
      <c r="D30" s="1401"/>
      <c r="E30" s="390" t="s">
        <v>89</v>
      </c>
      <c r="F30" s="957"/>
      <c r="G30" s="1397"/>
      <c r="H30" s="1397"/>
      <c r="I30" s="1397"/>
      <c r="J30" s="1397"/>
      <c r="K30" s="1397"/>
      <c r="L30" s="1397"/>
      <c r="M30" s="1397"/>
      <c r="N30" s="1398"/>
      <c r="O30" s="326" t="str">
        <f>IF(MID(P30,7,1)="D","  ","")</f>
        <v/>
      </c>
      <c r="P30" s="324" t="s">
        <v>71</v>
      </c>
    </row>
    <row r="31" spans="1:16" ht="11.25" hidden="1" customHeight="1" x14ac:dyDescent="0.35">
      <c r="A31" s="362" t="s">
        <v>6010</v>
      </c>
      <c r="B31" s="1392">
        <v>1</v>
      </c>
      <c r="C31" s="369" t="s">
        <v>77</v>
      </c>
      <c r="D31" s="1180"/>
      <c r="E31" s="390" t="s">
        <v>90</v>
      </c>
      <c r="F31" s="957">
        <f t="shared" ref="F31:N31" ca="1" si="11">SUM(OFFSET(F31,0,-1))+F32</f>
        <v>0</v>
      </c>
      <c r="G31" s="1397">
        <f t="shared" ca="1" si="11"/>
        <v>0</v>
      </c>
      <c r="H31" s="1397">
        <f t="shared" ca="1" si="11"/>
        <v>0</v>
      </c>
      <c r="I31" s="1397">
        <f t="shared" ca="1" si="11"/>
        <v>0</v>
      </c>
      <c r="J31" s="1397">
        <f t="shared" ca="1" si="11"/>
        <v>0</v>
      </c>
      <c r="K31" s="1397">
        <f t="shared" ca="1" si="11"/>
        <v>0</v>
      </c>
      <c r="L31" s="1397">
        <f t="shared" ca="1" si="11"/>
        <v>0</v>
      </c>
      <c r="M31" s="1397">
        <f t="shared" ca="1" si="11"/>
        <v>0</v>
      </c>
      <c r="N31" s="1398">
        <f t="shared" ca="1" si="11"/>
        <v>0</v>
      </c>
      <c r="O31" s="326" t="str">
        <f>IF(MID(P31,7,1)="D","  ","")</f>
        <v/>
      </c>
      <c r="P31" s="324" t="s">
        <v>79</v>
      </c>
    </row>
    <row r="32" spans="1:16" ht="11.25" hidden="1" customHeight="1" x14ac:dyDescent="0.35">
      <c r="A32" s="362" t="s">
        <v>6011</v>
      </c>
      <c r="B32" s="1393">
        <v>1</v>
      </c>
      <c r="C32" s="371">
        <v>0</v>
      </c>
      <c r="D32" s="1181">
        <v>1</v>
      </c>
      <c r="E32" s="1174" t="s">
        <v>91</v>
      </c>
      <c r="F32" s="372"/>
      <c r="G32" s="1399"/>
      <c r="H32" s="1399"/>
      <c r="I32" s="1399"/>
      <c r="J32" s="1399"/>
      <c r="K32" s="1399"/>
      <c r="L32" s="1399"/>
      <c r="M32" s="1399"/>
      <c r="N32" s="1399"/>
      <c r="O32" s="326"/>
      <c r="P32" s="324" t="s">
        <v>40</v>
      </c>
    </row>
    <row r="33" spans="1:16" ht="11.25" hidden="1" customHeight="1" x14ac:dyDescent="0.35">
      <c r="A33" s="362" t="s">
        <v>6012</v>
      </c>
      <c r="B33" s="1391">
        <v>99</v>
      </c>
      <c r="C33" s="374"/>
      <c r="D33" s="1182">
        <v>1</v>
      </c>
      <c r="E33" s="1175" t="s">
        <v>92</v>
      </c>
      <c r="F33" s="375"/>
      <c r="G33" s="1400"/>
      <c r="H33" s="1400"/>
      <c r="I33" s="1400"/>
      <c r="J33" s="1400"/>
      <c r="K33" s="1400"/>
      <c r="L33" s="1400"/>
      <c r="M33" s="1400"/>
      <c r="N33" s="1400"/>
      <c r="O33" s="326"/>
      <c r="P33" s="324" t="s">
        <v>40</v>
      </c>
    </row>
    <row r="34" spans="1:16" ht="11.25" hidden="1" customHeight="1" x14ac:dyDescent="0.35">
      <c r="A34" s="362" t="s">
        <v>6013</v>
      </c>
      <c r="B34" s="1391"/>
      <c r="C34" s="377" t="str">
        <f>$C$16&amp;" "&amp;B34</f>
        <v xml:space="preserve">Imputed depreciation </v>
      </c>
      <c r="D34" s="1401"/>
      <c r="E34" s="390" t="s">
        <v>93</v>
      </c>
      <c r="F34" s="957"/>
      <c r="G34" s="1397"/>
      <c r="H34" s="1397"/>
      <c r="I34" s="1397"/>
      <c r="J34" s="1397"/>
      <c r="K34" s="1397"/>
      <c r="L34" s="1397"/>
      <c r="M34" s="1397"/>
      <c r="N34" s="1398"/>
      <c r="O34" s="326" t="str">
        <f>IF(MID(P34,7,1)="D","  ","")</f>
        <v/>
      </c>
      <c r="P34" s="324" t="s">
        <v>71</v>
      </c>
    </row>
    <row r="35" spans="1:16" ht="11.25" hidden="1" customHeight="1" x14ac:dyDescent="0.35">
      <c r="A35" s="362" t="s">
        <v>6014</v>
      </c>
      <c r="B35" s="1392">
        <v>1</v>
      </c>
      <c r="C35" s="378" t="s">
        <v>83</v>
      </c>
      <c r="D35" s="1183"/>
      <c r="E35" s="390" t="s">
        <v>94</v>
      </c>
      <c r="F35" s="960">
        <f t="shared" ref="F35:N35" ca="1" si="12">SUM(OFFSET(F35,0,-1))+F36</f>
        <v>0</v>
      </c>
      <c r="G35" s="1397">
        <f t="shared" ca="1" si="12"/>
        <v>0</v>
      </c>
      <c r="H35" s="1397">
        <f t="shared" ca="1" si="12"/>
        <v>0</v>
      </c>
      <c r="I35" s="1397">
        <f t="shared" ca="1" si="12"/>
        <v>0</v>
      </c>
      <c r="J35" s="1397">
        <f t="shared" ca="1" si="12"/>
        <v>0</v>
      </c>
      <c r="K35" s="1397">
        <f t="shared" ca="1" si="12"/>
        <v>0</v>
      </c>
      <c r="L35" s="1397">
        <f t="shared" ca="1" si="12"/>
        <v>0</v>
      </c>
      <c r="M35" s="1397">
        <f t="shared" ca="1" si="12"/>
        <v>0</v>
      </c>
      <c r="N35" s="1398">
        <f t="shared" ca="1" si="12"/>
        <v>0</v>
      </c>
      <c r="O35" s="326" t="str">
        <f>IF(MID(P35,7,1)="D","  ","")</f>
        <v/>
      </c>
      <c r="P35" s="324" t="s">
        <v>79</v>
      </c>
    </row>
    <row r="36" spans="1:16" ht="11.25" hidden="1" customHeight="1" x14ac:dyDescent="0.35">
      <c r="A36" s="362" t="s">
        <v>6015</v>
      </c>
      <c r="B36" s="1391">
        <v>0</v>
      </c>
      <c r="C36" s="380">
        <f>C32</f>
        <v>0</v>
      </c>
      <c r="D36" s="1182">
        <v>1</v>
      </c>
      <c r="E36" s="1174" t="s">
        <v>95</v>
      </c>
      <c r="F36" s="375"/>
      <c r="G36" s="1400"/>
      <c r="H36" s="1400"/>
      <c r="I36" s="1400"/>
      <c r="J36" s="1400"/>
      <c r="K36" s="1400"/>
      <c r="L36" s="1400"/>
      <c r="M36" s="1400"/>
      <c r="N36" s="1399"/>
      <c r="O36" s="326"/>
      <c r="P36" s="324" t="s">
        <v>40</v>
      </c>
    </row>
    <row r="37" spans="1:16" ht="11.25" hidden="1" customHeight="1" x14ac:dyDescent="0.35">
      <c r="A37" s="362" t="s">
        <v>6016</v>
      </c>
      <c r="B37" s="1391">
        <v>99</v>
      </c>
      <c r="C37" s="374" t="str">
        <f>""&amp;C33</f>
        <v/>
      </c>
      <c r="D37" s="1182">
        <v>1</v>
      </c>
      <c r="E37" s="1176" t="s">
        <v>96</v>
      </c>
      <c r="F37" s="375"/>
      <c r="G37" s="1400"/>
      <c r="H37" s="1400"/>
      <c r="I37" s="1400"/>
      <c r="J37" s="1400"/>
      <c r="K37" s="1400"/>
      <c r="L37" s="1400"/>
      <c r="M37" s="1400"/>
      <c r="N37" s="1400"/>
      <c r="O37" s="326"/>
      <c r="P37" s="324" t="s">
        <v>40</v>
      </c>
    </row>
    <row r="38" spans="1:16" ht="11.25" hidden="1" customHeight="1" x14ac:dyDescent="0.35">
      <c r="A38" s="358">
        <v>0</v>
      </c>
      <c r="B38" s="1394"/>
      <c r="C38" s="360"/>
      <c r="D38" s="1177"/>
      <c r="E38" s="1173" t="s">
        <v>97</v>
      </c>
      <c r="F38" s="322"/>
      <c r="G38" s="361"/>
      <c r="H38" s="361"/>
      <c r="I38" s="361"/>
      <c r="J38" s="361"/>
      <c r="K38" s="361"/>
      <c r="L38" s="361"/>
      <c r="M38" s="361"/>
      <c r="N38" s="361"/>
      <c r="O38" s="326"/>
      <c r="P38" s="324" t="s">
        <v>73</v>
      </c>
    </row>
    <row r="39" spans="1:16" ht="11.25" customHeight="1" x14ac:dyDescent="0.35">
      <c r="A39" s="362" t="s">
        <v>6017</v>
      </c>
      <c r="B39" s="1390">
        <v>3</v>
      </c>
      <c r="C39" s="364" t="s">
        <v>529</v>
      </c>
      <c r="D39" s="1178"/>
      <c r="E39" s="385" t="s">
        <v>98</v>
      </c>
      <c r="F39" s="955"/>
      <c r="G39" s="1395"/>
      <c r="H39" s="1395"/>
      <c r="I39" s="1395"/>
      <c r="J39" s="1395"/>
      <c r="K39" s="1395"/>
      <c r="L39" s="1395"/>
      <c r="M39" s="1395"/>
      <c r="N39" s="1396"/>
      <c r="O39" s="326" t="str">
        <f>IF(MID(P39,7,1)="D","  ","")</f>
        <v/>
      </c>
      <c r="P39" s="324" t="s">
        <v>71</v>
      </c>
    </row>
    <row r="40" spans="1:16" ht="11.25" customHeight="1" x14ac:dyDescent="0.35">
      <c r="A40" s="362" t="s">
        <v>6018</v>
      </c>
      <c r="B40" s="1391"/>
      <c r="C40" s="366" t="str">
        <f ca="1">SpecsTxt!$G$12&amp;" "&amp;B40</f>
        <v xml:space="preserve">Depreciation </v>
      </c>
      <c r="D40" s="1401"/>
      <c r="E40" s="390" t="s">
        <v>99</v>
      </c>
      <c r="F40" s="957"/>
      <c r="G40" s="1397"/>
      <c r="H40" s="1397"/>
      <c r="I40" s="1397"/>
      <c r="J40" s="1397"/>
      <c r="K40" s="1397"/>
      <c r="L40" s="1397"/>
      <c r="M40" s="1397"/>
      <c r="N40" s="1398"/>
      <c r="O40" s="326" t="str">
        <f>IF(MID(P40,7,1)="D","  ","")</f>
        <v/>
      </c>
      <c r="P40" s="324" t="s">
        <v>71</v>
      </c>
    </row>
    <row r="41" spans="1:16" ht="11.25" hidden="1" customHeight="1" x14ac:dyDescent="0.35">
      <c r="A41" s="362" t="s">
        <v>6019</v>
      </c>
      <c r="B41" s="1392">
        <v>1</v>
      </c>
      <c r="C41" s="369" t="s">
        <v>77</v>
      </c>
      <c r="D41" s="1180"/>
      <c r="E41" s="390" t="s">
        <v>100</v>
      </c>
      <c r="F41" s="957">
        <f t="shared" ref="F41:N41" ca="1" si="13">SUM(OFFSET(F41,0,-1))+F42</f>
        <v>0</v>
      </c>
      <c r="G41" s="1397">
        <f t="shared" ca="1" si="13"/>
        <v>0</v>
      </c>
      <c r="H41" s="1397">
        <f t="shared" ca="1" si="13"/>
        <v>0</v>
      </c>
      <c r="I41" s="1397">
        <f t="shared" ca="1" si="13"/>
        <v>0</v>
      </c>
      <c r="J41" s="1397">
        <f t="shared" ca="1" si="13"/>
        <v>0</v>
      </c>
      <c r="K41" s="1397">
        <f t="shared" ca="1" si="13"/>
        <v>0</v>
      </c>
      <c r="L41" s="1397">
        <f t="shared" ca="1" si="13"/>
        <v>0</v>
      </c>
      <c r="M41" s="1397">
        <f t="shared" ca="1" si="13"/>
        <v>0</v>
      </c>
      <c r="N41" s="1398">
        <f t="shared" ca="1" si="13"/>
        <v>0</v>
      </c>
      <c r="O41" s="326" t="str">
        <f>IF(MID(P41,7,1)="D","  ","")</f>
        <v/>
      </c>
      <c r="P41" s="324" t="s">
        <v>79</v>
      </c>
    </row>
    <row r="42" spans="1:16" ht="11.25" hidden="1" customHeight="1" x14ac:dyDescent="0.35">
      <c r="A42" s="362" t="s">
        <v>6020</v>
      </c>
      <c r="B42" s="1393">
        <v>1</v>
      </c>
      <c r="C42" s="371">
        <v>0</v>
      </c>
      <c r="D42" s="1181">
        <v>1</v>
      </c>
      <c r="E42" s="1174" t="s">
        <v>101</v>
      </c>
      <c r="F42" s="372"/>
      <c r="G42" s="1399"/>
      <c r="H42" s="1399"/>
      <c r="I42" s="1399"/>
      <c r="J42" s="1399"/>
      <c r="K42" s="1399"/>
      <c r="L42" s="1399"/>
      <c r="M42" s="1399"/>
      <c r="N42" s="1399"/>
      <c r="O42" s="326"/>
      <c r="P42" s="324" t="s">
        <v>40</v>
      </c>
    </row>
    <row r="43" spans="1:16" ht="11.25" hidden="1" customHeight="1" x14ac:dyDescent="0.35">
      <c r="A43" s="362" t="s">
        <v>6021</v>
      </c>
      <c r="B43" s="1391">
        <v>99</v>
      </c>
      <c r="C43" s="374"/>
      <c r="D43" s="1182">
        <v>1</v>
      </c>
      <c r="E43" s="1175" t="s">
        <v>102</v>
      </c>
      <c r="F43" s="375"/>
      <c r="G43" s="1400"/>
      <c r="H43" s="1400"/>
      <c r="I43" s="1400"/>
      <c r="J43" s="1400"/>
      <c r="K43" s="1400"/>
      <c r="L43" s="1400"/>
      <c r="M43" s="1400"/>
      <c r="N43" s="1400"/>
      <c r="O43" s="326"/>
      <c r="P43" s="324" t="s">
        <v>40</v>
      </c>
    </row>
    <row r="44" spans="1:16" ht="11.25" hidden="1" customHeight="1" x14ac:dyDescent="0.35">
      <c r="A44" s="362" t="s">
        <v>6022</v>
      </c>
      <c r="B44" s="1391"/>
      <c r="C44" s="377" t="str">
        <f>$C$16&amp;" "&amp;B44</f>
        <v xml:space="preserve">Imputed depreciation </v>
      </c>
      <c r="D44" s="1401"/>
      <c r="E44" s="390" t="s">
        <v>103</v>
      </c>
      <c r="F44" s="957"/>
      <c r="G44" s="1397"/>
      <c r="H44" s="1397"/>
      <c r="I44" s="1397"/>
      <c r="J44" s="1397"/>
      <c r="K44" s="1397"/>
      <c r="L44" s="1397"/>
      <c r="M44" s="1397"/>
      <c r="N44" s="1398"/>
      <c r="O44" s="326" t="str">
        <f>IF(MID(P44,7,1)="D","  ","")</f>
        <v/>
      </c>
      <c r="P44" s="324" t="s">
        <v>71</v>
      </c>
    </row>
    <row r="45" spans="1:16" ht="11.25" hidden="1" customHeight="1" x14ac:dyDescent="0.35">
      <c r="A45" s="362" t="s">
        <v>6023</v>
      </c>
      <c r="B45" s="1392">
        <v>1</v>
      </c>
      <c r="C45" s="378" t="s">
        <v>83</v>
      </c>
      <c r="D45" s="1183"/>
      <c r="E45" s="390" t="s">
        <v>104</v>
      </c>
      <c r="F45" s="960">
        <f t="shared" ref="F45:N45" ca="1" si="14">SUM(OFFSET(F45,0,-1))+F46</f>
        <v>0</v>
      </c>
      <c r="G45" s="1397">
        <f t="shared" ca="1" si="14"/>
        <v>0</v>
      </c>
      <c r="H45" s="1397">
        <f t="shared" ca="1" si="14"/>
        <v>0</v>
      </c>
      <c r="I45" s="1397">
        <f t="shared" ca="1" si="14"/>
        <v>0</v>
      </c>
      <c r="J45" s="1397">
        <f t="shared" ca="1" si="14"/>
        <v>0</v>
      </c>
      <c r="K45" s="1397">
        <f t="shared" ca="1" si="14"/>
        <v>0</v>
      </c>
      <c r="L45" s="1397">
        <f t="shared" ca="1" si="14"/>
        <v>0</v>
      </c>
      <c r="M45" s="1397">
        <f t="shared" ca="1" si="14"/>
        <v>0</v>
      </c>
      <c r="N45" s="1398">
        <f t="shared" ca="1" si="14"/>
        <v>0</v>
      </c>
      <c r="O45" s="326" t="str">
        <f>IF(MID(P45,7,1)="D","  ","")</f>
        <v/>
      </c>
      <c r="P45" s="324" t="s">
        <v>79</v>
      </c>
    </row>
    <row r="46" spans="1:16" ht="11.25" hidden="1" customHeight="1" x14ac:dyDescent="0.35">
      <c r="A46" s="362" t="s">
        <v>6024</v>
      </c>
      <c r="B46" s="1391">
        <v>0</v>
      </c>
      <c r="C46" s="380">
        <f>C42</f>
        <v>0</v>
      </c>
      <c r="D46" s="1182">
        <v>1</v>
      </c>
      <c r="E46" s="1174" t="s">
        <v>105</v>
      </c>
      <c r="F46" s="375"/>
      <c r="G46" s="1400"/>
      <c r="H46" s="1400"/>
      <c r="I46" s="1400"/>
      <c r="J46" s="1400"/>
      <c r="K46" s="1400"/>
      <c r="L46" s="1400"/>
      <c r="M46" s="1400"/>
      <c r="N46" s="1399"/>
      <c r="O46" s="326"/>
      <c r="P46" s="324" t="s">
        <v>40</v>
      </c>
    </row>
    <row r="47" spans="1:16" ht="11.25" hidden="1" customHeight="1" x14ac:dyDescent="0.35">
      <c r="A47" s="362" t="s">
        <v>6025</v>
      </c>
      <c r="B47" s="1391">
        <v>99</v>
      </c>
      <c r="C47" s="374" t="str">
        <f>""&amp;C43</f>
        <v/>
      </c>
      <c r="D47" s="1182">
        <v>1</v>
      </c>
      <c r="E47" s="1176" t="s">
        <v>106</v>
      </c>
      <c r="F47" s="375"/>
      <c r="G47" s="1400"/>
      <c r="H47" s="1400"/>
      <c r="I47" s="1400"/>
      <c r="J47" s="1400"/>
      <c r="K47" s="1400"/>
      <c r="L47" s="1400"/>
      <c r="M47" s="1400"/>
      <c r="N47" s="1400"/>
      <c r="O47" s="326"/>
      <c r="P47" s="324" t="s">
        <v>40</v>
      </c>
    </row>
    <row r="48" spans="1:16" ht="11.25" hidden="1" customHeight="1" x14ac:dyDescent="0.35">
      <c r="A48" s="358">
        <v>0</v>
      </c>
      <c r="B48" s="1394"/>
      <c r="C48" s="360"/>
      <c r="D48" s="1177"/>
      <c r="E48" s="1173" t="s">
        <v>107</v>
      </c>
      <c r="F48" s="322"/>
      <c r="G48" s="361"/>
      <c r="H48" s="361"/>
      <c r="I48" s="361"/>
      <c r="J48" s="361"/>
      <c r="K48" s="361"/>
      <c r="L48" s="361"/>
      <c r="M48" s="361"/>
      <c r="N48" s="361"/>
      <c r="O48" s="326"/>
      <c r="P48" s="324" t="s">
        <v>73</v>
      </c>
    </row>
    <row r="49" spans="1:16" ht="11.25" customHeight="1" x14ac:dyDescent="0.35">
      <c r="A49" s="362" t="s">
        <v>6026</v>
      </c>
      <c r="B49" s="1390">
        <v>4</v>
      </c>
      <c r="C49" s="364" t="s">
        <v>864</v>
      </c>
      <c r="D49" s="1178"/>
      <c r="E49" s="385" t="s">
        <v>108</v>
      </c>
      <c r="F49" s="955"/>
      <c r="G49" s="1395"/>
      <c r="H49" s="1395"/>
      <c r="I49" s="1395"/>
      <c r="J49" s="1395"/>
      <c r="K49" s="1395"/>
      <c r="L49" s="1395"/>
      <c r="M49" s="1395"/>
      <c r="N49" s="1396"/>
      <c r="O49" s="326" t="str">
        <f>IF(MID(P49,7,1)="D","  ","")</f>
        <v/>
      </c>
      <c r="P49" s="324" t="s">
        <v>71</v>
      </c>
    </row>
    <row r="50" spans="1:16" ht="11.25" customHeight="1" x14ac:dyDescent="0.35">
      <c r="A50" s="362" t="s">
        <v>6027</v>
      </c>
      <c r="B50" s="1391"/>
      <c r="C50" s="366" t="str">
        <f ca="1">SpecsTxt!$G$12&amp;" "&amp;B50</f>
        <v xml:space="preserve">Depreciation </v>
      </c>
      <c r="D50" s="1401"/>
      <c r="E50" s="390" t="s">
        <v>109</v>
      </c>
      <c r="F50" s="957"/>
      <c r="G50" s="1397"/>
      <c r="H50" s="1397"/>
      <c r="I50" s="1397"/>
      <c r="J50" s="1397"/>
      <c r="K50" s="1397"/>
      <c r="L50" s="1397"/>
      <c r="M50" s="1397"/>
      <c r="N50" s="1398"/>
      <c r="O50" s="326" t="str">
        <f>IF(MID(P50,7,1)="D","  ","")</f>
        <v/>
      </c>
      <c r="P50" s="324" t="s">
        <v>71</v>
      </c>
    </row>
    <row r="51" spans="1:16" ht="11.25" hidden="1" customHeight="1" x14ac:dyDescent="0.35">
      <c r="A51" s="362" t="s">
        <v>6028</v>
      </c>
      <c r="B51" s="1392">
        <v>1</v>
      </c>
      <c r="C51" s="369" t="s">
        <v>77</v>
      </c>
      <c r="D51" s="1180"/>
      <c r="E51" s="390" t="s">
        <v>110</v>
      </c>
      <c r="F51" s="957">
        <f t="shared" ref="F51:N51" ca="1" si="15">SUM(OFFSET(F51,0,-1))+F52</f>
        <v>0</v>
      </c>
      <c r="G51" s="1397">
        <f t="shared" ca="1" si="15"/>
        <v>0</v>
      </c>
      <c r="H51" s="1397">
        <f t="shared" ca="1" si="15"/>
        <v>0</v>
      </c>
      <c r="I51" s="1397">
        <f t="shared" ca="1" si="15"/>
        <v>0</v>
      </c>
      <c r="J51" s="1397">
        <f t="shared" ca="1" si="15"/>
        <v>0</v>
      </c>
      <c r="K51" s="1397">
        <f t="shared" ca="1" si="15"/>
        <v>0</v>
      </c>
      <c r="L51" s="1397">
        <f t="shared" ca="1" si="15"/>
        <v>0</v>
      </c>
      <c r="M51" s="1397">
        <f t="shared" ca="1" si="15"/>
        <v>0</v>
      </c>
      <c r="N51" s="1398">
        <f t="shared" ca="1" si="15"/>
        <v>0</v>
      </c>
      <c r="O51" s="326" t="str">
        <f>IF(MID(P51,7,1)="D","  ","")</f>
        <v/>
      </c>
      <c r="P51" s="324" t="s">
        <v>79</v>
      </c>
    </row>
    <row r="52" spans="1:16" ht="11.25" hidden="1" customHeight="1" x14ac:dyDescent="0.35">
      <c r="A52" s="362" t="s">
        <v>6029</v>
      </c>
      <c r="B52" s="1393">
        <v>1</v>
      </c>
      <c r="C52" s="371">
        <v>0</v>
      </c>
      <c r="D52" s="1181">
        <v>1</v>
      </c>
      <c r="E52" s="1174" t="s">
        <v>111</v>
      </c>
      <c r="F52" s="372"/>
      <c r="G52" s="1399"/>
      <c r="H52" s="1399"/>
      <c r="I52" s="1399"/>
      <c r="J52" s="1399"/>
      <c r="K52" s="1399"/>
      <c r="L52" s="1399"/>
      <c r="M52" s="1399"/>
      <c r="N52" s="1399"/>
      <c r="O52" s="326"/>
      <c r="P52" s="324" t="s">
        <v>40</v>
      </c>
    </row>
    <row r="53" spans="1:16" ht="11.25" hidden="1" customHeight="1" x14ac:dyDescent="0.35">
      <c r="A53" s="362" t="s">
        <v>6030</v>
      </c>
      <c r="B53" s="1391">
        <v>99</v>
      </c>
      <c r="C53" s="374"/>
      <c r="D53" s="1182">
        <v>1</v>
      </c>
      <c r="E53" s="1175" t="s">
        <v>112</v>
      </c>
      <c r="F53" s="375"/>
      <c r="G53" s="1400"/>
      <c r="H53" s="1400"/>
      <c r="I53" s="1400"/>
      <c r="J53" s="1400"/>
      <c r="K53" s="1400"/>
      <c r="L53" s="1400"/>
      <c r="M53" s="1400"/>
      <c r="N53" s="1400"/>
      <c r="O53" s="326"/>
      <c r="P53" s="324" t="s">
        <v>40</v>
      </c>
    </row>
    <row r="54" spans="1:16" ht="11.25" hidden="1" customHeight="1" x14ac:dyDescent="0.35">
      <c r="A54" s="362" t="s">
        <v>6031</v>
      </c>
      <c r="B54" s="1391"/>
      <c r="C54" s="377" t="str">
        <f>$C$16&amp;" "&amp;B54</f>
        <v xml:space="preserve">Imputed depreciation </v>
      </c>
      <c r="D54" s="1401"/>
      <c r="E54" s="390" t="s">
        <v>113</v>
      </c>
      <c r="F54" s="957"/>
      <c r="G54" s="1397"/>
      <c r="H54" s="1397"/>
      <c r="I54" s="1397"/>
      <c r="J54" s="1397"/>
      <c r="K54" s="1397"/>
      <c r="L54" s="1397"/>
      <c r="M54" s="1397"/>
      <c r="N54" s="1398"/>
      <c r="O54" s="326" t="str">
        <f>IF(MID(P54,7,1)="D","  ","")</f>
        <v/>
      </c>
      <c r="P54" s="324" t="s">
        <v>71</v>
      </c>
    </row>
    <row r="55" spans="1:16" ht="11.25" hidden="1" customHeight="1" x14ac:dyDescent="0.35">
      <c r="A55" s="362" t="s">
        <v>6032</v>
      </c>
      <c r="B55" s="1392">
        <v>1</v>
      </c>
      <c r="C55" s="378" t="s">
        <v>83</v>
      </c>
      <c r="D55" s="1183"/>
      <c r="E55" s="390" t="s">
        <v>114</v>
      </c>
      <c r="F55" s="960">
        <f t="shared" ref="F55:N55" ca="1" si="16">SUM(OFFSET(F55,0,-1))+F56</f>
        <v>0</v>
      </c>
      <c r="G55" s="1397">
        <f t="shared" ca="1" si="16"/>
        <v>0</v>
      </c>
      <c r="H55" s="1397">
        <f t="shared" ca="1" si="16"/>
        <v>0</v>
      </c>
      <c r="I55" s="1397">
        <f t="shared" ca="1" si="16"/>
        <v>0</v>
      </c>
      <c r="J55" s="1397">
        <f t="shared" ca="1" si="16"/>
        <v>0</v>
      </c>
      <c r="K55" s="1397">
        <f t="shared" ca="1" si="16"/>
        <v>0</v>
      </c>
      <c r="L55" s="1397">
        <f t="shared" ca="1" si="16"/>
        <v>0</v>
      </c>
      <c r="M55" s="1397">
        <f t="shared" ca="1" si="16"/>
        <v>0</v>
      </c>
      <c r="N55" s="1398">
        <f t="shared" ca="1" si="16"/>
        <v>0</v>
      </c>
      <c r="O55" s="326" t="str">
        <f>IF(MID(P55,7,1)="D","  ","")</f>
        <v/>
      </c>
      <c r="P55" s="324" t="s">
        <v>79</v>
      </c>
    </row>
    <row r="56" spans="1:16" ht="11.25" hidden="1" customHeight="1" x14ac:dyDescent="0.35">
      <c r="A56" s="362" t="s">
        <v>6033</v>
      </c>
      <c r="B56" s="1391">
        <v>0</v>
      </c>
      <c r="C56" s="380">
        <f>C52</f>
        <v>0</v>
      </c>
      <c r="D56" s="1182">
        <v>1</v>
      </c>
      <c r="E56" s="1174" t="s">
        <v>115</v>
      </c>
      <c r="F56" s="375"/>
      <c r="G56" s="1400"/>
      <c r="H56" s="1400"/>
      <c r="I56" s="1400"/>
      <c r="J56" s="1400"/>
      <c r="K56" s="1400"/>
      <c r="L56" s="1400"/>
      <c r="M56" s="1400"/>
      <c r="N56" s="1399"/>
      <c r="O56" s="326"/>
      <c r="P56" s="324" t="s">
        <v>40</v>
      </c>
    </row>
    <row r="57" spans="1:16" ht="11.25" hidden="1" customHeight="1" x14ac:dyDescent="0.35">
      <c r="A57" s="362" t="s">
        <v>6034</v>
      </c>
      <c r="B57" s="1391">
        <v>99</v>
      </c>
      <c r="C57" s="374" t="str">
        <f>""&amp;C53</f>
        <v/>
      </c>
      <c r="D57" s="1182">
        <v>1</v>
      </c>
      <c r="E57" s="1176" t="s">
        <v>116</v>
      </c>
      <c r="F57" s="375"/>
      <c r="G57" s="1400"/>
      <c r="H57" s="1400"/>
      <c r="I57" s="1400"/>
      <c r="J57" s="1400"/>
      <c r="K57" s="1400"/>
      <c r="L57" s="1400"/>
      <c r="M57" s="1400"/>
      <c r="N57" s="1400"/>
      <c r="O57" s="326"/>
      <c r="P57" s="324" t="s">
        <v>40</v>
      </c>
    </row>
    <row r="58" spans="1:16" ht="11.25" hidden="1" customHeight="1" x14ac:dyDescent="0.35">
      <c r="A58" s="358">
        <v>0</v>
      </c>
      <c r="B58" s="1394"/>
      <c r="C58" s="360"/>
      <c r="D58" s="1177"/>
      <c r="E58" s="1173" t="s">
        <v>117</v>
      </c>
      <c r="F58" s="322"/>
      <c r="G58" s="361"/>
      <c r="H58" s="361"/>
      <c r="I58" s="361"/>
      <c r="J58" s="361"/>
      <c r="K58" s="361"/>
      <c r="L58" s="361"/>
      <c r="M58" s="361"/>
      <c r="N58" s="361"/>
      <c r="O58" s="326"/>
      <c r="P58" s="324" t="s">
        <v>118</v>
      </c>
    </row>
    <row r="59" spans="1:16" ht="11.25" customHeight="1" x14ac:dyDescent="0.35">
      <c r="A59" s="362" t="s">
        <v>119</v>
      </c>
      <c r="B59" s="1390">
        <v>5</v>
      </c>
      <c r="C59" s="364" t="s">
        <v>872</v>
      </c>
      <c r="D59" s="1178"/>
      <c r="E59" s="385" t="s">
        <v>120</v>
      </c>
      <c r="F59" s="955"/>
      <c r="G59" s="1395"/>
      <c r="H59" s="1395">
        <v>-3000000</v>
      </c>
      <c r="I59" s="1395"/>
      <c r="J59" s="1395">
        <v>-270000</v>
      </c>
      <c r="K59" s="1395"/>
      <c r="L59" s="1395">
        <v>-135000</v>
      </c>
      <c r="M59" s="1395"/>
      <c r="N59" s="1396">
        <v>367500</v>
      </c>
      <c r="O59" s="326" t="str">
        <f>IF(MID(P59,7,1)="D","  ","")</f>
        <v/>
      </c>
      <c r="P59" s="324" t="s">
        <v>121</v>
      </c>
    </row>
    <row r="60" spans="1:16" ht="11.25" customHeight="1" x14ac:dyDescent="0.35">
      <c r="A60" s="362" t="s">
        <v>122</v>
      </c>
      <c r="B60" s="1391"/>
      <c r="C60" s="366" t="str">
        <f ca="1">SpecsTxt!$G$12&amp;" "&amp;B60</f>
        <v xml:space="preserve">Depreciation </v>
      </c>
      <c r="D60" s="1401"/>
      <c r="E60" s="390" t="s">
        <v>123</v>
      </c>
      <c r="F60" s="957"/>
      <c r="G60" s="1397"/>
      <c r="H60" s="1397">
        <v>-187500</v>
      </c>
      <c r="I60" s="1397">
        <v>-703125</v>
      </c>
      <c r="J60" s="1397">
        <v>-594843.75</v>
      </c>
      <c r="K60" s="1397">
        <v>-463007.8125</v>
      </c>
      <c r="L60" s="1397">
        <v>-397880.859375</v>
      </c>
      <c r="M60" s="1397">
        <v>-323723.14453125</v>
      </c>
      <c r="N60" s="1398"/>
      <c r="O60" s="326" t="str">
        <f>IF(MID(P60,7,1)="D","  ","")</f>
        <v/>
      </c>
      <c r="P60" s="324" t="s">
        <v>121</v>
      </c>
    </row>
    <row r="61" spans="1:16" ht="11.25" hidden="1" customHeight="1" x14ac:dyDescent="0.35">
      <c r="A61" s="362" t="s">
        <v>124</v>
      </c>
      <c r="B61" s="1392">
        <v>1</v>
      </c>
      <c r="C61" s="369" t="s">
        <v>77</v>
      </c>
      <c r="D61" s="1180"/>
      <c r="E61" s="390" t="s">
        <v>125</v>
      </c>
      <c r="F61" s="957">
        <f t="shared" ref="F61:N61" ca="1" si="17">SUM(OFFSET(F61,0,-1))+F62</f>
        <v>0</v>
      </c>
      <c r="G61" s="1397">
        <f t="shared" ca="1" si="17"/>
        <v>0</v>
      </c>
      <c r="H61" s="1397">
        <f t="shared" ca="1" si="17"/>
        <v>2812500</v>
      </c>
      <c r="I61" s="1397">
        <f t="shared" ca="1" si="17"/>
        <v>2109375</v>
      </c>
      <c r="J61" s="1397">
        <f t="shared" ca="1" si="17"/>
        <v>1784531.25</v>
      </c>
      <c r="K61" s="1397">
        <f t="shared" ca="1" si="17"/>
        <v>1321523.4375</v>
      </c>
      <c r="L61" s="1397">
        <f t="shared" ca="1" si="17"/>
        <v>1058642.578125</v>
      </c>
      <c r="M61" s="1397">
        <f t="shared" ca="1" si="17"/>
        <v>734919.43359375</v>
      </c>
      <c r="N61" s="1398">
        <f t="shared" ca="1" si="17"/>
        <v>0</v>
      </c>
      <c r="O61" s="326" t="str">
        <f>IF(MID(P61,7,1)="D","  ","")</f>
        <v/>
      </c>
      <c r="P61" s="324" t="s">
        <v>79</v>
      </c>
    </row>
    <row r="62" spans="1:16" ht="11.25" hidden="1" customHeight="1" x14ac:dyDescent="0.35">
      <c r="A62" s="362" t="s">
        <v>126</v>
      </c>
      <c r="B62" s="1393">
        <v>1</v>
      </c>
      <c r="C62" s="371">
        <v>0</v>
      </c>
      <c r="D62" s="1181">
        <v>1</v>
      </c>
      <c r="E62" s="1174" t="s">
        <v>127</v>
      </c>
      <c r="F62" s="372"/>
      <c r="G62" s="1399"/>
      <c r="H62" s="1410">
        <v>2812500</v>
      </c>
      <c r="I62" s="1410">
        <v>-703125</v>
      </c>
      <c r="J62" s="1410">
        <v>-324843.75</v>
      </c>
      <c r="K62" s="1410">
        <v>-463007.8125</v>
      </c>
      <c r="L62" s="1410">
        <v>-262880.859375</v>
      </c>
      <c r="M62" s="1410">
        <v>-323723.14453125</v>
      </c>
      <c r="N62" s="1410">
        <v>-734919.43359375</v>
      </c>
      <c r="O62" s="326"/>
      <c r="P62" s="324" t="s">
        <v>40</v>
      </c>
    </row>
    <row r="63" spans="1:16" ht="11.25" hidden="1" customHeight="1" x14ac:dyDescent="0.35">
      <c r="A63" s="362" t="s">
        <v>128</v>
      </c>
      <c r="B63" s="1391">
        <v>99</v>
      </c>
      <c r="C63" s="374"/>
      <c r="D63" s="1182">
        <v>1</v>
      </c>
      <c r="E63" s="1175" t="s">
        <v>129</v>
      </c>
      <c r="F63" s="375"/>
      <c r="G63" s="1400"/>
      <c r="H63" s="1400"/>
      <c r="I63" s="1400"/>
      <c r="J63" s="1400"/>
      <c r="K63" s="1400"/>
      <c r="L63" s="1400"/>
      <c r="M63" s="1400"/>
      <c r="N63" s="1400"/>
      <c r="O63" s="326"/>
      <c r="P63" s="324" t="s">
        <v>40</v>
      </c>
    </row>
    <row r="64" spans="1:16" ht="11.25" hidden="1" customHeight="1" x14ac:dyDescent="0.35">
      <c r="A64" s="362" t="s">
        <v>130</v>
      </c>
      <c r="B64" s="1391"/>
      <c r="C64" s="377" t="str">
        <f>$C$16&amp;" "&amp;B64</f>
        <v xml:space="preserve">Imputed depreciation </v>
      </c>
      <c r="D64" s="1401"/>
      <c r="E64" s="390" t="s">
        <v>131</v>
      </c>
      <c r="F64" s="957"/>
      <c r="G64" s="1397"/>
      <c r="H64" s="1397"/>
      <c r="I64" s="1397"/>
      <c r="J64" s="1397"/>
      <c r="K64" s="1397"/>
      <c r="L64" s="1397"/>
      <c r="M64" s="1397"/>
      <c r="N64" s="1398"/>
      <c r="O64" s="326" t="str">
        <f>IF(MID(P64,7,1)="D","  ","")</f>
        <v/>
      </c>
      <c r="P64" s="324" t="s">
        <v>121</v>
      </c>
    </row>
    <row r="65" spans="1:16" ht="11.25" hidden="1" customHeight="1" x14ac:dyDescent="0.35">
      <c r="A65" s="362" t="s">
        <v>132</v>
      </c>
      <c r="B65" s="1392">
        <v>1</v>
      </c>
      <c r="C65" s="378" t="s">
        <v>83</v>
      </c>
      <c r="D65" s="1183"/>
      <c r="E65" s="390" t="s">
        <v>133</v>
      </c>
      <c r="F65" s="960">
        <f t="shared" ref="F65:N65" ca="1" si="18">SUM(OFFSET(F65,0,-1))+F66</f>
        <v>0</v>
      </c>
      <c r="G65" s="1397">
        <f t="shared" ca="1" si="18"/>
        <v>0</v>
      </c>
      <c r="H65" s="1397">
        <f t="shared" ca="1" si="18"/>
        <v>3000000</v>
      </c>
      <c r="I65" s="1397">
        <f t="shared" ca="1" si="18"/>
        <v>3000000</v>
      </c>
      <c r="J65" s="1397">
        <f t="shared" ca="1" si="18"/>
        <v>3270000</v>
      </c>
      <c r="K65" s="1397">
        <f t="shared" ca="1" si="18"/>
        <v>3270000</v>
      </c>
      <c r="L65" s="1397">
        <f t="shared" ca="1" si="18"/>
        <v>3405000</v>
      </c>
      <c r="M65" s="1397">
        <f t="shared" ca="1" si="18"/>
        <v>3405000</v>
      </c>
      <c r="N65" s="1398">
        <f t="shared" ca="1" si="18"/>
        <v>0</v>
      </c>
      <c r="O65" s="326" t="str">
        <f>IF(MID(P65,7,1)="D","  ","")</f>
        <v/>
      </c>
      <c r="P65" s="324" t="s">
        <v>79</v>
      </c>
    </row>
    <row r="66" spans="1:16" ht="11.25" hidden="1" customHeight="1" x14ac:dyDescent="0.35">
      <c r="A66" s="362" t="s">
        <v>134</v>
      </c>
      <c r="B66" s="1391">
        <v>0</v>
      </c>
      <c r="C66" s="380">
        <f>C62</f>
        <v>0</v>
      </c>
      <c r="D66" s="1182">
        <v>1</v>
      </c>
      <c r="E66" s="1174" t="s">
        <v>135</v>
      </c>
      <c r="F66" s="375"/>
      <c r="G66" s="1400"/>
      <c r="H66" s="1411">
        <v>3000000</v>
      </c>
      <c r="I66" s="1411">
        <v>0</v>
      </c>
      <c r="J66" s="1411">
        <v>270000</v>
      </c>
      <c r="K66" s="1411">
        <v>0</v>
      </c>
      <c r="L66" s="1411">
        <v>135000</v>
      </c>
      <c r="M66" s="1411">
        <v>0</v>
      </c>
      <c r="N66" s="1410">
        <v>-3405000</v>
      </c>
      <c r="O66" s="326"/>
      <c r="P66" s="324" t="s">
        <v>40</v>
      </c>
    </row>
    <row r="67" spans="1:16" ht="11.25" hidden="1" customHeight="1" x14ac:dyDescent="0.35">
      <c r="A67" s="362" t="s">
        <v>136</v>
      </c>
      <c r="B67" s="1391">
        <v>99</v>
      </c>
      <c r="C67" s="374" t="str">
        <f>""&amp;C63</f>
        <v/>
      </c>
      <c r="D67" s="1182">
        <v>1</v>
      </c>
      <c r="E67" s="1176" t="s">
        <v>137</v>
      </c>
      <c r="F67" s="375"/>
      <c r="G67" s="1400"/>
      <c r="H67" s="1400"/>
      <c r="I67" s="1400"/>
      <c r="J67" s="1400"/>
      <c r="K67" s="1400"/>
      <c r="L67" s="1400"/>
      <c r="M67" s="1400"/>
      <c r="N67" s="1400"/>
      <c r="O67" s="326"/>
      <c r="P67" s="324" t="s">
        <v>40</v>
      </c>
    </row>
    <row r="68" spans="1:16" ht="11.25" hidden="1" customHeight="1" x14ac:dyDescent="0.35">
      <c r="A68" s="358">
        <v>0</v>
      </c>
      <c r="B68" s="1394"/>
      <c r="C68" s="360"/>
      <c r="D68" s="1177"/>
      <c r="E68" s="1173" t="s">
        <v>138</v>
      </c>
      <c r="F68" s="322"/>
      <c r="G68" s="361"/>
      <c r="H68" s="361"/>
      <c r="I68" s="361"/>
      <c r="J68" s="361"/>
      <c r="K68" s="361"/>
      <c r="L68" s="361"/>
      <c r="M68" s="361"/>
      <c r="N68" s="361"/>
      <c r="O68" s="326"/>
      <c r="P68" s="324" t="s">
        <v>118</v>
      </c>
    </row>
    <row r="69" spans="1:16" ht="11.25" customHeight="1" x14ac:dyDescent="0.35">
      <c r="A69" s="362" t="s">
        <v>6035</v>
      </c>
      <c r="B69" s="1390">
        <v>6</v>
      </c>
      <c r="C69" s="364" t="s">
        <v>878</v>
      </c>
      <c r="D69" s="1178"/>
      <c r="E69" s="385" t="s">
        <v>139</v>
      </c>
      <c r="F69" s="955"/>
      <c r="G69" s="1395"/>
      <c r="H69" s="1395">
        <v>-5100000</v>
      </c>
      <c r="I69" s="1395"/>
      <c r="J69" s="1395"/>
      <c r="K69" s="1395"/>
      <c r="L69" s="1395"/>
      <c r="M69" s="1395"/>
      <c r="N69" s="1396">
        <v>1200000</v>
      </c>
      <c r="O69" s="326" t="str">
        <f>IF(MID(P69,7,1)="D","  ","")</f>
        <v/>
      </c>
      <c r="P69" s="324" t="s">
        <v>121</v>
      </c>
    </row>
    <row r="70" spans="1:16" ht="11.25" customHeight="1" x14ac:dyDescent="0.35">
      <c r="A70" s="362" t="s">
        <v>6036</v>
      </c>
      <c r="B70" s="1391"/>
      <c r="C70" s="366" t="str">
        <f ca="1">SpecsTxt!$G$12&amp;" "&amp;B70</f>
        <v xml:space="preserve">Depreciation </v>
      </c>
      <c r="D70" s="1401"/>
      <c r="E70" s="390" t="s">
        <v>140</v>
      </c>
      <c r="F70" s="957"/>
      <c r="G70" s="1397"/>
      <c r="H70" s="1397">
        <v>-45500.000000000073</v>
      </c>
      <c r="I70" s="1397">
        <v>-204000</v>
      </c>
      <c r="J70" s="1397">
        <v>-204000</v>
      </c>
      <c r="K70" s="1397">
        <v>-204000</v>
      </c>
      <c r="L70" s="1397">
        <v>-204000</v>
      </c>
      <c r="M70" s="1397">
        <v>-204000</v>
      </c>
      <c r="N70" s="1398"/>
      <c r="O70" s="326" t="str">
        <f>IF(MID(P70,7,1)="D","  ","")</f>
        <v/>
      </c>
      <c r="P70" s="324" t="s">
        <v>121</v>
      </c>
    </row>
    <row r="71" spans="1:16" ht="11.25" hidden="1" customHeight="1" x14ac:dyDescent="0.35">
      <c r="A71" s="362" t="s">
        <v>6037</v>
      </c>
      <c r="B71" s="1392">
        <v>1</v>
      </c>
      <c r="C71" s="369" t="s">
        <v>77</v>
      </c>
      <c r="D71" s="1180"/>
      <c r="E71" s="390" t="s">
        <v>141</v>
      </c>
      <c r="F71" s="957">
        <f t="shared" ref="F71:N71" ca="1" si="19">SUM(OFFSET(F71,0,-1))+F72</f>
        <v>0</v>
      </c>
      <c r="G71" s="1397">
        <f t="shared" ca="1" si="19"/>
        <v>0</v>
      </c>
      <c r="H71" s="1397">
        <f t="shared" ca="1" si="19"/>
        <v>5054500</v>
      </c>
      <c r="I71" s="1397">
        <f t="shared" ca="1" si="19"/>
        <v>4850500</v>
      </c>
      <c r="J71" s="1397">
        <f t="shared" ca="1" si="19"/>
        <v>4646500</v>
      </c>
      <c r="K71" s="1397">
        <f t="shared" ca="1" si="19"/>
        <v>4442500</v>
      </c>
      <c r="L71" s="1397">
        <f t="shared" ca="1" si="19"/>
        <v>4238500</v>
      </c>
      <c r="M71" s="1397">
        <f t="shared" ca="1" si="19"/>
        <v>4034500</v>
      </c>
      <c r="N71" s="1398">
        <f t="shared" ca="1" si="19"/>
        <v>0</v>
      </c>
      <c r="O71" s="326" t="str">
        <f>IF(MID(P71,7,1)="D","  ","")</f>
        <v/>
      </c>
      <c r="P71" s="324" t="s">
        <v>79</v>
      </c>
    </row>
    <row r="72" spans="1:16" ht="11.25" hidden="1" customHeight="1" x14ac:dyDescent="0.35">
      <c r="A72" s="362" t="s">
        <v>6038</v>
      </c>
      <c r="B72" s="1393">
        <v>1</v>
      </c>
      <c r="C72" s="371">
        <v>0</v>
      </c>
      <c r="D72" s="1181">
        <v>1</v>
      </c>
      <c r="E72" s="1174" t="s">
        <v>142</v>
      </c>
      <c r="F72" s="372"/>
      <c r="G72" s="1399"/>
      <c r="H72" s="1410">
        <v>5054500</v>
      </c>
      <c r="I72" s="1410">
        <v>-204000</v>
      </c>
      <c r="J72" s="1410">
        <v>-204000</v>
      </c>
      <c r="K72" s="1410">
        <v>-204000</v>
      </c>
      <c r="L72" s="1410">
        <v>-204000</v>
      </c>
      <c r="M72" s="1410">
        <v>-204000</v>
      </c>
      <c r="N72" s="1410">
        <v>-4034500</v>
      </c>
      <c r="O72" s="326"/>
      <c r="P72" s="324" t="s">
        <v>40</v>
      </c>
    </row>
    <row r="73" spans="1:16" ht="11.25" hidden="1" customHeight="1" x14ac:dyDescent="0.35">
      <c r="A73" s="362" t="s">
        <v>6039</v>
      </c>
      <c r="B73" s="1391">
        <v>99</v>
      </c>
      <c r="C73" s="374"/>
      <c r="D73" s="1182">
        <v>1</v>
      </c>
      <c r="E73" s="1175" t="s">
        <v>143</v>
      </c>
      <c r="F73" s="375"/>
      <c r="G73" s="1400"/>
      <c r="H73" s="1400"/>
      <c r="I73" s="1400"/>
      <c r="J73" s="1400"/>
      <c r="K73" s="1400"/>
      <c r="L73" s="1400"/>
      <c r="M73" s="1400"/>
      <c r="N73" s="1400"/>
      <c r="O73" s="326"/>
      <c r="P73" s="324" t="s">
        <v>40</v>
      </c>
    </row>
    <row r="74" spans="1:16" ht="11.25" hidden="1" customHeight="1" x14ac:dyDescent="0.35">
      <c r="A74" s="362" t="s">
        <v>6040</v>
      </c>
      <c r="B74" s="1391"/>
      <c r="C74" s="377" t="str">
        <f>$C$16&amp;" "&amp;B74</f>
        <v xml:space="preserve">Imputed depreciation </v>
      </c>
      <c r="D74" s="1401"/>
      <c r="E74" s="390" t="s">
        <v>144</v>
      </c>
      <c r="F74" s="957"/>
      <c r="G74" s="1397"/>
      <c r="H74" s="1397"/>
      <c r="I74" s="1397"/>
      <c r="J74" s="1397"/>
      <c r="K74" s="1397"/>
      <c r="L74" s="1397"/>
      <c r="M74" s="1397"/>
      <c r="N74" s="1398"/>
      <c r="O74" s="326" t="str">
        <f>IF(MID(P74,7,1)="D","  ","")</f>
        <v/>
      </c>
      <c r="P74" s="324" t="s">
        <v>121</v>
      </c>
    </row>
    <row r="75" spans="1:16" ht="11.25" hidden="1" customHeight="1" x14ac:dyDescent="0.35">
      <c r="A75" s="362" t="s">
        <v>6041</v>
      </c>
      <c r="B75" s="1392">
        <v>1</v>
      </c>
      <c r="C75" s="378" t="s">
        <v>83</v>
      </c>
      <c r="D75" s="1183"/>
      <c r="E75" s="390" t="s">
        <v>145</v>
      </c>
      <c r="F75" s="960">
        <f t="shared" ref="F75:N75" ca="1" si="20">SUM(OFFSET(F75,0,-1))+F76</f>
        <v>0</v>
      </c>
      <c r="G75" s="1397">
        <f t="shared" ca="1" si="20"/>
        <v>0</v>
      </c>
      <c r="H75" s="1397">
        <f t="shared" ca="1" si="20"/>
        <v>5100000</v>
      </c>
      <c r="I75" s="1397">
        <f t="shared" ca="1" si="20"/>
        <v>5100000</v>
      </c>
      <c r="J75" s="1397">
        <f t="shared" ca="1" si="20"/>
        <v>5100000</v>
      </c>
      <c r="K75" s="1397">
        <f t="shared" ca="1" si="20"/>
        <v>5100000</v>
      </c>
      <c r="L75" s="1397">
        <f t="shared" ca="1" si="20"/>
        <v>5100000</v>
      </c>
      <c r="M75" s="1397">
        <f t="shared" ca="1" si="20"/>
        <v>5100000</v>
      </c>
      <c r="N75" s="1398">
        <f t="shared" ca="1" si="20"/>
        <v>0</v>
      </c>
      <c r="O75" s="326" t="str">
        <f>IF(MID(P75,7,1)="D","  ","")</f>
        <v/>
      </c>
      <c r="P75" s="324" t="s">
        <v>79</v>
      </c>
    </row>
    <row r="76" spans="1:16" ht="11.25" hidden="1" customHeight="1" x14ac:dyDescent="0.35">
      <c r="A76" s="362" t="s">
        <v>6042</v>
      </c>
      <c r="B76" s="1391">
        <v>0</v>
      </c>
      <c r="C76" s="380">
        <f>C72</f>
        <v>0</v>
      </c>
      <c r="D76" s="1182">
        <v>1</v>
      </c>
      <c r="E76" s="1174" t="s">
        <v>146</v>
      </c>
      <c r="F76" s="375"/>
      <c r="G76" s="1400"/>
      <c r="H76" s="1411">
        <v>5100000</v>
      </c>
      <c r="I76" s="1411">
        <v>0</v>
      </c>
      <c r="J76" s="1411">
        <v>0</v>
      </c>
      <c r="K76" s="1411">
        <v>0</v>
      </c>
      <c r="L76" s="1411">
        <v>0</v>
      </c>
      <c r="M76" s="1411">
        <v>0</v>
      </c>
      <c r="N76" s="1410">
        <v>-5100000</v>
      </c>
      <c r="O76" s="326"/>
      <c r="P76" s="324" t="s">
        <v>40</v>
      </c>
    </row>
    <row r="77" spans="1:16" ht="11.25" hidden="1" customHeight="1" x14ac:dyDescent="0.35">
      <c r="A77" s="362" t="s">
        <v>6043</v>
      </c>
      <c r="B77" s="1391">
        <v>99</v>
      </c>
      <c r="C77" s="374" t="str">
        <f>""&amp;C73</f>
        <v/>
      </c>
      <c r="D77" s="1182">
        <v>1</v>
      </c>
      <c r="E77" s="1176" t="s">
        <v>147</v>
      </c>
      <c r="F77" s="375"/>
      <c r="G77" s="1400"/>
      <c r="H77" s="1400"/>
      <c r="I77" s="1400"/>
      <c r="J77" s="1400"/>
      <c r="K77" s="1400"/>
      <c r="L77" s="1400"/>
      <c r="M77" s="1400"/>
      <c r="N77" s="1400"/>
      <c r="O77" s="326"/>
      <c r="P77" s="324" t="s">
        <v>40</v>
      </c>
    </row>
    <row r="78" spans="1:16" ht="11.25" hidden="1" customHeight="1" x14ac:dyDescent="0.35">
      <c r="A78" s="358">
        <v>0</v>
      </c>
      <c r="B78" s="1394"/>
      <c r="C78" s="360"/>
      <c r="D78" s="1177"/>
      <c r="E78" s="1173" t="s">
        <v>148</v>
      </c>
      <c r="F78" s="322"/>
      <c r="G78" s="361"/>
      <c r="H78" s="361"/>
      <c r="I78" s="361"/>
      <c r="J78" s="361"/>
      <c r="K78" s="361"/>
      <c r="L78" s="361"/>
      <c r="M78" s="361"/>
      <c r="N78" s="361"/>
      <c r="O78" s="326"/>
      <c r="P78" s="324" t="s">
        <v>118</v>
      </c>
    </row>
    <row r="79" spans="1:16" ht="11.25" customHeight="1" x14ac:dyDescent="0.35">
      <c r="A79" s="362" t="s">
        <v>6044</v>
      </c>
      <c r="B79" s="1390">
        <v>7</v>
      </c>
      <c r="C79" s="364" t="s">
        <v>884</v>
      </c>
      <c r="D79" s="1178"/>
      <c r="E79" s="385" t="s">
        <v>149</v>
      </c>
      <c r="F79" s="955"/>
      <c r="G79" s="1395"/>
      <c r="H79" s="1395"/>
      <c r="I79" s="1395"/>
      <c r="J79" s="1395"/>
      <c r="K79" s="1395"/>
      <c r="L79" s="1395"/>
      <c r="M79" s="1395"/>
      <c r="N79" s="1396"/>
      <c r="O79" s="326" t="str">
        <f>IF(MID(P79,7,1)="D","  ","")</f>
        <v/>
      </c>
      <c r="P79" s="324" t="s">
        <v>121</v>
      </c>
    </row>
    <row r="80" spans="1:16" ht="11.25" customHeight="1" x14ac:dyDescent="0.35">
      <c r="A80" s="362" t="s">
        <v>6045</v>
      </c>
      <c r="B80" s="1391"/>
      <c r="C80" s="366" t="str">
        <f ca="1">SpecsTxt!$G$12&amp;" "&amp;B80</f>
        <v xml:space="preserve">Depreciation </v>
      </c>
      <c r="D80" s="1401"/>
      <c r="E80" s="390" t="s">
        <v>150</v>
      </c>
      <c r="F80" s="957"/>
      <c r="G80" s="1397"/>
      <c r="H80" s="1397"/>
      <c r="I80" s="1397"/>
      <c r="J80" s="1397"/>
      <c r="K80" s="1397"/>
      <c r="L80" s="1397"/>
      <c r="M80" s="1397"/>
      <c r="N80" s="1398"/>
      <c r="O80" s="326" t="str">
        <f>IF(MID(P80,7,1)="D","  ","")</f>
        <v/>
      </c>
      <c r="P80" s="324" t="s">
        <v>121</v>
      </c>
    </row>
    <row r="81" spans="1:16" ht="11.25" hidden="1" customHeight="1" x14ac:dyDescent="0.35">
      <c r="A81" s="362" t="s">
        <v>6046</v>
      </c>
      <c r="B81" s="1392">
        <v>1</v>
      </c>
      <c r="C81" s="369" t="s">
        <v>77</v>
      </c>
      <c r="D81" s="1180"/>
      <c r="E81" s="390" t="s">
        <v>151</v>
      </c>
      <c r="F81" s="957">
        <f t="shared" ref="F81:N81" ca="1" si="21">SUM(OFFSET(F81,0,-1))+F82</f>
        <v>0</v>
      </c>
      <c r="G81" s="1397">
        <f t="shared" ca="1" si="21"/>
        <v>0</v>
      </c>
      <c r="H81" s="1397">
        <f t="shared" ca="1" si="21"/>
        <v>0</v>
      </c>
      <c r="I81" s="1397">
        <f t="shared" ca="1" si="21"/>
        <v>0</v>
      </c>
      <c r="J81" s="1397">
        <f t="shared" ca="1" si="21"/>
        <v>0</v>
      </c>
      <c r="K81" s="1397">
        <f t="shared" ca="1" si="21"/>
        <v>0</v>
      </c>
      <c r="L81" s="1397">
        <f t="shared" ca="1" si="21"/>
        <v>0</v>
      </c>
      <c r="M81" s="1397">
        <f t="shared" ca="1" si="21"/>
        <v>0</v>
      </c>
      <c r="N81" s="1398">
        <f t="shared" ca="1" si="21"/>
        <v>0</v>
      </c>
      <c r="O81" s="326" t="str">
        <f>IF(MID(P81,7,1)="D","  ","")</f>
        <v/>
      </c>
      <c r="P81" s="324" t="s">
        <v>79</v>
      </c>
    </row>
    <row r="82" spans="1:16" ht="11.25" hidden="1" customHeight="1" x14ac:dyDescent="0.35">
      <c r="A82" s="362" t="s">
        <v>6047</v>
      </c>
      <c r="B82" s="1393">
        <v>1</v>
      </c>
      <c r="C82" s="371">
        <v>0</v>
      </c>
      <c r="D82" s="1181">
        <v>1</v>
      </c>
      <c r="E82" s="1174" t="s">
        <v>152</v>
      </c>
      <c r="F82" s="372"/>
      <c r="G82" s="1399"/>
      <c r="H82" s="1399"/>
      <c r="I82" s="1399"/>
      <c r="J82" s="1399"/>
      <c r="K82" s="1399"/>
      <c r="L82" s="1399"/>
      <c r="M82" s="1399"/>
      <c r="N82" s="1399"/>
      <c r="O82" s="326"/>
      <c r="P82" s="324" t="s">
        <v>40</v>
      </c>
    </row>
    <row r="83" spans="1:16" ht="11.25" hidden="1" customHeight="1" x14ac:dyDescent="0.35">
      <c r="A83" s="362" t="s">
        <v>6048</v>
      </c>
      <c r="B83" s="1391">
        <v>99</v>
      </c>
      <c r="C83" s="374"/>
      <c r="D83" s="1182">
        <v>1</v>
      </c>
      <c r="E83" s="1175" t="s">
        <v>153</v>
      </c>
      <c r="F83" s="375"/>
      <c r="G83" s="1400"/>
      <c r="H83" s="1400"/>
      <c r="I83" s="1400"/>
      <c r="J83" s="1400"/>
      <c r="K83" s="1400"/>
      <c r="L83" s="1400"/>
      <c r="M83" s="1400"/>
      <c r="N83" s="1400"/>
      <c r="O83" s="326"/>
      <c r="P83" s="324" t="s">
        <v>40</v>
      </c>
    </row>
    <row r="84" spans="1:16" ht="11.25" hidden="1" customHeight="1" x14ac:dyDescent="0.35">
      <c r="A84" s="362" t="s">
        <v>6049</v>
      </c>
      <c r="B84" s="1391"/>
      <c r="C84" s="377" t="str">
        <f>$C$16&amp;" "&amp;B84</f>
        <v xml:space="preserve">Imputed depreciation </v>
      </c>
      <c r="D84" s="1401"/>
      <c r="E84" s="390" t="s">
        <v>154</v>
      </c>
      <c r="F84" s="957"/>
      <c r="G84" s="1397"/>
      <c r="H84" s="1397"/>
      <c r="I84" s="1397"/>
      <c r="J84" s="1397"/>
      <c r="K84" s="1397"/>
      <c r="L84" s="1397"/>
      <c r="M84" s="1397"/>
      <c r="N84" s="1398"/>
      <c r="O84" s="326" t="str">
        <f>IF(MID(P84,7,1)="D","  ","")</f>
        <v/>
      </c>
      <c r="P84" s="324" t="s">
        <v>121</v>
      </c>
    </row>
    <row r="85" spans="1:16" ht="11.25" hidden="1" customHeight="1" x14ac:dyDescent="0.35">
      <c r="A85" s="362" t="s">
        <v>6050</v>
      </c>
      <c r="B85" s="1392">
        <v>1</v>
      </c>
      <c r="C85" s="378" t="s">
        <v>83</v>
      </c>
      <c r="D85" s="1183"/>
      <c r="E85" s="390" t="s">
        <v>155</v>
      </c>
      <c r="F85" s="960">
        <f t="shared" ref="F85:N85" ca="1" si="22">SUM(OFFSET(F85,0,-1))+F86</f>
        <v>0</v>
      </c>
      <c r="G85" s="1397">
        <f t="shared" ca="1" si="22"/>
        <v>0</v>
      </c>
      <c r="H85" s="1397">
        <f t="shared" ca="1" si="22"/>
        <v>0</v>
      </c>
      <c r="I85" s="1397">
        <f t="shared" ca="1" si="22"/>
        <v>0</v>
      </c>
      <c r="J85" s="1397">
        <f t="shared" ca="1" si="22"/>
        <v>0</v>
      </c>
      <c r="K85" s="1397">
        <f t="shared" ca="1" si="22"/>
        <v>0</v>
      </c>
      <c r="L85" s="1397">
        <f t="shared" ca="1" si="22"/>
        <v>0</v>
      </c>
      <c r="M85" s="1397">
        <f t="shared" ca="1" si="22"/>
        <v>0</v>
      </c>
      <c r="N85" s="1398">
        <f t="shared" ca="1" si="22"/>
        <v>0</v>
      </c>
      <c r="O85" s="326" t="str">
        <f>IF(MID(P85,7,1)="D","  ","")</f>
        <v/>
      </c>
      <c r="P85" s="324" t="s">
        <v>79</v>
      </c>
    </row>
    <row r="86" spans="1:16" ht="11.25" hidden="1" customHeight="1" x14ac:dyDescent="0.35">
      <c r="A86" s="362" t="s">
        <v>6051</v>
      </c>
      <c r="B86" s="1391">
        <v>0</v>
      </c>
      <c r="C86" s="380">
        <f>C82</f>
        <v>0</v>
      </c>
      <c r="D86" s="1182">
        <v>1</v>
      </c>
      <c r="E86" s="1174" t="s">
        <v>156</v>
      </c>
      <c r="F86" s="375"/>
      <c r="G86" s="1400"/>
      <c r="H86" s="1400"/>
      <c r="I86" s="1400"/>
      <c r="J86" s="1400"/>
      <c r="K86" s="1400"/>
      <c r="L86" s="1400"/>
      <c r="M86" s="1400"/>
      <c r="N86" s="1399"/>
      <c r="O86" s="326"/>
      <c r="P86" s="324" t="s">
        <v>40</v>
      </c>
    </row>
    <row r="87" spans="1:16" ht="11.25" hidden="1" customHeight="1" x14ac:dyDescent="0.35">
      <c r="A87" s="362" t="s">
        <v>6052</v>
      </c>
      <c r="B87" s="1391">
        <v>99</v>
      </c>
      <c r="C87" s="374" t="str">
        <f>""&amp;C83</f>
        <v/>
      </c>
      <c r="D87" s="1182">
        <v>1</v>
      </c>
      <c r="E87" s="1176" t="s">
        <v>157</v>
      </c>
      <c r="F87" s="375"/>
      <c r="G87" s="1400"/>
      <c r="H87" s="1400"/>
      <c r="I87" s="1400"/>
      <c r="J87" s="1400"/>
      <c r="K87" s="1400"/>
      <c r="L87" s="1400"/>
      <c r="M87" s="1400"/>
      <c r="N87" s="1400"/>
      <c r="O87" s="326"/>
      <c r="P87" s="324" t="s">
        <v>40</v>
      </c>
    </row>
    <row r="88" spans="1:16" ht="11.25" hidden="1" customHeight="1" x14ac:dyDescent="0.35">
      <c r="A88" s="358">
        <v>0</v>
      </c>
      <c r="B88" s="1394"/>
      <c r="C88" s="360"/>
      <c r="D88" s="1177"/>
      <c r="E88" s="1173" t="s">
        <v>158</v>
      </c>
      <c r="F88" s="322"/>
      <c r="G88" s="361"/>
      <c r="H88" s="361"/>
      <c r="I88" s="361"/>
      <c r="J88" s="361"/>
      <c r="K88" s="361"/>
      <c r="L88" s="361"/>
      <c r="M88" s="361"/>
      <c r="N88" s="361"/>
      <c r="O88" s="326"/>
      <c r="P88" s="324" t="s">
        <v>118</v>
      </c>
    </row>
    <row r="89" spans="1:16" ht="11.25" customHeight="1" x14ac:dyDescent="0.35">
      <c r="A89" s="362" t="s">
        <v>6053</v>
      </c>
      <c r="B89" s="1390">
        <v>8</v>
      </c>
      <c r="C89" s="364" t="s">
        <v>890</v>
      </c>
      <c r="D89" s="1178"/>
      <c r="E89" s="385" t="s">
        <v>159</v>
      </c>
      <c r="F89" s="955"/>
      <c r="G89" s="1395"/>
      <c r="H89" s="1395"/>
      <c r="I89" s="1395"/>
      <c r="J89" s="1395"/>
      <c r="K89" s="1395"/>
      <c r="L89" s="1395"/>
      <c r="M89" s="1395"/>
      <c r="N89" s="1396"/>
      <c r="O89" s="326" t="str">
        <f>IF(MID(P89,7,1)="D","  ","")</f>
        <v/>
      </c>
      <c r="P89" s="324" t="s">
        <v>121</v>
      </c>
    </row>
    <row r="90" spans="1:16" ht="11.25" customHeight="1" x14ac:dyDescent="0.35">
      <c r="A90" s="362" t="s">
        <v>6054</v>
      </c>
      <c r="B90" s="1391"/>
      <c r="C90" s="366" t="str">
        <f ca="1">SpecsTxt!$G$12&amp;" "&amp;B90</f>
        <v xml:space="preserve">Depreciation </v>
      </c>
      <c r="D90" s="1401"/>
      <c r="E90" s="390" t="s">
        <v>160</v>
      </c>
      <c r="F90" s="957"/>
      <c r="G90" s="1397"/>
      <c r="H90" s="1397"/>
      <c r="I90" s="1397"/>
      <c r="J90" s="1397"/>
      <c r="K90" s="1397"/>
      <c r="L90" s="1397"/>
      <c r="M90" s="1397"/>
      <c r="N90" s="1398"/>
      <c r="O90" s="326" t="str">
        <f>IF(MID(P90,7,1)="D","  ","")</f>
        <v/>
      </c>
      <c r="P90" s="324" t="s">
        <v>121</v>
      </c>
    </row>
    <row r="91" spans="1:16" ht="11.25" hidden="1" customHeight="1" x14ac:dyDescent="0.35">
      <c r="A91" s="362" t="s">
        <v>6055</v>
      </c>
      <c r="B91" s="1392">
        <v>1</v>
      </c>
      <c r="C91" s="369" t="s">
        <v>77</v>
      </c>
      <c r="D91" s="1180"/>
      <c r="E91" s="390" t="s">
        <v>161</v>
      </c>
      <c r="F91" s="957">
        <f t="shared" ref="F91:N91" ca="1" si="23">SUM(OFFSET(F91,0,-1))+F92</f>
        <v>0</v>
      </c>
      <c r="G91" s="1397">
        <f t="shared" ca="1" si="23"/>
        <v>0</v>
      </c>
      <c r="H91" s="1397">
        <f t="shared" ca="1" si="23"/>
        <v>0</v>
      </c>
      <c r="I91" s="1397">
        <f t="shared" ca="1" si="23"/>
        <v>0</v>
      </c>
      <c r="J91" s="1397">
        <f t="shared" ca="1" si="23"/>
        <v>0</v>
      </c>
      <c r="K91" s="1397">
        <f t="shared" ca="1" si="23"/>
        <v>0</v>
      </c>
      <c r="L91" s="1397">
        <f t="shared" ca="1" si="23"/>
        <v>0</v>
      </c>
      <c r="M91" s="1397">
        <f t="shared" ca="1" si="23"/>
        <v>0</v>
      </c>
      <c r="N91" s="1398">
        <f t="shared" ca="1" si="23"/>
        <v>0</v>
      </c>
      <c r="O91" s="326" t="str">
        <f>IF(MID(P91,7,1)="D","  ","")</f>
        <v/>
      </c>
      <c r="P91" s="324" t="s">
        <v>79</v>
      </c>
    </row>
    <row r="92" spans="1:16" ht="11.25" hidden="1" customHeight="1" x14ac:dyDescent="0.35">
      <c r="A92" s="362" t="s">
        <v>6056</v>
      </c>
      <c r="B92" s="1393">
        <v>1</v>
      </c>
      <c r="C92" s="371">
        <v>0</v>
      </c>
      <c r="D92" s="1181">
        <v>1</v>
      </c>
      <c r="E92" s="1174" t="s">
        <v>162</v>
      </c>
      <c r="F92" s="372"/>
      <c r="G92" s="1399"/>
      <c r="H92" s="1399"/>
      <c r="I92" s="1399"/>
      <c r="J92" s="1399"/>
      <c r="K92" s="1399"/>
      <c r="L92" s="1399"/>
      <c r="M92" s="1399"/>
      <c r="N92" s="1399"/>
      <c r="O92" s="326"/>
      <c r="P92" s="324" t="s">
        <v>40</v>
      </c>
    </row>
    <row r="93" spans="1:16" ht="11.25" hidden="1" customHeight="1" x14ac:dyDescent="0.35">
      <c r="A93" s="362" t="s">
        <v>6057</v>
      </c>
      <c r="B93" s="1391">
        <v>99</v>
      </c>
      <c r="C93" s="374"/>
      <c r="D93" s="1182">
        <v>1</v>
      </c>
      <c r="E93" s="1175" t="s">
        <v>163</v>
      </c>
      <c r="F93" s="375"/>
      <c r="G93" s="1400"/>
      <c r="H93" s="1400"/>
      <c r="I93" s="1400"/>
      <c r="J93" s="1400"/>
      <c r="K93" s="1400"/>
      <c r="L93" s="1400"/>
      <c r="M93" s="1400"/>
      <c r="N93" s="1400"/>
      <c r="O93" s="326"/>
      <c r="P93" s="324" t="s">
        <v>40</v>
      </c>
    </row>
    <row r="94" spans="1:16" ht="11.25" hidden="1" customHeight="1" x14ac:dyDescent="0.35">
      <c r="A94" s="362" t="s">
        <v>6058</v>
      </c>
      <c r="B94" s="1391"/>
      <c r="C94" s="377" t="str">
        <f>$C$16&amp;" "&amp;B94</f>
        <v xml:space="preserve">Imputed depreciation </v>
      </c>
      <c r="D94" s="1401"/>
      <c r="E94" s="390" t="s">
        <v>164</v>
      </c>
      <c r="F94" s="957"/>
      <c r="G94" s="1397"/>
      <c r="H94" s="1397"/>
      <c r="I94" s="1397"/>
      <c r="J94" s="1397"/>
      <c r="K94" s="1397"/>
      <c r="L94" s="1397"/>
      <c r="M94" s="1397"/>
      <c r="N94" s="1398"/>
      <c r="O94" s="326" t="str">
        <f>IF(MID(P94,7,1)="D","  ","")</f>
        <v/>
      </c>
      <c r="P94" s="324" t="s">
        <v>121</v>
      </c>
    </row>
    <row r="95" spans="1:16" ht="11.25" hidden="1" customHeight="1" x14ac:dyDescent="0.35">
      <c r="A95" s="362" t="s">
        <v>6059</v>
      </c>
      <c r="B95" s="1392">
        <v>1</v>
      </c>
      <c r="C95" s="378" t="s">
        <v>83</v>
      </c>
      <c r="D95" s="1183"/>
      <c r="E95" s="390" t="s">
        <v>165</v>
      </c>
      <c r="F95" s="960">
        <f t="shared" ref="F95:N95" ca="1" si="24">SUM(OFFSET(F95,0,-1))+F96</f>
        <v>0</v>
      </c>
      <c r="G95" s="1397">
        <f t="shared" ca="1" si="24"/>
        <v>0</v>
      </c>
      <c r="H95" s="1397">
        <f t="shared" ca="1" si="24"/>
        <v>0</v>
      </c>
      <c r="I95" s="1397">
        <f t="shared" ca="1" si="24"/>
        <v>0</v>
      </c>
      <c r="J95" s="1397">
        <f t="shared" ca="1" si="24"/>
        <v>0</v>
      </c>
      <c r="K95" s="1397">
        <f t="shared" ca="1" si="24"/>
        <v>0</v>
      </c>
      <c r="L95" s="1397">
        <f t="shared" ca="1" si="24"/>
        <v>0</v>
      </c>
      <c r="M95" s="1397">
        <f t="shared" ca="1" si="24"/>
        <v>0</v>
      </c>
      <c r="N95" s="1398">
        <f t="shared" ca="1" si="24"/>
        <v>0</v>
      </c>
      <c r="O95" s="326" t="str">
        <f>IF(MID(P95,7,1)="D","  ","")</f>
        <v/>
      </c>
      <c r="P95" s="324" t="s">
        <v>79</v>
      </c>
    </row>
    <row r="96" spans="1:16" ht="11.25" hidden="1" customHeight="1" x14ac:dyDescent="0.35">
      <c r="A96" s="362" t="s">
        <v>6060</v>
      </c>
      <c r="B96" s="1391">
        <v>0</v>
      </c>
      <c r="C96" s="380">
        <f>C92</f>
        <v>0</v>
      </c>
      <c r="D96" s="1182">
        <v>1</v>
      </c>
      <c r="E96" s="1174" t="s">
        <v>166</v>
      </c>
      <c r="F96" s="375"/>
      <c r="G96" s="1400"/>
      <c r="H96" s="1400"/>
      <c r="I96" s="1400"/>
      <c r="J96" s="1400"/>
      <c r="K96" s="1400"/>
      <c r="L96" s="1400"/>
      <c r="M96" s="1400"/>
      <c r="N96" s="1399"/>
      <c r="O96" s="326"/>
      <c r="P96" s="324" t="s">
        <v>40</v>
      </c>
    </row>
    <row r="97" spans="1:16" ht="11.25" hidden="1" customHeight="1" x14ac:dyDescent="0.35">
      <c r="A97" s="362" t="s">
        <v>6061</v>
      </c>
      <c r="B97" s="1391">
        <v>99</v>
      </c>
      <c r="C97" s="374" t="str">
        <f>""&amp;C93</f>
        <v/>
      </c>
      <c r="D97" s="1182">
        <v>1</v>
      </c>
      <c r="E97" s="1176" t="s">
        <v>167</v>
      </c>
      <c r="F97" s="375"/>
      <c r="G97" s="1400"/>
      <c r="H97" s="1400"/>
      <c r="I97" s="1400"/>
      <c r="J97" s="1400"/>
      <c r="K97" s="1400"/>
      <c r="L97" s="1400"/>
      <c r="M97" s="1400"/>
      <c r="N97" s="1400"/>
      <c r="O97" s="326"/>
      <c r="P97" s="324" t="s">
        <v>40</v>
      </c>
    </row>
    <row r="98" spans="1:16" ht="11.25" hidden="1" customHeight="1" x14ac:dyDescent="0.35">
      <c r="A98" s="358">
        <v>0</v>
      </c>
      <c r="B98" s="1394"/>
      <c r="C98" s="360"/>
      <c r="D98" s="1177"/>
      <c r="E98" s="1173" t="s">
        <v>168</v>
      </c>
      <c r="F98" s="322"/>
      <c r="G98" s="361"/>
      <c r="H98" s="361"/>
      <c r="I98" s="361"/>
      <c r="J98" s="361"/>
      <c r="K98" s="361"/>
      <c r="L98" s="361"/>
      <c r="M98" s="361"/>
      <c r="N98" s="361"/>
      <c r="O98" s="326"/>
      <c r="P98" s="324" t="s">
        <v>118</v>
      </c>
    </row>
    <row r="99" spans="1:16" ht="11.25" customHeight="1" x14ac:dyDescent="0.35">
      <c r="A99" s="362" t="s">
        <v>6062</v>
      </c>
      <c r="B99" s="1390">
        <v>9</v>
      </c>
      <c r="C99" s="364" t="s">
        <v>896</v>
      </c>
      <c r="D99" s="1178"/>
      <c r="E99" s="385" t="s">
        <v>169</v>
      </c>
      <c r="F99" s="955"/>
      <c r="G99" s="1395"/>
      <c r="H99" s="1395"/>
      <c r="I99" s="1395"/>
      <c r="J99" s="1395"/>
      <c r="K99" s="1395"/>
      <c r="L99" s="1395"/>
      <c r="M99" s="1395"/>
      <c r="N99" s="1396"/>
      <c r="O99" s="326" t="str">
        <f>IF(MID(P99,7,1)="D","  ","")</f>
        <v/>
      </c>
      <c r="P99" s="324" t="s">
        <v>121</v>
      </c>
    </row>
    <row r="100" spans="1:16" ht="11.25" customHeight="1" x14ac:dyDescent="0.35">
      <c r="A100" s="362" t="s">
        <v>6063</v>
      </c>
      <c r="B100" s="1391"/>
      <c r="C100" s="366" t="str">
        <f ca="1">SpecsTxt!$G$12&amp;" "&amp;B100</f>
        <v xml:space="preserve">Depreciation </v>
      </c>
      <c r="D100" s="1401"/>
      <c r="E100" s="390" t="s">
        <v>170</v>
      </c>
      <c r="F100" s="957"/>
      <c r="G100" s="1397"/>
      <c r="H100" s="1397"/>
      <c r="I100" s="1397"/>
      <c r="J100" s="1397"/>
      <c r="K100" s="1397"/>
      <c r="L100" s="1397"/>
      <c r="M100" s="1397"/>
      <c r="N100" s="1398"/>
      <c r="O100" s="326" t="str">
        <f>IF(MID(P100,7,1)="D","  ","")</f>
        <v/>
      </c>
      <c r="P100" s="324" t="s">
        <v>121</v>
      </c>
    </row>
    <row r="101" spans="1:16" ht="11.25" hidden="1" customHeight="1" x14ac:dyDescent="0.35">
      <c r="A101" s="362" t="s">
        <v>6064</v>
      </c>
      <c r="B101" s="1392">
        <v>1</v>
      </c>
      <c r="C101" s="369" t="s">
        <v>77</v>
      </c>
      <c r="D101" s="1180"/>
      <c r="E101" s="390" t="s">
        <v>171</v>
      </c>
      <c r="F101" s="957">
        <f t="shared" ref="F101:N101" ca="1" si="25">SUM(OFFSET(F101,0,-1))+F102</f>
        <v>0</v>
      </c>
      <c r="G101" s="1397">
        <f t="shared" ca="1" si="25"/>
        <v>0</v>
      </c>
      <c r="H101" s="1397">
        <f t="shared" ca="1" si="25"/>
        <v>0</v>
      </c>
      <c r="I101" s="1397">
        <f t="shared" ca="1" si="25"/>
        <v>0</v>
      </c>
      <c r="J101" s="1397">
        <f t="shared" ca="1" si="25"/>
        <v>0</v>
      </c>
      <c r="K101" s="1397">
        <f t="shared" ca="1" si="25"/>
        <v>0</v>
      </c>
      <c r="L101" s="1397">
        <f t="shared" ca="1" si="25"/>
        <v>0</v>
      </c>
      <c r="M101" s="1397">
        <f t="shared" ca="1" si="25"/>
        <v>0</v>
      </c>
      <c r="N101" s="1398">
        <f t="shared" ca="1" si="25"/>
        <v>0</v>
      </c>
      <c r="O101" s="326" t="str">
        <f>IF(MID(P101,7,1)="D","  ","")</f>
        <v/>
      </c>
      <c r="P101" s="324" t="s">
        <v>79</v>
      </c>
    </row>
    <row r="102" spans="1:16" ht="11.25" hidden="1" customHeight="1" x14ac:dyDescent="0.35">
      <c r="A102" s="362" t="s">
        <v>6065</v>
      </c>
      <c r="B102" s="1393">
        <v>1</v>
      </c>
      <c r="C102" s="371">
        <v>0</v>
      </c>
      <c r="D102" s="1181">
        <v>1</v>
      </c>
      <c r="E102" s="1174" t="s">
        <v>173</v>
      </c>
      <c r="F102" s="372"/>
      <c r="G102" s="1399"/>
      <c r="H102" s="1399"/>
      <c r="I102" s="1399"/>
      <c r="J102" s="1399"/>
      <c r="K102" s="1399"/>
      <c r="L102" s="1399"/>
      <c r="M102" s="1399"/>
      <c r="N102" s="1399"/>
      <c r="O102" s="326"/>
      <c r="P102" s="324" t="s">
        <v>174</v>
      </c>
    </row>
    <row r="103" spans="1:16" ht="11.25" hidden="1" customHeight="1" x14ac:dyDescent="0.35">
      <c r="A103" s="362" t="s">
        <v>6066</v>
      </c>
      <c r="B103" s="1391">
        <v>99</v>
      </c>
      <c r="C103" s="374"/>
      <c r="D103" s="1182">
        <v>1</v>
      </c>
      <c r="E103" s="1175" t="s">
        <v>175</v>
      </c>
      <c r="F103" s="375"/>
      <c r="G103" s="1400"/>
      <c r="H103" s="1400"/>
      <c r="I103" s="1400"/>
      <c r="J103" s="1400"/>
      <c r="K103" s="1400"/>
      <c r="L103" s="1400"/>
      <c r="M103" s="1400"/>
      <c r="N103" s="1400"/>
      <c r="O103" s="326"/>
      <c r="P103" s="324" t="s">
        <v>174</v>
      </c>
    </row>
    <row r="104" spans="1:16" ht="11.25" hidden="1" customHeight="1" x14ac:dyDescent="0.35">
      <c r="A104" s="362" t="s">
        <v>6067</v>
      </c>
      <c r="B104" s="1391"/>
      <c r="C104" s="377" t="str">
        <f>$C$16&amp;" "&amp;B104</f>
        <v xml:space="preserve">Imputed depreciation </v>
      </c>
      <c r="D104" s="1401"/>
      <c r="E104" s="390" t="s">
        <v>176</v>
      </c>
      <c r="F104" s="957"/>
      <c r="G104" s="1397"/>
      <c r="H104" s="1397"/>
      <c r="I104" s="1397"/>
      <c r="J104" s="1397"/>
      <c r="K104" s="1397"/>
      <c r="L104" s="1397"/>
      <c r="M104" s="1397"/>
      <c r="N104" s="1398"/>
      <c r="O104" s="326" t="str">
        <f>IF(MID(P104,7,1)="D","  ","")</f>
        <v/>
      </c>
      <c r="P104" s="324" t="s">
        <v>121</v>
      </c>
    </row>
    <row r="105" spans="1:16" ht="11.25" hidden="1" customHeight="1" x14ac:dyDescent="0.35">
      <c r="A105" s="362" t="s">
        <v>6068</v>
      </c>
      <c r="B105" s="1392">
        <v>1</v>
      </c>
      <c r="C105" s="378" t="s">
        <v>83</v>
      </c>
      <c r="D105" s="1183"/>
      <c r="E105" s="390" t="s">
        <v>177</v>
      </c>
      <c r="F105" s="960">
        <f t="shared" ref="F105:N105" ca="1" si="26">SUM(OFFSET(F105,0,-1))+F106</f>
        <v>0</v>
      </c>
      <c r="G105" s="1397">
        <f t="shared" ca="1" si="26"/>
        <v>0</v>
      </c>
      <c r="H105" s="1397">
        <f t="shared" ca="1" si="26"/>
        <v>0</v>
      </c>
      <c r="I105" s="1397">
        <f t="shared" ca="1" si="26"/>
        <v>0</v>
      </c>
      <c r="J105" s="1397">
        <f t="shared" ca="1" si="26"/>
        <v>0</v>
      </c>
      <c r="K105" s="1397">
        <f t="shared" ca="1" si="26"/>
        <v>0</v>
      </c>
      <c r="L105" s="1397">
        <f t="shared" ca="1" si="26"/>
        <v>0</v>
      </c>
      <c r="M105" s="1397">
        <f t="shared" ca="1" si="26"/>
        <v>0</v>
      </c>
      <c r="N105" s="1398">
        <f t="shared" ca="1" si="26"/>
        <v>0</v>
      </c>
      <c r="O105" s="326" t="str">
        <f>IF(MID(P105,7,1)="D","  ","")</f>
        <v/>
      </c>
      <c r="P105" s="324" t="s">
        <v>79</v>
      </c>
    </row>
    <row r="106" spans="1:16" ht="11.25" hidden="1" customHeight="1" x14ac:dyDescent="0.35">
      <c r="A106" s="362" t="s">
        <v>6069</v>
      </c>
      <c r="B106" s="1391">
        <v>0</v>
      </c>
      <c r="C106" s="380">
        <f>C102</f>
        <v>0</v>
      </c>
      <c r="D106" s="1182">
        <v>1</v>
      </c>
      <c r="E106" s="1174" t="s">
        <v>178</v>
      </c>
      <c r="F106" s="375"/>
      <c r="G106" s="1400"/>
      <c r="H106" s="1400"/>
      <c r="I106" s="1400"/>
      <c r="J106" s="1400"/>
      <c r="K106" s="1400"/>
      <c r="L106" s="1400"/>
      <c r="M106" s="1400"/>
      <c r="N106" s="1399"/>
      <c r="O106" s="326"/>
      <c r="P106" s="324" t="s">
        <v>174</v>
      </c>
    </row>
    <row r="107" spans="1:16" ht="11.25" hidden="1" customHeight="1" x14ac:dyDescent="0.35">
      <c r="A107" s="362" t="s">
        <v>6070</v>
      </c>
      <c r="B107" s="1391">
        <v>99</v>
      </c>
      <c r="C107" s="374" t="str">
        <f>""&amp;C103</f>
        <v/>
      </c>
      <c r="D107" s="1182">
        <v>1</v>
      </c>
      <c r="E107" s="1176" t="s">
        <v>179</v>
      </c>
      <c r="F107" s="375"/>
      <c r="G107" s="1400"/>
      <c r="H107" s="1400"/>
      <c r="I107" s="1400"/>
      <c r="J107" s="1400"/>
      <c r="K107" s="1400"/>
      <c r="L107" s="1400"/>
      <c r="M107" s="1400"/>
      <c r="N107" s="1400"/>
      <c r="O107" s="326"/>
      <c r="P107" s="324" t="s">
        <v>174</v>
      </c>
    </row>
    <row r="108" spans="1:16" ht="11.25" hidden="1" customHeight="1" x14ac:dyDescent="0.35">
      <c r="A108" s="358">
        <v>0</v>
      </c>
      <c r="B108" s="1394"/>
      <c r="C108" s="360"/>
      <c r="D108" s="1177"/>
      <c r="E108" s="1173" t="s">
        <v>180</v>
      </c>
      <c r="F108" s="322"/>
      <c r="G108" s="361"/>
      <c r="H108" s="361"/>
      <c r="I108" s="361"/>
      <c r="J108" s="361"/>
      <c r="K108" s="361"/>
      <c r="L108" s="361"/>
      <c r="M108" s="361"/>
      <c r="N108" s="361"/>
      <c r="O108" s="326"/>
      <c r="P108" s="324" t="s">
        <v>118</v>
      </c>
    </row>
    <row r="109" spans="1:16" ht="11.25" customHeight="1" x14ac:dyDescent="0.35">
      <c r="A109" s="362" t="s">
        <v>6071</v>
      </c>
      <c r="B109" s="1390">
        <v>10</v>
      </c>
      <c r="C109" s="364" t="s">
        <v>903</v>
      </c>
      <c r="D109" s="1178"/>
      <c r="E109" s="385" t="s">
        <v>181</v>
      </c>
      <c r="F109" s="955"/>
      <c r="G109" s="1395"/>
      <c r="H109" s="1395"/>
      <c r="I109" s="1395"/>
      <c r="J109" s="1395"/>
      <c r="K109" s="1395"/>
      <c r="L109" s="1395"/>
      <c r="M109" s="1395"/>
      <c r="N109" s="1396"/>
      <c r="O109" s="326" t="str">
        <f>IF(MID(P109,7,1)="D","  ","")</f>
        <v/>
      </c>
      <c r="P109" s="324" t="s">
        <v>121</v>
      </c>
    </row>
    <row r="110" spans="1:16" ht="11.25" customHeight="1" x14ac:dyDescent="0.35">
      <c r="A110" s="362" t="s">
        <v>6072</v>
      </c>
      <c r="B110" s="1391"/>
      <c r="C110" s="366" t="str">
        <f ca="1">SpecsTxt!$G$12&amp;" "&amp;B110</f>
        <v xml:space="preserve">Depreciation </v>
      </c>
      <c r="D110" s="1401"/>
      <c r="E110" s="390" t="s">
        <v>182</v>
      </c>
      <c r="F110" s="957"/>
      <c r="G110" s="1397"/>
      <c r="H110" s="1397"/>
      <c r="I110" s="1397"/>
      <c r="J110" s="1397"/>
      <c r="K110" s="1397"/>
      <c r="L110" s="1397"/>
      <c r="M110" s="1397"/>
      <c r="N110" s="1398"/>
      <c r="O110" s="326" t="str">
        <f>IF(MID(P110,7,1)="D","  ","")</f>
        <v/>
      </c>
      <c r="P110" s="324" t="s">
        <v>121</v>
      </c>
    </row>
    <row r="111" spans="1:16" ht="11.25" hidden="1" customHeight="1" x14ac:dyDescent="0.35">
      <c r="A111" s="362" t="s">
        <v>6073</v>
      </c>
      <c r="B111" s="1392">
        <v>1</v>
      </c>
      <c r="C111" s="369" t="s">
        <v>77</v>
      </c>
      <c r="D111" s="1180"/>
      <c r="E111" s="390" t="s">
        <v>183</v>
      </c>
      <c r="F111" s="957">
        <f t="shared" ref="F111:N111" ca="1" si="27">SUM(OFFSET(F111,0,-1))+F112</f>
        <v>0</v>
      </c>
      <c r="G111" s="1397">
        <f t="shared" ca="1" si="27"/>
        <v>0</v>
      </c>
      <c r="H111" s="1397">
        <f t="shared" ca="1" si="27"/>
        <v>0</v>
      </c>
      <c r="I111" s="1397">
        <f t="shared" ca="1" si="27"/>
        <v>0</v>
      </c>
      <c r="J111" s="1397">
        <f t="shared" ca="1" si="27"/>
        <v>0</v>
      </c>
      <c r="K111" s="1397">
        <f t="shared" ca="1" si="27"/>
        <v>0</v>
      </c>
      <c r="L111" s="1397">
        <f t="shared" ca="1" si="27"/>
        <v>0</v>
      </c>
      <c r="M111" s="1397">
        <f t="shared" ca="1" si="27"/>
        <v>0</v>
      </c>
      <c r="N111" s="1398">
        <f t="shared" ca="1" si="27"/>
        <v>0</v>
      </c>
      <c r="O111" s="326" t="str">
        <f>IF(MID(P111,7,1)="D","  ","")</f>
        <v/>
      </c>
      <c r="P111" s="324" t="s">
        <v>79</v>
      </c>
    </row>
    <row r="112" spans="1:16" ht="11.25" hidden="1" customHeight="1" x14ac:dyDescent="0.35">
      <c r="A112" s="362" t="s">
        <v>6074</v>
      </c>
      <c r="B112" s="1393">
        <v>1</v>
      </c>
      <c r="C112" s="371">
        <v>0</v>
      </c>
      <c r="D112" s="1181">
        <v>1</v>
      </c>
      <c r="E112" s="1174" t="s">
        <v>184</v>
      </c>
      <c r="F112" s="372"/>
      <c r="G112" s="1399"/>
      <c r="H112" s="1399"/>
      <c r="I112" s="1399"/>
      <c r="J112" s="1399"/>
      <c r="K112" s="1399"/>
      <c r="L112" s="1399"/>
      <c r="M112" s="1399"/>
      <c r="N112" s="1399"/>
      <c r="O112" s="326"/>
      <c r="P112" s="324" t="s">
        <v>174</v>
      </c>
    </row>
    <row r="113" spans="1:16" ht="11.25" hidden="1" customHeight="1" x14ac:dyDescent="0.35">
      <c r="A113" s="362" t="s">
        <v>6075</v>
      </c>
      <c r="B113" s="1391">
        <v>99</v>
      </c>
      <c r="C113" s="374"/>
      <c r="D113" s="1182">
        <v>1</v>
      </c>
      <c r="E113" s="1175" t="s">
        <v>185</v>
      </c>
      <c r="F113" s="375"/>
      <c r="G113" s="1400"/>
      <c r="H113" s="1400"/>
      <c r="I113" s="1400"/>
      <c r="J113" s="1400"/>
      <c r="K113" s="1400"/>
      <c r="L113" s="1400"/>
      <c r="M113" s="1400"/>
      <c r="N113" s="1400"/>
      <c r="O113" s="326"/>
      <c r="P113" s="324" t="s">
        <v>174</v>
      </c>
    </row>
    <row r="114" spans="1:16" ht="11.25" hidden="1" customHeight="1" x14ac:dyDescent="0.35">
      <c r="A114" s="362" t="s">
        <v>6076</v>
      </c>
      <c r="B114" s="1391"/>
      <c r="C114" s="377" t="str">
        <f>$C$16&amp;" "&amp;B114</f>
        <v xml:space="preserve">Imputed depreciation </v>
      </c>
      <c r="D114" s="1401"/>
      <c r="E114" s="390" t="s">
        <v>186</v>
      </c>
      <c r="F114" s="957"/>
      <c r="G114" s="1397"/>
      <c r="H114" s="1397"/>
      <c r="I114" s="1397"/>
      <c r="J114" s="1397"/>
      <c r="K114" s="1397"/>
      <c r="L114" s="1397"/>
      <c r="M114" s="1397"/>
      <c r="N114" s="1398"/>
      <c r="O114" s="326" t="str">
        <f>IF(MID(P114,7,1)="D","  ","")</f>
        <v/>
      </c>
      <c r="P114" s="324" t="s">
        <v>121</v>
      </c>
    </row>
    <row r="115" spans="1:16" ht="11.25" hidden="1" customHeight="1" x14ac:dyDescent="0.35">
      <c r="A115" s="362" t="s">
        <v>6077</v>
      </c>
      <c r="B115" s="1392">
        <v>1</v>
      </c>
      <c r="C115" s="378" t="s">
        <v>83</v>
      </c>
      <c r="D115" s="1183"/>
      <c r="E115" s="390" t="s">
        <v>187</v>
      </c>
      <c r="F115" s="960">
        <f t="shared" ref="F115:N115" ca="1" si="28">SUM(OFFSET(F115,0,-1))+F116</f>
        <v>0</v>
      </c>
      <c r="G115" s="1397">
        <f t="shared" ca="1" si="28"/>
        <v>0</v>
      </c>
      <c r="H115" s="1397">
        <f t="shared" ca="1" si="28"/>
        <v>0</v>
      </c>
      <c r="I115" s="1397">
        <f t="shared" ca="1" si="28"/>
        <v>0</v>
      </c>
      <c r="J115" s="1397">
        <f t="shared" ca="1" si="28"/>
        <v>0</v>
      </c>
      <c r="K115" s="1397">
        <f t="shared" ca="1" si="28"/>
        <v>0</v>
      </c>
      <c r="L115" s="1397">
        <f t="shared" ca="1" si="28"/>
        <v>0</v>
      </c>
      <c r="M115" s="1397">
        <f t="shared" ca="1" si="28"/>
        <v>0</v>
      </c>
      <c r="N115" s="1398">
        <f t="shared" ca="1" si="28"/>
        <v>0</v>
      </c>
      <c r="O115" s="326" t="str">
        <f>IF(MID(P115,7,1)="D","  ","")</f>
        <v/>
      </c>
      <c r="P115" s="324" t="s">
        <v>79</v>
      </c>
    </row>
    <row r="116" spans="1:16" ht="11.25" hidden="1" customHeight="1" x14ac:dyDescent="0.35">
      <c r="A116" s="362" t="s">
        <v>6078</v>
      </c>
      <c r="B116" s="1391">
        <v>0</v>
      </c>
      <c r="C116" s="380">
        <f>C112</f>
        <v>0</v>
      </c>
      <c r="D116" s="1182">
        <v>1</v>
      </c>
      <c r="E116" s="1174" t="s">
        <v>188</v>
      </c>
      <c r="F116" s="375"/>
      <c r="G116" s="1400"/>
      <c r="H116" s="1400"/>
      <c r="I116" s="1400"/>
      <c r="J116" s="1400"/>
      <c r="K116" s="1400"/>
      <c r="L116" s="1400"/>
      <c r="M116" s="1400"/>
      <c r="N116" s="1399"/>
      <c r="O116" s="326"/>
      <c r="P116" s="324" t="s">
        <v>174</v>
      </c>
    </row>
    <row r="117" spans="1:16" ht="11.25" hidden="1" customHeight="1" x14ac:dyDescent="0.35">
      <c r="A117" s="362" t="s">
        <v>6079</v>
      </c>
      <c r="B117" s="1391">
        <v>99</v>
      </c>
      <c r="C117" s="374" t="str">
        <f>""&amp;C113</f>
        <v/>
      </c>
      <c r="D117" s="1182">
        <v>1</v>
      </c>
      <c r="E117" s="1176" t="s">
        <v>189</v>
      </c>
      <c r="F117" s="375"/>
      <c r="G117" s="1400"/>
      <c r="H117" s="1400"/>
      <c r="I117" s="1400"/>
      <c r="J117" s="1400"/>
      <c r="K117" s="1400"/>
      <c r="L117" s="1400"/>
      <c r="M117" s="1400"/>
      <c r="N117" s="1400"/>
      <c r="O117" s="326"/>
      <c r="P117" s="324" t="s">
        <v>174</v>
      </c>
    </row>
    <row r="118" spans="1:16" ht="11.25" hidden="1" customHeight="1" x14ac:dyDescent="0.35">
      <c r="A118" s="358">
        <v>0</v>
      </c>
      <c r="B118" s="1394"/>
      <c r="C118" s="360"/>
      <c r="D118" s="1177"/>
      <c r="E118" s="1173" t="s">
        <v>190</v>
      </c>
      <c r="F118" s="322"/>
      <c r="G118" s="361"/>
      <c r="H118" s="361"/>
      <c r="I118" s="361"/>
      <c r="J118" s="361"/>
      <c r="K118" s="361"/>
      <c r="L118" s="361"/>
      <c r="M118" s="361"/>
      <c r="N118" s="361"/>
      <c r="O118" s="326"/>
      <c r="P118" s="324" t="s">
        <v>118</v>
      </c>
    </row>
    <row r="119" spans="1:16" ht="11.25" customHeight="1" x14ac:dyDescent="0.35">
      <c r="A119" s="362" t="s">
        <v>6080</v>
      </c>
      <c r="B119" s="1390">
        <v>11</v>
      </c>
      <c r="C119" s="364" t="s">
        <v>909</v>
      </c>
      <c r="D119" s="1178"/>
      <c r="E119" s="385" t="s">
        <v>191</v>
      </c>
      <c r="F119" s="955"/>
      <c r="G119" s="1395"/>
      <c r="H119" s="1395"/>
      <c r="I119" s="1395"/>
      <c r="J119" s="1395"/>
      <c r="K119" s="1395"/>
      <c r="L119" s="1395"/>
      <c r="M119" s="1395"/>
      <c r="N119" s="1396"/>
      <c r="O119" s="326" t="str">
        <f>IF(MID(P119,7,1)="D","  ","")</f>
        <v/>
      </c>
      <c r="P119" s="324" t="s">
        <v>121</v>
      </c>
    </row>
    <row r="120" spans="1:16" ht="11.25" customHeight="1" x14ac:dyDescent="0.35">
      <c r="A120" s="362" t="s">
        <v>6081</v>
      </c>
      <c r="B120" s="1391"/>
      <c r="C120" s="366" t="str">
        <f ca="1">SpecsTxt!$G$12&amp;" "&amp;B120</f>
        <v xml:space="preserve">Depreciation </v>
      </c>
      <c r="D120" s="1401"/>
      <c r="E120" s="390" t="s">
        <v>192</v>
      </c>
      <c r="F120" s="957"/>
      <c r="G120" s="1397"/>
      <c r="H120" s="1397"/>
      <c r="I120" s="1397"/>
      <c r="J120" s="1397"/>
      <c r="K120" s="1397"/>
      <c r="L120" s="1397"/>
      <c r="M120" s="1397"/>
      <c r="N120" s="1398"/>
      <c r="O120" s="326" t="str">
        <f>IF(MID(P120,7,1)="D","  ","")</f>
        <v/>
      </c>
      <c r="P120" s="324" t="s">
        <v>121</v>
      </c>
    </row>
    <row r="121" spans="1:16" ht="11.25" hidden="1" customHeight="1" x14ac:dyDescent="0.35">
      <c r="A121" s="362" t="s">
        <v>6082</v>
      </c>
      <c r="B121" s="1392">
        <v>1</v>
      </c>
      <c r="C121" s="369" t="s">
        <v>77</v>
      </c>
      <c r="D121" s="1180"/>
      <c r="E121" s="390" t="s">
        <v>193</v>
      </c>
      <c r="F121" s="957">
        <f t="shared" ref="F121:N121" ca="1" si="29">SUM(OFFSET(F121,0,-1))+F122</f>
        <v>0</v>
      </c>
      <c r="G121" s="1397">
        <f t="shared" ca="1" si="29"/>
        <v>0</v>
      </c>
      <c r="H121" s="1397">
        <f t="shared" ca="1" si="29"/>
        <v>0</v>
      </c>
      <c r="I121" s="1397">
        <f t="shared" ca="1" si="29"/>
        <v>0</v>
      </c>
      <c r="J121" s="1397">
        <f t="shared" ca="1" si="29"/>
        <v>0</v>
      </c>
      <c r="K121" s="1397">
        <f t="shared" ca="1" si="29"/>
        <v>0</v>
      </c>
      <c r="L121" s="1397">
        <f t="shared" ca="1" si="29"/>
        <v>0</v>
      </c>
      <c r="M121" s="1397">
        <f t="shared" ca="1" si="29"/>
        <v>0</v>
      </c>
      <c r="N121" s="1398">
        <f t="shared" ca="1" si="29"/>
        <v>0</v>
      </c>
      <c r="O121" s="326" t="str">
        <f>IF(MID(P121,7,1)="D","  ","")</f>
        <v/>
      </c>
      <c r="P121" s="324" t="s">
        <v>79</v>
      </c>
    </row>
    <row r="122" spans="1:16" ht="11.25" hidden="1" customHeight="1" x14ac:dyDescent="0.35">
      <c r="A122" s="362" t="s">
        <v>6083</v>
      </c>
      <c r="B122" s="1393">
        <v>1</v>
      </c>
      <c r="C122" s="371">
        <v>0</v>
      </c>
      <c r="D122" s="1181">
        <v>1</v>
      </c>
      <c r="E122" s="1174" t="s">
        <v>194</v>
      </c>
      <c r="F122" s="372"/>
      <c r="G122" s="1399"/>
      <c r="H122" s="1399"/>
      <c r="I122" s="1399"/>
      <c r="J122" s="1399"/>
      <c r="K122" s="1399"/>
      <c r="L122" s="1399"/>
      <c r="M122" s="1399"/>
      <c r="N122" s="1399"/>
      <c r="O122" s="326"/>
      <c r="P122" s="324" t="s">
        <v>40</v>
      </c>
    </row>
    <row r="123" spans="1:16" ht="11.25" hidden="1" customHeight="1" x14ac:dyDescent="0.35">
      <c r="A123" s="362" t="s">
        <v>6084</v>
      </c>
      <c r="B123" s="1391">
        <v>99</v>
      </c>
      <c r="C123" s="374"/>
      <c r="D123" s="1182">
        <v>1</v>
      </c>
      <c r="E123" s="1175" t="s">
        <v>195</v>
      </c>
      <c r="F123" s="375"/>
      <c r="G123" s="1400"/>
      <c r="H123" s="1400"/>
      <c r="I123" s="1400"/>
      <c r="J123" s="1400"/>
      <c r="K123" s="1400"/>
      <c r="L123" s="1400"/>
      <c r="M123" s="1400"/>
      <c r="N123" s="1400"/>
      <c r="O123" s="326"/>
      <c r="P123" s="324" t="s">
        <v>40</v>
      </c>
    </row>
    <row r="124" spans="1:16" ht="11.25" hidden="1" customHeight="1" x14ac:dyDescent="0.35">
      <c r="A124" s="362" t="s">
        <v>6085</v>
      </c>
      <c r="B124" s="1391"/>
      <c r="C124" s="377" t="str">
        <f>$C$16&amp;" "&amp;B124</f>
        <v xml:space="preserve">Imputed depreciation </v>
      </c>
      <c r="D124" s="1401"/>
      <c r="E124" s="390" t="s">
        <v>196</v>
      </c>
      <c r="F124" s="957"/>
      <c r="G124" s="1397"/>
      <c r="H124" s="1397"/>
      <c r="I124" s="1397"/>
      <c r="J124" s="1397"/>
      <c r="K124" s="1397"/>
      <c r="L124" s="1397"/>
      <c r="M124" s="1397"/>
      <c r="N124" s="1398"/>
      <c r="O124" s="326" t="str">
        <f>IF(MID(P124,7,1)="D","  ","")</f>
        <v/>
      </c>
      <c r="P124" s="324" t="s">
        <v>121</v>
      </c>
    </row>
    <row r="125" spans="1:16" ht="11.25" hidden="1" customHeight="1" x14ac:dyDescent="0.35">
      <c r="A125" s="362" t="s">
        <v>6086</v>
      </c>
      <c r="B125" s="1392">
        <v>1</v>
      </c>
      <c r="C125" s="378" t="s">
        <v>83</v>
      </c>
      <c r="D125" s="1183"/>
      <c r="E125" s="390" t="s">
        <v>197</v>
      </c>
      <c r="F125" s="960">
        <f t="shared" ref="F125:N125" ca="1" si="30">SUM(OFFSET(F125,0,-1))+F126</f>
        <v>0</v>
      </c>
      <c r="G125" s="1397">
        <f t="shared" ca="1" si="30"/>
        <v>0</v>
      </c>
      <c r="H125" s="1397">
        <f t="shared" ca="1" si="30"/>
        <v>0</v>
      </c>
      <c r="I125" s="1397">
        <f t="shared" ca="1" si="30"/>
        <v>0</v>
      </c>
      <c r="J125" s="1397">
        <f t="shared" ca="1" si="30"/>
        <v>0</v>
      </c>
      <c r="K125" s="1397">
        <f t="shared" ca="1" si="30"/>
        <v>0</v>
      </c>
      <c r="L125" s="1397">
        <f t="shared" ca="1" si="30"/>
        <v>0</v>
      </c>
      <c r="M125" s="1397">
        <f t="shared" ca="1" si="30"/>
        <v>0</v>
      </c>
      <c r="N125" s="1398">
        <f t="shared" ca="1" si="30"/>
        <v>0</v>
      </c>
      <c r="O125" s="326" t="str">
        <f>IF(MID(P125,7,1)="D","  ","")</f>
        <v/>
      </c>
      <c r="P125" s="324" t="s">
        <v>79</v>
      </c>
    </row>
    <row r="126" spans="1:16" ht="11.25" hidden="1" customHeight="1" x14ac:dyDescent="0.35">
      <c r="A126" s="362" t="s">
        <v>6087</v>
      </c>
      <c r="B126" s="1391">
        <v>0</v>
      </c>
      <c r="C126" s="380">
        <f>C122</f>
        <v>0</v>
      </c>
      <c r="D126" s="1182">
        <v>1</v>
      </c>
      <c r="E126" s="1174" t="s">
        <v>198</v>
      </c>
      <c r="F126" s="375"/>
      <c r="G126" s="1400"/>
      <c r="H126" s="1400"/>
      <c r="I126" s="1400"/>
      <c r="J126" s="1400"/>
      <c r="K126" s="1400"/>
      <c r="L126" s="1400"/>
      <c r="M126" s="1400"/>
      <c r="N126" s="1399"/>
      <c r="O126" s="326"/>
      <c r="P126" s="324" t="s">
        <v>174</v>
      </c>
    </row>
    <row r="127" spans="1:16" ht="11.25" hidden="1" customHeight="1" x14ac:dyDescent="0.35">
      <c r="A127" s="362" t="s">
        <v>6088</v>
      </c>
      <c r="B127" s="1391">
        <v>99</v>
      </c>
      <c r="C127" s="374" t="str">
        <f>""&amp;C123</f>
        <v/>
      </c>
      <c r="D127" s="1182">
        <v>1</v>
      </c>
      <c r="E127" s="1176" t="s">
        <v>199</v>
      </c>
      <c r="F127" s="375"/>
      <c r="G127" s="1400"/>
      <c r="H127" s="1400"/>
      <c r="I127" s="1400"/>
      <c r="J127" s="1400"/>
      <c r="K127" s="1400"/>
      <c r="L127" s="1400"/>
      <c r="M127" s="1400"/>
      <c r="N127" s="1400"/>
      <c r="O127" s="326"/>
      <c r="P127" s="324" t="s">
        <v>174</v>
      </c>
    </row>
    <row r="128" spans="1:16" ht="11.25" hidden="1" customHeight="1" x14ac:dyDescent="0.35">
      <c r="A128" s="358">
        <v>0</v>
      </c>
      <c r="B128" s="1394"/>
      <c r="C128" s="360"/>
      <c r="D128" s="1177"/>
      <c r="E128" s="1173" t="s">
        <v>200</v>
      </c>
      <c r="F128" s="322"/>
      <c r="G128" s="361"/>
      <c r="H128" s="361"/>
      <c r="I128" s="361"/>
      <c r="J128" s="361"/>
      <c r="K128" s="361"/>
      <c r="L128" s="361"/>
      <c r="M128" s="361"/>
      <c r="N128" s="361"/>
      <c r="O128" s="326"/>
      <c r="P128" s="324" t="s">
        <v>118</v>
      </c>
    </row>
    <row r="129" spans="1:16" ht="11.25" customHeight="1" x14ac:dyDescent="0.35">
      <c r="A129" s="362" t="s">
        <v>6089</v>
      </c>
      <c r="B129" s="1390">
        <v>12</v>
      </c>
      <c r="C129" s="364" t="s">
        <v>915</v>
      </c>
      <c r="D129" s="1178"/>
      <c r="E129" s="385" t="s">
        <v>201</v>
      </c>
      <c r="F129" s="955"/>
      <c r="G129" s="1395"/>
      <c r="H129" s="1395"/>
      <c r="I129" s="1395"/>
      <c r="J129" s="1395"/>
      <c r="K129" s="1395"/>
      <c r="L129" s="1395"/>
      <c r="M129" s="1395"/>
      <c r="N129" s="1396"/>
      <c r="O129" s="326" t="str">
        <f>IF(MID(P129,7,1)="D","  ","")</f>
        <v/>
      </c>
      <c r="P129" s="324" t="s">
        <v>121</v>
      </c>
    </row>
    <row r="130" spans="1:16" ht="11.25" customHeight="1" x14ac:dyDescent="0.35">
      <c r="A130" s="362" t="s">
        <v>6090</v>
      </c>
      <c r="B130" s="1391"/>
      <c r="C130" s="366" t="str">
        <f ca="1">SpecsTxt!$G$12&amp;" "&amp;B130</f>
        <v xml:space="preserve">Depreciation </v>
      </c>
      <c r="D130" s="1401"/>
      <c r="E130" s="390" t="s">
        <v>202</v>
      </c>
      <c r="F130" s="957"/>
      <c r="G130" s="1397"/>
      <c r="H130" s="1397"/>
      <c r="I130" s="1397"/>
      <c r="J130" s="1397"/>
      <c r="K130" s="1397"/>
      <c r="L130" s="1397"/>
      <c r="M130" s="1397"/>
      <c r="N130" s="1398"/>
      <c r="O130" s="326" t="str">
        <f>IF(MID(P130,7,1)="D","  ","")</f>
        <v/>
      </c>
      <c r="P130" s="324" t="s">
        <v>121</v>
      </c>
    </row>
    <row r="131" spans="1:16" ht="11.25" hidden="1" customHeight="1" x14ac:dyDescent="0.35">
      <c r="A131" s="362" t="s">
        <v>6091</v>
      </c>
      <c r="B131" s="1392">
        <v>1</v>
      </c>
      <c r="C131" s="369" t="s">
        <v>77</v>
      </c>
      <c r="D131" s="1180"/>
      <c r="E131" s="390" t="s">
        <v>203</v>
      </c>
      <c r="F131" s="957">
        <f t="shared" ref="F131:N131" ca="1" si="31">SUM(OFFSET(F131,0,-1))+F132</f>
        <v>0</v>
      </c>
      <c r="G131" s="1397">
        <f t="shared" ca="1" si="31"/>
        <v>0</v>
      </c>
      <c r="H131" s="1397">
        <f t="shared" ca="1" si="31"/>
        <v>0</v>
      </c>
      <c r="I131" s="1397">
        <f t="shared" ca="1" si="31"/>
        <v>0</v>
      </c>
      <c r="J131" s="1397">
        <f t="shared" ca="1" si="31"/>
        <v>0</v>
      </c>
      <c r="K131" s="1397">
        <f t="shared" ca="1" si="31"/>
        <v>0</v>
      </c>
      <c r="L131" s="1397">
        <f t="shared" ca="1" si="31"/>
        <v>0</v>
      </c>
      <c r="M131" s="1397">
        <f t="shared" ca="1" si="31"/>
        <v>0</v>
      </c>
      <c r="N131" s="1398">
        <f t="shared" ca="1" si="31"/>
        <v>0</v>
      </c>
      <c r="O131" s="326" t="str">
        <f>IF(MID(P131,7,1)="D","  ","")</f>
        <v/>
      </c>
      <c r="P131" s="324" t="s">
        <v>79</v>
      </c>
    </row>
    <row r="132" spans="1:16" ht="11.25" hidden="1" customHeight="1" x14ac:dyDescent="0.35">
      <c r="A132" s="362" t="s">
        <v>6092</v>
      </c>
      <c r="B132" s="1393">
        <v>1</v>
      </c>
      <c r="C132" s="371">
        <v>0</v>
      </c>
      <c r="D132" s="1181">
        <v>1</v>
      </c>
      <c r="E132" s="1174" t="s">
        <v>204</v>
      </c>
      <c r="F132" s="372"/>
      <c r="G132" s="1399"/>
      <c r="H132" s="1399"/>
      <c r="I132" s="1399"/>
      <c r="J132" s="1399"/>
      <c r="K132" s="1399"/>
      <c r="L132" s="1399"/>
      <c r="M132" s="1399"/>
      <c r="N132" s="1399"/>
      <c r="O132" s="326"/>
      <c r="P132" s="324" t="s">
        <v>40</v>
      </c>
    </row>
    <row r="133" spans="1:16" ht="11.25" hidden="1" customHeight="1" x14ac:dyDescent="0.35">
      <c r="A133" s="362" t="s">
        <v>6093</v>
      </c>
      <c r="B133" s="1391">
        <v>99</v>
      </c>
      <c r="C133" s="374"/>
      <c r="D133" s="1182">
        <v>1</v>
      </c>
      <c r="E133" s="1175" t="s">
        <v>205</v>
      </c>
      <c r="F133" s="375"/>
      <c r="G133" s="1400"/>
      <c r="H133" s="1400"/>
      <c r="I133" s="1400"/>
      <c r="J133" s="1400"/>
      <c r="K133" s="1400"/>
      <c r="L133" s="1400"/>
      <c r="M133" s="1400"/>
      <c r="N133" s="1400"/>
      <c r="O133" s="326"/>
      <c r="P133" s="324" t="s">
        <v>40</v>
      </c>
    </row>
    <row r="134" spans="1:16" ht="11.25" hidden="1" customHeight="1" x14ac:dyDescent="0.35">
      <c r="A134" s="362" t="s">
        <v>6094</v>
      </c>
      <c r="B134" s="1391"/>
      <c r="C134" s="377" t="str">
        <f>$C$16&amp;" "&amp;B134</f>
        <v xml:space="preserve">Imputed depreciation </v>
      </c>
      <c r="D134" s="1401"/>
      <c r="E134" s="390" t="s">
        <v>206</v>
      </c>
      <c r="F134" s="957"/>
      <c r="G134" s="1397"/>
      <c r="H134" s="1397"/>
      <c r="I134" s="1397"/>
      <c r="J134" s="1397"/>
      <c r="K134" s="1397"/>
      <c r="L134" s="1397"/>
      <c r="M134" s="1397"/>
      <c r="N134" s="1398"/>
      <c r="O134" s="326" t="str">
        <f>IF(MID(P134,7,1)="D","  ","")</f>
        <v/>
      </c>
      <c r="P134" s="324" t="s">
        <v>121</v>
      </c>
    </row>
    <row r="135" spans="1:16" ht="11.25" hidden="1" customHeight="1" x14ac:dyDescent="0.35">
      <c r="A135" s="362" t="s">
        <v>6095</v>
      </c>
      <c r="B135" s="1392">
        <v>1</v>
      </c>
      <c r="C135" s="378" t="s">
        <v>83</v>
      </c>
      <c r="D135" s="1183"/>
      <c r="E135" s="390" t="s">
        <v>207</v>
      </c>
      <c r="F135" s="960">
        <f t="shared" ref="F135:N135" ca="1" si="32">SUM(OFFSET(F135,0,-1))+F136</f>
        <v>0</v>
      </c>
      <c r="G135" s="1397">
        <f t="shared" ca="1" si="32"/>
        <v>0</v>
      </c>
      <c r="H135" s="1397">
        <f t="shared" ca="1" si="32"/>
        <v>0</v>
      </c>
      <c r="I135" s="1397">
        <f t="shared" ca="1" si="32"/>
        <v>0</v>
      </c>
      <c r="J135" s="1397">
        <f t="shared" ca="1" si="32"/>
        <v>0</v>
      </c>
      <c r="K135" s="1397">
        <f t="shared" ca="1" si="32"/>
        <v>0</v>
      </c>
      <c r="L135" s="1397">
        <f t="shared" ca="1" si="32"/>
        <v>0</v>
      </c>
      <c r="M135" s="1397">
        <f t="shared" ca="1" si="32"/>
        <v>0</v>
      </c>
      <c r="N135" s="1398">
        <f t="shared" ca="1" si="32"/>
        <v>0</v>
      </c>
      <c r="O135" s="326" t="str">
        <f>IF(MID(P135,7,1)="D","  ","")</f>
        <v/>
      </c>
      <c r="P135" s="324" t="s">
        <v>79</v>
      </c>
    </row>
    <row r="136" spans="1:16" ht="11.25" hidden="1" customHeight="1" x14ac:dyDescent="0.35">
      <c r="A136" s="362" t="s">
        <v>6096</v>
      </c>
      <c r="B136" s="1391">
        <v>0</v>
      </c>
      <c r="C136" s="380">
        <f>C132</f>
        <v>0</v>
      </c>
      <c r="D136" s="1182">
        <v>1</v>
      </c>
      <c r="E136" s="1174" t="s">
        <v>208</v>
      </c>
      <c r="F136" s="375"/>
      <c r="G136" s="1400"/>
      <c r="H136" s="1400"/>
      <c r="I136" s="1400"/>
      <c r="J136" s="1400"/>
      <c r="K136" s="1400"/>
      <c r="L136" s="1400"/>
      <c r="M136" s="1400"/>
      <c r="N136" s="1399"/>
      <c r="O136" s="326"/>
      <c r="P136" s="324" t="s">
        <v>174</v>
      </c>
    </row>
    <row r="137" spans="1:16" ht="11.25" hidden="1" customHeight="1" x14ac:dyDescent="0.35">
      <c r="A137" s="362" t="s">
        <v>6097</v>
      </c>
      <c r="B137" s="1391">
        <v>99</v>
      </c>
      <c r="C137" s="374" t="str">
        <f>""&amp;C133</f>
        <v/>
      </c>
      <c r="D137" s="1182">
        <v>1</v>
      </c>
      <c r="E137" s="1176" t="s">
        <v>209</v>
      </c>
      <c r="F137" s="375"/>
      <c r="G137" s="1400"/>
      <c r="H137" s="1400"/>
      <c r="I137" s="1400"/>
      <c r="J137" s="1400"/>
      <c r="K137" s="1400"/>
      <c r="L137" s="1400"/>
      <c r="M137" s="1400"/>
      <c r="N137" s="1400"/>
      <c r="O137" s="326"/>
      <c r="P137" s="324" t="s">
        <v>174</v>
      </c>
    </row>
    <row r="138" spans="1:16" ht="11.25" hidden="1" customHeight="1" x14ac:dyDescent="0.35">
      <c r="A138" s="358">
        <v>0</v>
      </c>
      <c r="B138" s="1394"/>
      <c r="C138" s="360"/>
      <c r="D138" s="1177"/>
      <c r="E138" s="1173" t="s">
        <v>210</v>
      </c>
      <c r="F138" s="322"/>
      <c r="G138" s="361"/>
      <c r="H138" s="361"/>
      <c r="I138" s="361"/>
      <c r="J138" s="361"/>
      <c r="K138" s="361"/>
      <c r="L138" s="361"/>
      <c r="M138" s="361"/>
      <c r="N138" s="361"/>
      <c r="O138" s="326"/>
      <c r="P138" s="324" t="s">
        <v>118</v>
      </c>
    </row>
    <row r="139" spans="1:16" ht="11.25" customHeight="1" x14ac:dyDescent="0.35">
      <c r="A139" s="362" t="s">
        <v>6098</v>
      </c>
      <c r="B139" s="1390">
        <v>13</v>
      </c>
      <c r="C139" s="364" t="s">
        <v>921</v>
      </c>
      <c r="D139" s="1178"/>
      <c r="E139" s="385" t="s">
        <v>211</v>
      </c>
      <c r="F139" s="955"/>
      <c r="G139" s="1395"/>
      <c r="H139" s="1395"/>
      <c r="I139" s="1395"/>
      <c r="J139" s="1395"/>
      <c r="K139" s="1395"/>
      <c r="L139" s="1395"/>
      <c r="M139" s="1395"/>
      <c r="N139" s="1396"/>
      <c r="O139" s="326" t="str">
        <f>IF(MID(P139,7,1)="D","  ","")</f>
        <v/>
      </c>
      <c r="P139" s="324" t="s">
        <v>121</v>
      </c>
    </row>
    <row r="140" spans="1:16" ht="11.25" customHeight="1" x14ac:dyDescent="0.35">
      <c r="A140" s="362" t="s">
        <v>6099</v>
      </c>
      <c r="B140" s="1391"/>
      <c r="C140" s="366" t="str">
        <f ca="1">SpecsTxt!$G$12&amp;" "&amp;B140</f>
        <v xml:space="preserve">Depreciation </v>
      </c>
      <c r="D140" s="1401"/>
      <c r="E140" s="390" t="s">
        <v>212</v>
      </c>
      <c r="F140" s="957"/>
      <c r="G140" s="1397"/>
      <c r="H140" s="1397"/>
      <c r="I140" s="1397"/>
      <c r="J140" s="1397"/>
      <c r="K140" s="1397"/>
      <c r="L140" s="1397"/>
      <c r="M140" s="1397"/>
      <c r="N140" s="1398"/>
      <c r="O140" s="326" t="str">
        <f>IF(MID(P140,7,1)="D","  ","")</f>
        <v/>
      </c>
      <c r="P140" s="324" t="s">
        <v>121</v>
      </c>
    </row>
    <row r="141" spans="1:16" ht="11.25" hidden="1" customHeight="1" x14ac:dyDescent="0.35">
      <c r="A141" s="362" t="s">
        <v>6100</v>
      </c>
      <c r="B141" s="1392">
        <v>1</v>
      </c>
      <c r="C141" s="369" t="s">
        <v>77</v>
      </c>
      <c r="D141" s="1180"/>
      <c r="E141" s="390" t="s">
        <v>213</v>
      </c>
      <c r="F141" s="957">
        <f t="shared" ref="F141:N141" ca="1" si="33">SUM(OFFSET(F141,0,-1))+F142</f>
        <v>0</v>
      </c>
      <c r="G141" s="1397">
        <f t="shared" ca="1" si="33"/>
        <v>0</v>
      </c>
      <c r="H141" s="1397">
        <f t="shared" ca="1" si="33"/>
        <v>0</v>
      </c>
      <c r="I141" s="1397">
        <f t="shared" ca="1" si="33"/>
        <v>0</v>
      </c>
      <c r="J141" s="1397">
        <f t="shared" ca="1" si="33"/>
        <v>0</v>
      </c>
      <c r="K141" s="1397">
        <f t="shared" ca="1" si="33"/>
        <v>0</v>
      </c>
      <c r="L141" s="1397">
        <f t="shared" ca="1" si="33"/>
        <v>0</v>
      </c>
      <c r="M141" s="1397">
        <f t="shared" ca="1" si="33"/>
        <v>0</v>
      </c>
      <c r="N141" s="1398">
        <f t="shared" ca="1" si="33"/>
        <v>0</v>
      </c>
      <c r="O141" s="326" t="str">
        <f>IF(MID(P141,7,1)="D","  ","")</f>
        <v/>
      </c>
      <c r="P141" s="324" t="s">
        <v>79</v>
      </c>
    </row>
    <row r="142" spans="1:16" ht="11.25" hidden="1" customHeight="1" x14ac:dyDescent="0.35">
      <c r="A142" s="362" t="s">
        <v>6101</v>
      </c>
      <c r="B142" s="1393">
        <v>1</v>
      </c>
      <c r="C142" s="371">
        <v>0</v>
      </c>
      <c r="D142" s="1181">
        <v>1</v>
      </c>
      <c r="E142" s="1174" t="s">
        <v>214</v>
      </c>
      <c r="F142" s="372"/>
      <c r="G142" s="1399"/>
      <c r="H142" s="1399"/>
      <c r="I142" s="1399"/>
      <c r="J142" s="1399"/>
      <c r="K142" s="1399"/>
      <c r="L142" s="1399"/>
      <c r="M142" s="1399"/>
      <c r="N142" s="1399"/>
      <c r="O142" s="326"/>
      <c r="P142" s="324" t="s">
        <v>40</v>
      </c>
    </row>
    <row r="143" spans="1:16" ht="11.25" hidden="1" customHeight="1" x14ac:dyDescent="0.35">
      <c r="A143" s="362" t="s">
        <v>6102</v>
      </c>
      <c r="B143" s="1391">
        <v>99</v>
      </c>
      <c r="C143" s="374"/>
      <c r="D143" s="1182">
        <v>1</v>
      </c>
      <c r="E143" s="1175" t="s">
        <v>215</v>
      </c>
      <c r="F143" s="375"/>
      <c r="G143" s="1400"/>
      <c r="H143" s="1400"/>
      <c r="I143" s="1400"/>
      <c r="J143" s="1400"/>
      <c r="K143" s="1400"/>
      <c r="L143" s="1400"/>
      <c r="M143" s="1400"/>
      <c r="N143" s="1400"/>
      <c r="O143" s="326"/>
      <c r="P143" s="324" t="s">
        <v>40</v>
      </c>
    </row>
    <row r="144" spans="1:16" ht="11.25" hidden="1" customHeight="1" x14ac:dyDescent="0.35">
      <c r="A144" s="362" t="s">
        <v>6103</v>
      </c>
      <c r="B144" s="1391"/>
      <c r="C144" s="377" t="str">
        <f>$C$16&amp;" "&amp;B144</f>
        <v xml:space="preserve">Imputed depreciation </v>
      </c>
      <c r="D144" s="1401"/>
      <c r="E144" s="390" t="s">
        <v>216</v>
      </c>
      <c r="F144" s="957"/>
      <c r="G144" s="1397"/>
      <c r="H144" s="1397"/>
      <c r="I144" s="1397"/>
      <c r="J144" s="1397"/>
      <c r="K144" s="1397"/>
      <c r="L144" s="1397"/>
      <c r="M144" s="1397"/>
      <c r="N144" s="1398"/>
      <c r="O144" s="326" t="str">
        <f>IF(MID(P144,7,1)="D","  ","")</f>
        <v/>
      </c>
      <c r="P144" s="324" t="s">
        <v>121</v>
      </c>
    </row>
    <row r="145" spans="1:16" ht="11.25" hidden="1" customHeight="1" x14ac:dyDescent="0.35">
      <c r="A145" s="362" t="s">
        <v>6104</v>
      </c>
      <c r="B145" s="1392">
        <v>1</v>
      </c>
      <c r="C145" s="378" t="s">
        <v>83</v>
      </c>
      <c r="D145" s="1183"/>
      <c r="E145" s="390" t="s">
        <v>217</v>
      </c>
      <c r="F145" s="960">
        <f t="shared" ref="F145:N145" ca="1" si="34">SUM(OFFSET(F145,0,-1))+F146</f>
        <v>0</v>
      </c>
      <c r="G145" s="1397">
        <f t="shared" ca="1" si="34"/>
        <v>0</v>
      </c>
      <c r="H145" s="1397">
        <f t="shared" ca="1" si="34"/>
        <v>0</v>
      </c>
      <c r="I145" s="1397">
        <f t="shared" ca="1" si="34"/>
        <v>0</v>
      </c>
      <c r="J145" s="1397">
        <f t="shared" ca="1" si="34"/>
        <v>0</v>
      </c>
      <c r="K145" s="1397">
        <f t="shared" ca="1" si="34"/>
        <v>0</v>
      </c>
      <c r="L145" s="1397">
        <f t="shared" ca="1" si="34"/>
        <v>0</v>
      </c>
      <c r="M145" s="1397">
        <f t="shared" ca="1" si="34"/>
        <v>0</v>
      </c>
      <c r="N145" s="1398">
        <f t="shared" ca="1" si="34"/>
        <v>0</v>
      </c>
      <c r="O145" s="326" t="str">
        <f>IF(MID(P145,7,1)="D","  ","")</f>
        <v/>
      </c>
      <c r="P145" s="324" t="s">
        <v>79</v>
      </c>
    </row>
    <row r="146" spans="1:16" ht="11.25" hidden="1" customHeight="1" x14ac:dyDescent="0.35">
      <c r="A146" s="362" t="s">
        <v>6105</v>
      </c>
      <c r="B146" s="381">
        <v>0</v>
      </c>
      <c r="C146" s="380">
        <f>C142</f>
        <v>0</v>
      </c>
      <c r="D146" s="1182">
        <v>1</v>
      </c>
      <c r="E146" s="1174" t="s">
        <v>218</v>
      </c>
      <c r="F146" s="375"/>
      <c r="G146" s="1400"/>
      <c r="H146" s="1400"/>
      <c r="I146" s="1400"/>
      <c r="J146" s="1400"/>
      <c r="K146" s="1400"/>
      <c r="L146" s="1400"/>
      <c r="M146" s="1400"/>
      <c r="N146" s="1399"/>
      <c r="O146" s="326"/>
      <c r="P146" s="324" t="s">
        <v>174</v>
      </c>
    </row>
    <row r="147" spans="1:16" ht="11.25" hidden="1" customHeight="1" x14ac:dyDescent="0.35">
      <c r="A147" s="362" t="s">
        <v>6106</v>
      </c>
      <c r="B147" s="381">
        <v>99</v>
      </c>
      <c r="C147" s="374" t="str">
        <f>""&amp;C143</f>
        <v/>
      </c>
      <c r="D147" s="1182">
        <v>1</v>
      </c>
      <c r="E147" s="1176" t="s">
        <v>219</v>
      </c>
      <c r="F147" s="375"/>
      <c r="G147" s="1400"/>
      <c r="H147" s="1400"/>
      <c r="I147" s="1400"/>
      <c r="J147" s="1400"/>
      <c r="K147" s="1400"/>
      <c r="L147" s="1400"/>
      <c r="M147" s="1400"/>
      <c r="N147" s="1400"/>
      <c r="O147" s="326"/>
      <c r="P147" s="324" t="s">
        <v>174</v>
      </c>
    </row>
    <row r="148" spans="1:16" ht="11.25" hidden="1" customHeight="1" x14ac:dyDescent="0.35">
      <c r="A148" s="358">
        <v>0</v>
      </c>
      <c r="B148" s="359"/>
      <c r="C148" s="360"/>
      <c r="D148" s="1177"/>
      <c r="E148" s="1173" t="s">
        <v>220</v>
      </c>
      <c r="F148" s="322"/>
      <c r="G148" s="361"/>
      <c r="H148" s="361"/>
      <c r="I148" s="361"/>
      <c r="J148" s="361"/>
      <c r="K148" s="361"/>
      <c r="L148" s="361"/>
      <c r="M148" s="361"/>
      <c r="N148" s="361"/>
      <c r="O148" s="326"/>
      <c r="P148" s="324" t="s">
        <v>118</v>
      </c>
    </row>
    <row r="149" spans="1:16" ht="11.25" hidden="1" customHeight="1" x14ac:dyDescent="0.35">
      <c r="A149" s="362" t="s">
        <v>6107</v>
      </c>
      <c r="B149" s="363">
        <v>14</v>
      </c>
      <c r="C149" s="364"/>
      <c r="D149" s="1178"/>
      <c r="E149" s="385" t="s">
        <v>221</v>
      </c>
      <c r="F149" s="955"/>
      <c r="G149" s="956"/>
      <c r="H149" s="956"/>
      <c r="I149" s="956"/>
      <c r="J149" s="956"/>
      <c r="K149" s="956"/>
      <c r="L149" s="956"/>
      <c r="M149" s="956"/>
      <c r="N149" s="953">
        <f ca="1">OFFSET(N149,2,-1)</f>
        <v>0</v>
      </c>
      <c r="O149" s="326" t="str">
        <f>IF(MID(P149,7,1)="D","  ","")</f>
        <v/>
      </c>
      <c r="P149" s="324" t="s">
        <v>118</v>
      </c>
    </row>
    <row r="150" spans="1:16" ht="11.25" hidden="1" customHeight="1" x14ac:dyDescent="0.35">
      <c r="A150" s="362" t="s">
        <v>6108</v>
      </c>
      <c r="B150" s="365" t="s">
        <v>75</v>
      </c>
      <c r="C150" s="366" t="str">
        <f ca="1">SpecsTxt!$G$12&amp;" "&amp;B150</f>
        <v>Depreciation (straight line)</v>
      </c>
      <c r="D150" s="1179"/>
      <c r="E150" s="390" t="s">
        <v>222</v>
      </c>
      <c r="F150" s="957"/>
      <c r="G150" s="958"/>
      <c r="H150" s="958"/>
      <c r="I150" s="958"/>
      <c r="J150" s="958"/>
      <c r="K150" s="958"/>
      <c r="L150" s="958"/>
      <c r="M150" s="958"/>
      <c r="N150" s="412"/>
      <c r="O150" s="326" t="str">
        <f>IF(MID(P150,7,1)="D","  ","")</f>
        <v/>
      </c>
      <c r="P150" s="324" t="s">
        <v>118</v>
      </c>
    </row>
    <row r="151" spans="1:16" ht="11.25" hidden="1" customHeight="1" x14ac:dyDescent="0.35">
      <c r="A151" s="362" t="s">
        <v>6109</v>
      </c>
      <c r="B151" s="368">
        <v>1</v>
      </c>
      <c r="C151" s="369" t="s">
        <v>77</v>
      </c>
      <c r="D151" s="1180"/>
      <c r="E151" s="390" t="s">
        <v>223</v>
      </c>
      <c r="F151" s="957">
        <f t="shared" ref="F151:N151" ca="1" si="35">SUM(OFFSET(F151,0,-1))+F152</f>
        <v>0</v>
      </c>
      <c r="G151" s="958">
        <f t="shared" ca="1" si="35"/>
        <v>0</v>
      </c>
      <c r="H151" s="958">
        <f t="shared" ca="1" si="35"/>
        <v>0</v>
      </c>
      <c r="I151" s="958">
        <f t="shared" ca="1" si="35"/>
        <v>0</v>
      </c>
      <c r="J151" s="958">
        <f t="shared" ca="1" si="35"/>
        <v>0</v>
      </c>
      <c r="K151" s="958">
        <f t="shared" ca="1" si="35"/>
        <v>0</v>
      </c>
      <c r="L151" s="958">
        <f t="shared" ca="1" si="35"/>
        <v>0</v>
      </c>
      <c r="M151" s="958">
        <f t="shared" ca="1" si="35"/>
        <v>0</v>
      </c>
      <c r="N151" s="412">
        <f t="shared" ca="1" si="35"/>
        <v>0</v>
      </c>
      <c r="O151" s="326" t="str">
        <f>IF(MID(P151,7,1)="D","  ","")</f>
        <v/>
      </c>
      <c r="P151" s="324" t="s">
        <v>172</v>
      </c>
    </row>
    <row r="152" spans="1:16" ht="11.25" hidden="1" customHeight="1" x14ac:dyDescent="0.35">
      <c r="A152" s="362" t="s">
        <v>6110</v>
      </c>
      <c r="B152" s="370">
        <v>1</v>
      </c>
      <c r="C152" s="371">
        <v>0</v>
      </c>
      <c r="D152" s="1181">
        <v>1</v>
      </c>
      <c r="E152" s="1174" t="s">
        <v>224</v>
      </c>
      <c r="F152" s="372"/>
      <c r="G152" s="373"/>
      <c r="H152" s="373"/>
      <c r="I152" s="373"/>
      <c r="J152" s="373"/>
      <c r="K152" s="373"/>
      <c r="L152" s="373"/>
      <c r="M152" s="373"/>
      <c r="N152" s="373"/>
      <c r="O152" s="326"/>
      <c r="P152" s="324" t="s">
        <v>174</v>
      </c>
    </row>
    <row r="153" spans="1:16" ht="11.25" hidden="1" customHeight="1" x14ac:dyDescent="0.35">
      <c r="A153" s="362" t="s">
        <v>6111</v>
      </c>
      <c r="B153" s="365">
        <v>1</v>
      </c>
      <c r="C153" s="374"/>
      <c r="D153" s="1182">
        <v>1</v>
      </c>
      <c r="E153" s="1175" t="s">
        <v>225</v>
      </c>
      <c r="F153" s="375"/>
      <c r="G153" s="376"/>
      <c r="H153" s="376"/>
      <c r="I153" s="376"/>
      <c r="J153" s="376"/>
      <c r="K153" s="376"/>
      <c r="L153" s="376"/>
      <c r="M153" s="376"/>
      <c r="N153" s="376"/>
      <c r="O153" s="326"/>
      <c r="P153" s="324" t="s">
        <v>174</v>
      </c>
    </row>
    <row r="154" spans="1:16" ht="11.25" hidden="1" customHeight="1" x14ac:dyDescent="0.35">
      <c r="A154" s="362" t="s">
        <v>6112</v>
      </c>
      <c r="B154" s="365" t="s">
        <v>75</v>
      </c>
      <c r="C154" s="377" t="str">
        <f>$C$16&amp;" "&amp;B154</f>
        <v>Imputed depreciation (straight line)</v>
      </c>
      <c r="D154" s="1179"/>
      <c r="E154" s="390" t="s">
        <v>226</v>
      </c>
      <c r="F154" s="957"/>
      <c r="G154" s="958"/>
      <c r="H154" s="958"/>
      <c r="I154" s="958"/>
      <c r="J154" s="958"/>
      <c r="K154" s="958"/>
      <c r="L154" s="958"/>
      <c r="M154" s="958"/>
      <c r="N154" s="412"/>
      <c r="O154" s="326" t="str">
        <f>IF(MID(P154,7,1)="D","  ","")</f>
        <v/>
      </c>
      <c r="P154" s="324" t="s">
        <v>118</v>
      </c>
    </row>
    <row r="155" spans="1:16" ht="11.25" hidden="1" customHeight="1" x14ac:dyDescent="0.35">
      <c r="A155" s="362" t="s">
        <v>6113</v>
      </c>
      <c r="B155" s="368">
        <v>1</v>
      </c>
      <c r="C155" s="378" t="s">
        <v>83</v>
      </c>
      <c r="D155" s="1183"/>
      <c r="E155" s="390" t="s">
        <v>227</v>
      </c>
      <c r="F155" s="960">
        <f t="shared" ref="F155:N155" ca="1" si="36">SUM(OFFSET(F155,0,-1))+F156</f>
        <v>0</v>
      </c>
      <c r="G155" s="961">
        <f t="shared" ca="1" si="36"/>
        <v>0</v>
      </c>
      <c r="H155" s="961">
        <f t="shared" ca="1" si="36"/>
        <v>0</v>
      </c>
      <c r="I155" s="961">
        <f t="shared" ca="1" si="36"/>
        <v>0</v>
      </c>
      <c r="J155" s="961">
        <f t="shared" ca="1" si="36"/>
        <v>0</v>
      </c>
      <c r="K155" s="961">
        <f t="shared" ca="1" si="36"/>
        <v>0</v>
      </c>
      <c r="L155" s="961">
        <f t="shared" ca="1" si="36"/>
        <v>0</v>
      </c>
      <c r="M155" s="961">
        <f t="shared" ca="1" si="36"/>
        <v>0</v>
      </c>
      <c r="N155" s="959">
        <f t="shared" ca="1" si="36"/>
        <v>0</v>
      </c>
      <c r="O155" s="326" t="str">
        <f>IF(MID(P155,7,1)="D","  ","")</f>
        <v/>
      </c>
      <c r="P155" s="324" t="s">
        <v>172</v>
      </c>
    </row>
    <row r="156" spans="1:16" ht="11.25" hidden="1" customHeight="1" x14ac:dyDescent="0.35">
      <c r="A156" s="362" t="s">
        <v>6114</v>
      </c>
      <c r="B156" s="381">
        <v>0</v>
      </c>
      <c r="C156" s="380">
        <f>C152</f>
        <v>0</v>
      </c>
      <c r="D156" s="1182">
        <v>1</v>
      </c>
      <c r="E156" s="1174" t="s">
        <v>228</v>
      </c>
      <c r="F156" s="375"/>
      <c r="G156" s="376"/>
      <c r="H156" s="376"/>
      <c r="I156" s="376"/>
      <c r="J156" s="376"/>
      <c r="K156" s="376"/>
      <c r="L156" s="376"/>
      <c r="M156" s="376"/>
      <c r="N156" s="373"/>
      <c r="O156" s="326"/>
      <c r="P156" s="324" t="s">
        <v>174</v>
      </c>
    </row>
    <row r="157" spans="1:16" ht="11.25" hidden="1" customHeight="1" x14ac:dyDescent="0.35">
      <c r="A157" s="362" t="s">
        <v>6115</v>
      </c>
      <c r="B157" s="381">
        <v>1</v>
      </c>
      <c r="C157" s="374" t="str">
        <f>""&amp;C153</f>
        <v/>
      </c>
      <c r="D157" s="1182">
        <v>1</v>
      </c>
      <c r="E157" s="1176" t="s">
        <v>229</v>
      </c>
      <c r="F157" s="375"/>
      <c r="G157" s="376"/>
      <c r="H157" s="376"/>
      <c r="I157" s="376"/>
      <c r="J157" s="376"/>
      <c r="K157" s="376"/>
      <c r="L157" s="376"/>
      <c r="M157" s="376"/>
      <c r="N157" s="376"/>
      <c r="O157" s="326"/>
      <c r="P157" s="324" t="s">
        <v>174</v>
      </c>
    </row>
    <row r="158" spans="1:16" ht="11.25" hidden="1" customHeight="1" x14ac:dyDescent="0.35">
      <c r="A158" s="358">
        <v>0</v>
      </c>
      <c r="B158" s="359"/>
      <c r="C158" s="360"/>
      <c r="D158" s="1177"/>
      <c r="E158" s="1173" t="s">
        <v>230</v>
      </c>
      <c r="F158" s="322"/>
      <c r="G158" s="361"/>
      <c r="H158" s="361"/>
      <c r="I158" s="361"/>
      <c r="J158" s="361"/>
      <c r="K158" s="361"/>
      <c r="L158" s="361"/>
      <c r="M158" s="361"/>
      <c r="N158" s="361"/>
      <c r="O158" s="326"/>
      <c r="P158" s="324" t="s">
        <v>118</v>
      </c>
    </row>
    <row r="159" spans="1:16" ht="11.25" hidden="1" customHeight="1" x14ac:dyDescent="0.35">
      <c r="A159" s="362" t="s">
        <v>6116</v>
      </c>
      <c r="B159" s="363">
        <v>15</v>
      </c>
      <c r="C159" s="364"/>
      <c r="D159" s="1178"/>
      <c r="E159" s="385" t="s">
        <v>231</v>
      </c>
      <c r="F159" s="955"/>
      <c r="G159" s="956"/>
      <c r="H159" s="956"/>
      <c r="I159" s="956"/>
      <c r="J159" s="956"/>
      <c r="K159" s="956"/>
      <c r="L159" s="956"/>
      <c r="M159" s="956"/>
      <c r="N159" s="953">
        <f ca="1">OFFSET(N159,2,-1)</f>
        <v>0</v>
      </c>
      <c r="O159" s="326" t="str">
        <f>IF(MID(P159,7,1)="D","  ","")</f>
        <v/>
      </c>
      <c r="P159" s="324" t="s">
        <v>118</v>
      </c>
    </row>
    <row r="160" spans="1:16" ht="11.25" hidden="1" customHeight="1" x14ac:dyDescent="0.35">
      <c r="A160" s="362" t="s">
        <v>6117</v>
      </c>
      <c r="B160" s="365" t="s">
        <v>75</v>
      </c>
      <c r="C160" s="366" t="str">
        <f ca="1">SpecsTxt!$G$12&amp;" "&amp;B160</f>
        <v>Depreciation (straight line)</v>
      </c>
      <c r="D160" s="1179"/>
      <c r="E160" s="390" t="s">
        <v>232</v>
      </c>
      <c r="F160" s="957"/>
      <c r="G160" s="958"/>
      <c r="H160" s="958"/>
      <c r="I160" s="958"/>
      <c r="J160" s="958"/>
      <c r="K160" s="958"/>
      <c r="L160" s="958"/>
      <c r="M160" s="958"/>
      <c r="N160" s="412"/>
      <c r="O160" s="326" t="str">
        <f>IF(MID(P160,7,1)="D","  ","")</f>
        <v/>
      </c>
      <c r="P160" s="324" t="s">
        <v>118</v>
      </c>
    </row>
    <row r="161" spans="1:16" ht="11.25" hidden="1" customHeight="1" x14ac:dyDescent="0.35">
      <c r="A161" s="362" t="s">
        <v>6118</v>
      </c>
      <c r="B161" s="368">
        <v>1</v>
      </c>
      <c r="C161" s="369" t="s">
        <v>77</v>
      </c>
      <c r="D161" s="1180"/>
      <c r="E161" s="390" t="s">
        <v>233</v>
      </c>
      <c r="F161" s="957">
        <f t="shared" ref="F161:N161" ca="1" si="37">SUM(OFFSET(F161,0,-1))+F162</f>
        <v>0</v>
      </c>
      <c r="G161" s="958">
        <f t="shared" ca="1" si="37"/>
        <v>0</v>
      </c>
      <c r="H161" s="958">
        <f t="shared" ca="1" si="37"/>
        <v>0</v>
      </c>
      <c r="I161" s="958">
        <f t="shared" ca="1" si="37"/>
        <v>0</v>
      </c>
      <c r="J161" s="958">
        <f t="shared" ca="1" si="37"/>
        <v>0</v>
      </c>
      <c r="K161" s="958">
        <f t="shared" ca="1" si="37"/>
        <v>0</v>
      </c>
      <c r="L161" s="958">
        <f t="shared" ca="1" si="37"/>
        <v>0</v>
      </c>
      <c r="M161" s="958">
        <f t="shared" ca="1" si="37"/>
        <v>0</v>
      </c>
      <c r="N161" s="412">
        <f t="shared" ca="1" si="37"/>
        <v>0</v>
      </c>
      <c r="O161" s="326" t="str">
        <f>IF(MID(P161,7,1)="D","  ","")</f>
        <v/>
      </c>
      <c r="P161" s="324" t="s">
        <v>172</v>
      </c>
    </row>
    <row r="162" spans="1:16" ht="11.25" hidden="1" customHeight="1" x14ac:dyDescent="0.35">
      <c r="A162" s="362" t="s">
        <v>6119</v>
      </c>
      <c r="B162" s="370">
        <v>1</v>
      </c>
      <c r="C162" s="371">
        <v>0</v>
      </c>
      <c r="D162" s="1181">
        <v>1</v>
      </c>
      <c r="E162" s="1174" t="s">
        <v>234</v>
      </c>
      <c r="F162" s="372"/>
      <c r="G162" s="373"/>
      <c r="H162" s="373"/>
      <c r="I162" s="373"/>
      <c r="J162" s="373"/>
      <c r="K162" s="373"/>
      <c r="L162" s="373"/>
      <c r="M162" s="373"/>
      <c r="N162" s="373"/>
      <c r="O162" s="326"/>
      <c r="P162" s="324" t="s">
        <v>174</v>
      </c>
    </row>
    <row r="163" spans="1:16" ht="11.25" hidden="1" customHeight="1" x14ac:dyDescent="0.35">
      <c r="A163" s="362" t="s">
        <v>6120</v>
      </c>
      <c r="B163" s="365">
        <v>1</v>
      </c>
      <c r="C163" s="374"/>
      <c r="D163" s="1182">
        <v>1</v>
      </c>
      <c r="E163" s="1175" t="s">
        <v>235</v>
      </c>
      <c r="F163" s="375"/>
      <c r="G163" s="376"/>
      <c r="H163" s="376"/>
      <c r="I163" s="376"/>
      <c r="J163" s="376"/>
      <c r="K163" s="376"/>
      <c r="L163" s="376"/>
      <c r="M163" s="376"/>
      <c r="N163" s="376"/>
      <c r="O163" s="326"/>
      <c r="P163" s="324" t="s">
        <v>174</v>
      </c>
    </row>
    <row r="164" spans="1:16" ht="11.25" hidden="1" customHeight="1" x14ac:dyDescent="0.35">
      <c r="A164" s="362" t="s">
        <v>6121</v>
      </c>
      <c r="B164" s="365" t="s">
        <v>75</v>
      </c>
      <c r="C164" s="377" t="str">
        <f>$C$16&amp;" "&amp;B164</f>
        <v>Imputed depreciation (straight line)</v>
      </c>
      <c r="D164" s="1179"/>
      <c r="E164" s="390" t="s">
        <v>236</v>
      </c>
      <c r="F164" s="957"/>
      <c r="G164" s="958"/>
      <c r="H164" s="958"/>
      <c r="I164" s="958"/>
      <c r="J164" s="958"/>
      <c r="K164" s="958"/>
      <c r="L164" s="958"/>
      <c r="M164" s="958"/>
      <c r="N164" s="412"/>
      <c r="O164" s="326" t="str">
        <f>IF(MID(P164,7,1)="D","  ","")</f>
        <v/>
      </c>
      <c r="P164" s="324" t="s">
        <v>118</v>
      </c>
    </row>
    <row r="165" spans="1:16" ht="11.25" hidden="1" customHeight="1" x14ac:dyDescent="0.35">
      <c r="A165" s="362" t="s">
        <v>6122</v>
      </c>
      <c r="B165" s="368">
        <v>1</v>
      </c>
      <c r="C165" s="378" t="s">
        <v>83</v>
      </c>
      <c r="D165" s="1183"/>
      <c r="E165" s="390" t="s">
        <v>237</v>
      </c>
      <c r="F165" s="960">
        <f t="shared" ref="F165:N165" ca="1" si="38">SUM(OFFSET(F165,0,-1))+F166</f>
        <v>0</v>
      </c>
      <c r="G165" s="961">
        <f t="shared" ca="1" si="38"/>
        <v>0</v>
      </c>
      <c r="H165" s="961">
        <f t="shared" ca="1" si="38"/>
        <v>0</v>
      </c>
      <c r="I165" s="961">
        <f t="shared" ca="1" si="38"/>
        <v>0</v>
      </c>
      <c r="J165" s="961">
        <f t="shared" ca="1" si="38"/>
        <v>0</v>
      </c>
      <c r="K165" s="961">
        <f t="shared" ca="1" si="38"/>
        <v>0</v>
      </c>
      <c r="L165" s="961">
        <f t="shared" ca="1" si="38"/>
        <v>0</v>
      </c>
      <c r="M165" s="961">
        <f t="shared" ca="1" si="38"/>
        <v>0</v>
      </c>
      <c r="N165" s="959">
        <f t="shared" ca="1" si="38"/>
        <v>0</v>
      </c>
      <c r="O165" s="326" t="str">
        <f>IF(MID(P165,7,1)="D","  ","")</f>
        <v/>
      </c>
      <c r="P165" s="324" t="s">
        <v>172</v>
      </c>
    </row>
    <row r="166" spans="1:16" ht="11.25" hidden="1" customHeight="1" x14ac:dyDescent="0.35">
      <c r="A166" s="362" t="s">
        <v>6123</v>
      </c>
      <c r="B166" s="381">
        <v>0</v>
      </c>
      <c r="C166" s="380">
        <f>C162</f>
        <v>0</v>
      </c>
      <c r="D166" s="1182">
        <v>1</v>
      </c>
      <c r="E166" s="1174" t="s">
        <v>238</v>
      </c>
      <c r="F166" s="375"/>
      <c r="G166" s="376"/>
      <c r="H166" s="376"/>
      <c r="I166" s="376"/>
      <c r="J166" s="376"/>
      <c r="K166" s="376"/>
      <c r="L166" s="376"/>
      <c r="M166" s="376"/>
      <c r="N166" s="373"/>
      <c r="O166" s="326"/>
      <c r="P166" s="324" t="s">
        <v>174</v>
      </c>
    </row>
    <row r="167" spans="1:16" ht="11.25" hidden="1" customHeight="1" x14ac:dyDescent="0.35">
      <c r="A167" s="362" t="s">
        <v>6124</v>
      </c>
      <c r="B167" s="381">
        <v>1</v>
      </c>
      <c r="C167" s="374" t="str">
        <f>""&amp;C163</f>
        <v/>
      </c>
      <c r="D167" s="1182">
        <v>1</v>
      </c>
      <c r="E167" s="1176" t="s">
        <v>239</v>
      </c>
      <c r="F167" s="375"/>
      <c r="G167" s="376"/>
      <c r="H167" s="376"/>
      <c r="I167" s="376"/>
      <c r="J167" s="376"/>
      <c r="K167" s="376"/>
      <c r="L167" s="376"/>
      <c r="M167" s="376"/>
      <c r="N167" s="376"/>
      <c r="O167" s="326"/>
      <c r="P167" s="324" t="s">
        <v>174</v>
      </c>
    </row>
    <row r="168" spans="1:16" ht="11.25" hidden="1" customHeight="1" x14ac:dyDescent="0.35">
      <c r="A168" s="358">
        <v>0</v>
      </c>
      <c r="B168" s="359"/>
      <c r="C168" s="360"/>
      <c r="D168" s="1177"/>
      <c r="E168" s="1173" t="s">
        <v>240</v>
      </c>
      <c r="F168" s="322"/>
      <c r="G168" s="361"/>
      <c r="H168" s="361"/>
      <c r="I168" s="361"/>
      <c r="J168" s="361"/>
      <c r="K168" s="361"/>
      <c r="L168" s="361"/>
      <c r="M168" s="361"/>
      <c r="N168" s="361"/>
      <c r="O168" s="326"/>
      <c r="P168" s="324" t="s">
        <v>118</v>
      </c>
    </row>
    <row r="169" spans="1:16" ht="11.25" hidden="1" customHeight="1" x14ac:dyDescent="0.35">
      <c r="A169" s="362" t="s">
        <v>6125</v>
      </c>
      <c r="B169" s="363">
        <v>16</v>
      </c>
      <c r="C169" s="364"/>
      <c r="D169" s="1178"/>
      <c r="E169" s="385" t="s">
        <v>241</v>
      </c>
      <c r="F169" s="955"/>
      <c r="G169" s="956"/>
      <c r="H169" s="956"/>
      <c r="I169" s="956"/>
      <c r="J169" s="956"/>
      <c r="K169" s="956"/>
      <c r="L169" s="956"/>
      <c r="M169" s="956"/>
      <c r="N169" s="953">
        <f ca="1">OFFSET(N169,2,-1)</f>
        <v>0</v>
      </c>
      <c r="O169" s="326" t="str">
        <f>IF(MID(P169,7,1)="D","  ","")</f>
        <v/>
      </c>
      <c r="P169" s="324" t="s">
        <v>118</v>
      </c>
    </row>
    <row r="170" spans="1:16" ht="11.25" hidden="1" customHeight="1" x14ac:dyDescent="0.35">
      <c r="A170" s="362" t="s">
        <v>6126</v>
      </c>
      <c r="B170" s="365" t="s">
        <v>75</v>
      </c>
      <c r="C170" s="366" t="str">
        <f ca="1">SpecsTxt!$G$12&amp;" "&amp;B170</f>
        <v>Depreciation (straight line)</v>
      </c>
      <c r="D170" s="1179"/>
      <c r="E170" s="390" t="s">
        <v>242</v>
      </c>
      <c r="F170" s="957"/>
      <c r="G170" s="958"/>
      <c r="H170" s="958"/>
      <c r="I170" s="958"/>
      <c r="J170" s="958"/>
      <c r="K170" s="958"/>
      <c r="L170" s="958"/>
      <c r="M170" s="958"/>
      <c r="N170" s="412"/>
      <c r="O170" s="326" t="str">
        <f>IF(MID(P170,7,1)="D","  ","")</f>
        <v/>
      </c>
      <c r="P170" s="324" t="s">
        <v>118</v>
      </c>
    </row>
    <row r="171" spans="1:16" ht="11.25" hidden="1" customHeight="1" x14ac:dyDescent="0.35">
      <c r="A171" s="362" t="s">
        <v>6127</v>
      </c>
      <c r="B171" s="368">
        <v>1</v>
      </c>
      <c r="C171" s="369" t="s">
        <v>77</v>
      </c>
      <c r="D171" s="1180"/>
      <c r="E171" s="390" t="s">
        <v>243</v>
      </c>
      <c r="F171" s="957">
        <f t="shared" ref="F171:N171" ca="1" si="39">SUM(OFFSET(F171,0,-1))+F172</f>
        <v>0</v>
      </c>
      <c r="G171" s="958">
        <f t="shared" ca="1" si="39"/>
        <v>0</v>
      </c>
      <c r="H171" s="958">
        <f t="shared" ca="1" si="39"/>
        <v>0</v>
      </c>
      <c r="I171" s="958">
        <f t="shared" ca="1" si="39"/>
        <v>0</v>
      </c>
      <c r="J171" s="958">
        <f t="shared" ca="1" si="39"/>
        <v>0</v>
      </c>
      <c r="K171" s="958">
        <f t="shared" ca="1" si="39"/>
        <v>0</v>
      </c>
      <c r="L171" s="958">
        <f t="shared" ca="1" si="39"/>
        <v>0</v>
      </c>
      <c r="M171" s="958">
        <f t="shared" ca="1" si="39"/>
        <v>0</v>
      </c>
      <c r="N171" s="412">
        <f t="shared" ca="1" si="39"/>
        <v>0</v>
      </c>
      <c r="O171" s="326" t="str">
        <f>IF(MID(P171,7,1)="D","  ","")</f>
        <v/>
      </c>
      <c r="P171" s="324" t="s">
        <v>172</v>
      </c>
    </row>
    <row r="172" spans="1:16" ht="11.25" hidden="1" customHeight="1" x14ac:dyDescent="0.35">
      <c r="A172" s="362" t="s">
        <v>6128</v>
      </c>
      <c r="B172" s="370">
        <v>1</v>
      </c>
      <c r="C172" s="371">
        <v>0</v>
      </c>
      <c r="D172" s="1181">
        <v>1</v>
      </c>
      <c r="E172" s="1174" t="s">
        <v>244</v>
      </c>
      <c r="F172" s="372"/>
      <c r="G172" s="373"/>
      <c r="H172" s="373"/>
      <c r="I172" s="373"/>
      <c r="J172" s="373"/>
      <c r="K172" s="373"/>
      <c r="L172" s="373"/>
      <c r="M172" s="373"/>
      <c r="N172" s="373"/>
      <c r="O172" s="326"/>
      <c r="P172" s="324" t="s">
        <v>174</v>
      </c>
    </row>
    <row r="173" spans="1:16" ht="11.25" hidden="1" customHeight="1" x14ac:dyDescent="0.35">
      <c r="A173" s="362" t="s">
        <v>6129</v>
      </c>
      <c r="B173" s="365">
        <v>1</v>
      </c>
      <c r="C173" s="374"/>
      <c r="D173" s="1182">
        <v>1</v>
      </c>
      <c r="E173" s="1175" t="s">
        <v>245</v>
      </c>
      <c r="F173" s="375"/>
      <c r="G173" s="376"/>
      <c r="H173" s="376"/>
      <c r="I173" s="376"/>
      <c r="J173" s="376"/>
      <c r="K173" s="376"/>
      <c r="L173" s="376"/>
      <c r="M173" s="376"/>
      <c r="N173" s="376"/>
      <c r="O173" s="326"/>
      <c r="P173" s="324" t="s">
        <v>174</v>
      </c>
    </row>
    <row r="174" spans="1:16" ht="11.25" hidden="1" customHeight="1" x14ac:dyDescent="0.35">
      <c r="A174" s="362" t="s">
        <v>6130</v>
      </c>
      <c r="B174" s="365" t="s">
        <v>75</v>
      </c>
      <c r="C174" s="377" t="str">
        <f>$C$16&amp;" "&amp;B174</f>
        <v>Imputed depreciation (straight line)</v>
      </c>
      <c r="D174" s="1179"/>
      <c r="E174" s="390" t="s">
        <v>246</v>
      </c>
      <c r="F174" s="957"/>
      <c r="G174" s="958"/>
      <c r="H174" s="958"/>
      <c r="I174" s="958"/>
      <c r="J174" s="958"/>
      <c r="K174" s="958"/>
      <c r="L174" s="958"/>
      <c r="M174" s="958"/>
      <c r="N174" s="412"/>
      <c r="O174" s="326" t="str">
        <f>IF(MID(P174,7,1)="D","  ","")</f>
        <v/>
      </c>
      <c r="P174" s="324" t="s">
        <v>118</v>
      </c>
    </row>
    <row r="175" spans="1:16" ht="11.25" hidden="1" customHeight="1" x14ac:dyDescent="0.35">
      <c r="A175" s="362" t="s">
        <v>6131</v>
      </c>
      <c r="B175" s="368">
        <v>1</v>
      </c>
      <c r="C175" s="378" t="s">
        <v>83</v>
      </c>
      <c r="D175" s="1183"/>
      <c r="E175" s="390" t="s">
        <v>247</v>
      </c>
      <c r="F175" s="960">
        <f t="shared" ref="F175:N175" ca="1" si="40">SUM(OFFSET(F175,0,-1))+F176</f>
        <v>0</v>
      </c>
      <c r="G175" s="961">
        <f t="shared" ca="1" si="40"/>
        <v>0</v>
      </c>
      <c r="H175" s="961">
        <f t="shared" ca="1" si="40"/>
        <v>0</v>
      </c>
      <c r="I175" s="961">
        <f t="shared" ca="1" si="40"/>
        <v>0</v>
      </c>
      <c r="J175" s="961">
        <f t="shared" ca="1" si="40"/>
        <v>0</v>
      </c>
      <c r="K175" s="961">
        <f t="shared" ca="1" si="40"/>
        <v>0</v>
      </c>
      <c r="L175" s="961">
        <f t="shared" ca="1" si="40"/>
        <v>0</v>
      </c>
      <c r="M175" s="961">
        <f t="shared" ca="1" si="40"/>
        <v>0</v>
      </c>
      <c r="N175" s="959">
        <f t="shared" ca="1" si="40"/>
        <v>0</v>
      </c>
      <c r="O175" s="326" t="str">
        <f>IF(MID(P175,7,1)="D","  ","")</f>
        <v/>
      </c>
      <c r="P175" s="324" t="s">
        <v>172</v>
      </c>
    </row>
    <row r="176" spans="1:16" ht="11.25" hidden="1" customHeight="1" x14ac:dyDescent="0.35">
      <c r="A176" s="362" t="s">
        <v>6132</v>
      </c>
      <c r="B176" s="381">
        <v>0</v>
      </c>
      <c r="C176" s="380">
        <f>C172</f>
        <v>0</v>
      </c>
      <c r="D176" s="1182">
        <v>1</v>
      </c>
      <c r="E176" s="1174" t="s">
        <v>248</v>
      </c>
      <c r="F176" s="375"/>
      <c r="G176" s="376"/>
      <c r="H176" s="376"/>
      <c r="I176" s="376"/>
      <c r="J176" s="376"/>
      <c r="K176" s="376"/>
      <c r="L176" s="376"/>
      <c r="M176" s="376"/>
      <c r="N176" s="373"/>
      <c r="O176" s="326"/>
      <c r="P176" s="324" t="s">
        <v>174</v>
      </c>
    </row>
    <row r="177" spans="1:16" ht="11.25" hidden="1" customHeight="1" x14ac:dyDescent="0.35">
      <c r="A177" s="362" t="s">
        <v>6133</v>
      </c>
      <c r="B177" s="381">
        <v>1</v>
      </c>
      <c r="C177" s="374" t="str">
        <f>""&amp;C173</f>
        <v/>
      </c>
      <c r="D177" s="1182">
        <v>1</v>
      </c>
      <c r="E177" s="1176" t="s">
        <v>249</v>
      </c>
      <c r="F177" s="375"/>
      <c r="G177" s="376"/>
      <c r="H177" s="376"/>
      <c r="I177" s="376"/>
      <c r="J177" s="376"/>
      <c r="K177" s="376"/>
      <c r="L177" s="376"/>
      <c r="M177" s="376"/>
      <c r="N177" s="376"/>
      <c r="O177" s="326"/>
      <c r="P177" s="324" t="s">
        <v>174</v>
      </c>
    </row>
    <row r="178" spans="1:16" ht="11.25" hidden="1" customHeight="1" x14ac:dyDescent="0.35">
      <c r="A178" s="358">
        <v>0</v>
      </c>
      <c r="B178" s="359"/>
      <c r="C178" s="360"/>
      <c r="D178" s="1177"/>
      <c r="E178" s="1173" t="s">
        <v>250</v>
      </c>
      <c r="F178" s="322"/>
      <c r="G178" s="361"/>
      <c r="H178" s="361"/>
      <c r="I178" s="361"/>
      <c r="J178" s="361"/>
      <c r="K178" s="361"/>
      <c r="L178" s="361"/>
      <c r="M178" s="361"/>
      <c r="N178" s="361"/>
      <c r="O178" s="326"/>
      <c r="P178" s="324" t="s">
        <v>118</v>
      </c>
    </row>
    <row r="179" spans="1:16" ht="11.25" hidden="1" customHeight="1" x14ac:dyDescent="0.35">
      <c r="A179" s="362" t="s">
        <v>6134</v>
      </c>
      <c r="B179" s="363">
        <v>17</v>
      </c>
      <c r="C179" s="364"/>
      <c r="D179" s="1178"/>
      <c r="E179" s="385" t="s">
        <v>251</v>
      </c>
      <c r="F179" s="955"/>
      <c r="G179" s="956"/>
      <c r="H179" s="956"/>
      <c r="I179" s="956"/>
      <c r="J179" s="956"/>
      <c r="K179" s="956"/>
      <c r="L179" s="956"/>
      <c r="M179" s="956"/>
      <c r="N179" s="953">
        <f ca="1">OFFSET(N179,2,-1)</f>
        <v>0</v>
      </c>
      <c r="O179" s="326" t="str">
        <f>IF(MID(P179,7,1)="D","  ","")</f>
        <v/>
      </c>
      <c r="P179" s="324" t="s">
        <v>118</v>
      </c>
    </row>
    <row r="180" spans="1:16" ht="11.25" hidden="1" customHeight="1" x14ac:dyDescent="0.35">
      <c r="A180" s="362" t="s">
        <v>6135</v>
      </c>
      <c r="B180" s="365" t="s">
        <v>75</v>
      </c>
      <c r="C180" s="366" t="str">
        <f ca="1">SpecsTxt!$G$12&amp;" "&amp;B180</f>
        <v>Depreciation (straight line)</v>
      </c>
      <c r="D180" s="1179"/>
      <c r="E180" s="390" t="s">
        <v>252</v>
      </c>
      <c r="F180" s="957"/>
      <c r="G180" s="958"/>
      <c r="H180" s="958"/>
      <c r="I180" s="958"/>
      <c r="J180" s="958"/>
      <c r="K180" s="958"/>
      <c r="L180" s="958"/>
      <c r="M180" s="958"/>
      <c r="N180" s="412"/>
      <c r="O180" s="326" t="str">
        <f>IF(MID(P180,7,1)="D","  ","")</f>
        <v/>
      </c>
      <c r="P180" s="324" t="s">
        <v>118</v>
      </c>
    </row>
    <row r="181" spans="1:16" ht="11.25" hidden="1" customHeight="1" x14ac:dyDescent="0.35">
      <c r="A181" s="362" t="s">
        <v>6136</v>
      </c>
      <c r="B181" s="368">
        <v>1</v>
      </c>
      <c r="C181" s="369" t="s">
        <v>77</v>
      </c>
      <c r="D181" s="1180"/>
      <c r="E181" s="390" t="s">
        <v>253</v>
      </c>
      <c r="F181" s="957">
        <f t="shared" ref="F181:N181" ca="1" si="41">SUM(OFFSET(F181,0,-1))+F182</f>
        <v>0</v>
      </c>
      <c r="G181" s="958">
        <f t="shared" ca="1" si="41"/>
        <v>0</v>
      </c>
      <c r="H181" s="958">
        <f t="shared" ca="1" si="41"/>
        <v>0</v>
      </c>
      <c r="I181" s="958">
        <f t="shared" ca="1" si="41"/>
        <v>0</v>
      </c>
      <c r="J181" s="958">
        <f t="shared" ca="1" si="41"/>
        <v>0</v>
      </c>
      <c r="K181" s="958">
        <f t="shared" ca="1" si="41"/>
        <v>0</v>
      </c>
      <c r="L181" s="958">
        <f t="shared" ca="1" si="41"/>
        <v>0</v>
      </c>
      <c r="M181" s="958">
        <f t="shared" ca="1" si="41"/>
        <v>0</v>
      </c>
      <c r="N181" s="412">
        <f t="shared" ca="1" si="41"/>
        <v>0</v>
      </c>
      <c r="O181" s="326" t="str">
        <f>IF(MID(P181,7,1)="D","  ","")</f>
        <v/>
      </c>
      <c r="P181" s="324" t="s">
        <v>172</v>
      </c>
    </row>
    <row r="182" spans="1:16" ht="11.25" hidden="1" customHeight="1" x14ac:dyDescent="0.35">
      <c r="A182" s="362" t="s">
        <v>6137</v>
      </c>
      <c r="B182" s="370">
        <v>1</v>
      </c>
      <c r="C182" s="371">
        <v>0</v>
      </c>
      <c r="D182" s="1181">
        <v>1</v>
      </c>
      <c r="E182" s="1174" t="s">
        <v>254</v>
      </c>
      <c r="F182" s="372"/>
      <c r="G182" s="373"/>
      <c r="H182" s="373"/>
      <c r="I182" s="373"/>
      <c r="J182" s="373"/>
      <c r="K182" s="373"/>
      <c r="L182" s="373"/>
      <c r="M182" s="373"/>
      <c r="N182" s="373"/>
      <c r="O182" s="326"/>
      <c r="P182" s="324" t="s">
        <v>174</v>
      </c>
    </row>
    <row r="183" spans="1:16" ht="11.25" hidden="1" customHeight="1" x14ac:dyDescent="0.35">
      <c r="A183" s="362" t="s">
        <v>6138</v>
      </c>
      <c r="B183" s="365">
        <v>1</v>
      </c>
      <c r="C183" s="374"/>
      <c r="D183" s="1182">
        <v>1</v>
      </c>
      <c r="E183" s="1175" t="s">
        <v>255</v>
      </c>
      <c r="F183" s="375"/>
      <c r="G183" s="376"/>
      <c r="H183" s="376"/>
      <c r="I183" s="376"/>
      <c r="J183" s="376"/>
      <c r="K183" s="376"/>
      <c r="L183" s="376"/>
      <c r="M183" s="376"/>
      <c r="N183" s="376"/>
      <c r="O183" s="326"/>
      <c r="P183" s="324" t="s">
        <v>174</v>
      </c>
    </row>
    <row r="184" spans="1:16" ht="11.25" hidden="1" customHeight="1" x14ac:dyDescent="0.35">
      <c r="A184" s="362" t="s">
        <v>6139</v>
      </c>
      <c r="B184" s="365" t="s">
        <v>75</v>
      </c>
      <c r="C184" s="377" t="str">
        <f>$C$16&amp;" "&amp;B184</f>
        <v>Imputed depreciation (straight line)</v>
      </c>
      <c r="D184" s="1179"/>
      <c r="E184" s="390" t="s">
        <v>256</v>
      </c>
      <c r="F184" s="957"/>
      <c r="G184" s="958"/>
      <c r="H184" s="958"/>
      <c r="I184" s="958"/>
      <c r="J184" s="958"/>
      <c r="K184" s="958"/>
      <c r="L184" s="958"/>
      <c r="M184" s="958"/>
      <c r="N184" s="412"/>
      <c r="O184" s="326" t="str">
        <f>IF(MID(P184,7,1)="D","  ","")</f>
        <v/>
      </c>
      <c r="P184" s="324" t="s">
        <v>118</v>
      </c>
    </row>
    <row r="185" spans="1:16" ht="11.25" hidden="1" customHeight="1" x14ac:dyDescent="0.35">
      <c r="A185" s="362" t="s">
        <v>6140</v>
      </c>
      <c r="B185" s="368">
        <v>1</v>
      </c>
      <c r="C185" s="378" t="s">
        <v>83</v>
      </c>
      <c r="D185" s="1183"/>
      <c r="E185" s="390" t="s">
        <v>257</v>
      </c>
      <c r="F185" s="960">
        <f t="shared" ref="F185:N185" ca="1" si="42">SUM(OFFSET(F185,0,-1))+F186</f>
        <v>0</v>
      </c>
      <c r="G185" s="961">
        <f t="shared" ca="1" si="42"/>
        <v>0</v>
      </c>
      <c r="H185" s="961">
        <f t="shared" ca="1" si="42"/>
        <v>0</v>
      </c>
      <c r="I185" s="961">
        <f t="shared" ca="1" si="42"/>
        <v>0</v>
      </c>
      <c r="J185" s="961">
        <f t="shared" ca="1" si="42"/>
        <v>0</v>
      </c>
      <c r="K185" s="961">
        <f t="shared" ca="1" si="42"/>
        <v>0</v>
      </c>
      <c r="L185" s="961">
        <f t="shared" ca="1" si="42"/>
        <v>0</v>
      </c>
      <c r="M185" s="961">
        <f t="shared" ca="1" si="42"/>
        <v>0</v>
      </c>
      <c r="N185" s="959">
        <f t="shared" ca="1" si="42"/>
        <v>0</v>
      </c>
      <c r="O185" s="326" t="str">
        <f>IF(MID(P185,7,1)="D","  ","")</f>
        <v/>
      </c>
      <c r="P185" s="324" t="s">
        <v>172</v>
      </c>
    </row>
    <row r="186" spans="1:16" ht="11.25" hidden="1" customHeight="1" x14ac:dyDescent="0.35">
      <c r="A186" s="362" t="s">
        <v>6141</v>
      </c>
      <c r="B186" s="381">
        <v>0</v>
      </c>
      <c r="C186" s="380">
        <f>C182</f>
        <v>0</v>
      </c>
      <c r="D186" s="1182">
        <v>1</v>
      </c>
      <c r="E186" s="1174" t="s">
        <v>258</v>
      </c>
      <c r="F186" s="375"/>
      <c r="G186" s="376"/>
      <c r="H186" s="376"/>
      <c r="I186" s="376"/>
      <c r="J186" s="376"/>
      <c r="K186" s="376"/>
      <c r="L186" s="376"/>
      <c r="M186" s="376"/>
      <c r="N186" s="373"/>
      <c r="O186" s="326"/>
      <c r="P186" s="324" t="s">
        <v>174</v>
      </c>
    </row>
    <row r="187" spans="1:16" ht="11.25" hidden="1" customHeight="1" x14ac:dyDescent="0.35">
      <c r="A187" s="362" t="s">
        <v>6142</v>
      </c>
      <c r="B187" s="381">
        <v>1</v>
      </c>
      <c r="C187" s="374" t="str">
        <f>""&amp;C183</f>
        <v/>
      </c>
      <c r="D187" s="1182">
        <v>1</v>
      </c>
      <c r="E187" s="1176" t="s">
        <v>259</v>
      </c>
      <c r="F187" s="375"/>
      <c r="G187" s="376"/>
      <c r="H187" s="376"/>
      <c r="I187" s="376"/>
      <c r="J187" s="376"/>
      <c r="K187" s="376"/>
      <c r="L187" s="376"/>
      <c r="M187" s="376"/>
      <c r="N187" s="376"/>
      <c r="O187" s="326"/>
      <c r="P187" s="324" t="s">
        <v>174</v>
      </c>
    </row>
    <row r="188" spans="1:16" ht="11.25" hidden="1" customHeight="1" x14ac:dyDescent="0.35">
      <c r="A188" s="358">
        <v>0</v>
      </c>
      <c r="B188" s="359"/>
      <c r="C188" s="360"/>
      <c r="D188" s="1177"/>
      <c r="E188" s="1173" t="s">
        <v>260</v>
      </c>
      <c r="F188" s="322"/>
      <c r="G188" s="361"/>
      <c r="H188" s="361"/>
      <c r="I188" s="361"/>
      <c r="J188" s="361"/>
      <c r="K188" s="361"/>
      <c r="L188" s="361"/>
      <c r="M188" s="361"/>
      <c r="N188" s="361"/>
      <c r="O188" s="326"/>
      <c r="P188" s="324" t="s">
        <v>118</v>
      </c>
    </row>
    <row r="189" spans="1:16" ht="11.25" hidden="1" customHeight="1" x14ac:dyDescent="0.35">
      <c r="A189" s="362" t="s">
        <v>6143</v>
      </c>
      <c r="B189" s="363">
        <v>18</v>
      </c>
      <c r="C189" s="364"/>
      <c r="D189" s="1178"/>
      <c r="E189" s="385" t="s">
        <v>261</v>
      </c>
      <c r="F189" s="955"/>
      <c r="G189" s="956"/>
      <c r="H189" s="956"/>
      <c r="I189" s="956"/>
      <c r="J189" s="956"/>
      <c r="K189" s="956"/>
      <c r="L189" s="956"/>
      <c r="M189" s="956"/>
      <c r="N189" s="953">
        <f ca="1">OFFSET(N189,2,-1)</f>
        <v>0</v>
      </c>
      <c r="O189" s="326" t="str">
        <f>IF(MID(P189,7,1)="D","  ","")</f>
        <v/>
      </c>
      <c r="P189" s="324" t="s">
        <v>118</v>
      </c>
    </row>
    <row r="190" spans="1:16" ht="11.25" hidden="1" customHeight="1" x14ac:dyDescent="0.35">
      <c r="A190" s="362" t="s">
        <v>6144</v>
      </c>
      <c r="B190" s="365" t="s">
        <v>75</v>
      </c>
      <c r="C190" s="366" t="str">
        <f ca="1">SpecsTxt!$G$12&amp;" "&amp;B190</f>
        <v>Depreciation (straight line)</v>
      </c>
      <c r="D190" s="1179"/>
      <c r="E190" s="390" t="s">
        <v>262</v>
      </c>
      <c r="F190" s="957"/>
      <c r="G190" s="958"/>
      <c r="H190" s="958"/>
      <c r="I190" s="958"/>
      <c r="J190" s="958"/>
      <c r="K190" s="958"/>
      <c r="L190" s="958"/>
      <c r="M190" s="958"/>
      <c r="N190" s="412"/>
      <c r="O190" s="326" t="str">
        <f>IF(MID(P190,7,1)="D","  ","")</f>
        <v/>
      </c>
      <c r="P190" s="324" t="s">
        <v>118</v>
      </c>
    </row>
    <row r="191" spans="1:16" ht="11.25" hidden="1" customHeight="1" x14ac:dyDescent="0.35">
      <c r="A191" s="362" t="s">
        <v>6145</v>
      </c>
      <c r="B191" s="368">
        <v>1</v>
      </c>
      <c r="C191" s="369" t="s">
        <v>77</v>
      </c>
      <c r="D191" s="1180"/>
      <c r="E191" s="390" t="s">
        <v>263</v>
      </c>
      <c r="F191" s="957">
        <f t="shared" ref="F191:N191" ca="1" si="43">SUM(OFFSET(F191,0,-1))+F192</f>
        <v>0</v>
      </c>
      <c r="G191" s="958">
        <f t="shared" ca="1" si="43"/>
        <v>0</v>
      </c>
      <c r="H191" s="958">
        <f t="shared" ca="1" si="43"/>
        <v>0</v>
      </c>
      <c r="I191" s="958">
        <f t="shared" ca="1" si="43"/>
        <v>0</v>
      </c>
      <c r="J191" s="958">
        <f t="shared" ca="1" si="43"/>
        <v>0</v>
      </c>
      <c r="K191" s="958">
        <f t="shared" ca="1" si="43"/>
        <v>0</v>
      </c>
      <c r="L191" s="958">
        <f t="shared" ca="1" si="43"/>
        <v>0</v>
      </c>
      <c r="M191" s="958">
        <f t="shared" ca="1" si="43"/>
        <v>0</v>
      </c>
      <c r="N191" s="412">
        <f t="shared" ca="1" si="43"/>
        <v>0</v>
      </c>
      <c r="O191" s="326" t="str">
        <f>IF(MID(P191,7,1)="D","  ","")</f>
        <v/>
      </c>
      <c r="P191" s="324" t="s">
        <v>172</v>
      </c>
    </row>
    <row r="192" spans="1:16" ht="11.25" hidden="1" customHeight="1" x14ac:dyDescent="0.35">
      <c r="A192" s="362" t="s">
        <v>6146</v>
      </c>
      <c r="B192" s="370">
        <v>1</v>
      </c>
      <c r="C192" s="371">
        <v>0</v>
      </c>
      <c r="D192" s="1181">
        <v>1</v>
      </c>
      <c r="E192" s="1174" t="s">
        <v>264</v>
      </c>
      <c r="F192" s="372"/>
      <c r="G192" s="373"/>
      <c r="H192" s="373"/>
      <c r="I192" s="373"/>
      <c r="J192" s="373"/>
      <c r="K192" s="373"/>
      <c r="L192" s="373"/>
      <c r="M192" s="373"/>
      <c r="N192" s="373"/>
      <c r="O192" s="326"/>
      <c r="P192" s="324" t="s">
        <v>174</v>
      </c>
    </row>
    <row r="193" spans="1:16" ht="11.25" hidden="1" customHeight="1" x14ac:dyDescent="0.35">
      <c r="A193" s="362" t="s">
        <v>6147</v>
      </c>
      <c r="B193" s="365">
        <v>1</v>
      </c>
      <c r="C193" s="374"/>
      <c r="D193" s="1182">
        <v>1</v>
      </c>
      <c r="E193" s="1175" t="s">
        <v>265</v>
      </c>
      <c r="F193" s="375"/>
      <c r="G193" s="376"/>
      <c r="H193" s="376"/>
      <c r="I193" s="376"/>
      <c r="J193" s="376"/>
      <c r="K193" s="376"/>
      <c r="L193" s="376"/>
      <c r="M193" s="376"/>
      <c r="N193" s="376"/>
      <c r="O193" s="326"/>
      <c r="P193" s="324" t="s">
        <v>174</v>
      </c>
    </row>
    <row r="194" spans="1:16" ht="11.25" hidden="1" customHeight="1" x14ac:dyDescent="0.35">
      <c r="A194" s="362" t="s">
        <v>6148</v>
      </c>
      <c r="B194" s="365" t="s">
        <v>75</v>
      </c>
      <c r="C194" s="377" t="str">
        <f>$C$16&amp;" "&amp;B194</f>
        <v>Imputed depreciation (straight line)</v>
      </c>
      <c r="D194" s="1179"/>
      <c r="E194" s="390" t="s">
        <v>266</v>
      </c>
      <c r="F194" s="957"/>
      <c r="G194" s="958"/>
      <c r="H194" s="958"/>
      <c r="I194" s="958"/>
      <c r="J194" s="958"/>
      <c r="K194" s="958"/>
      <c r="L194" s="958"/>
      <c r="M194" s="958"/>
      <c r="N194" s="412"/>
      <c r="O194" s="326" t="str">
        <f>IF(MID(P194,7,1)="D","  ","")</f>
        <v/>
      </c>
      <c r="P194" s="324" t="s">
        <v>118</v>
      </c>
    </row>
    <row r="195" spans="1:16" ht="11.25" hidden="1" customHeight="1" x14ac:dyDescent="0.35">
      <c r="A195" s="362" t="s">
        <v>6149</v>
      </c>
      <c r="B195" s="368">
        <v>1</v>
      </c>
      <c r="C195" s="378" t="s">
        <v>83</v>
      </c>
      <c r="D195" s="1183"/>
      <c r="E195" s="390" t="s">
        <v>267</v>
      </c>
      <c r="F195" s="960">
        <f t="shared" ref="F195:N195" ca="1" si="44">SUM(OFFSET(F195,0,-1))+F196</f>
        <v>0</v>
      </c>
      <c r="G195" s="961">
        <f t="shared" ca="1" si="44"/>
        <v>0</v>
      </c>
      <c r="H195" s="961">
        <f t="shared" ca="1" si="44"/>
        <v>0</v>
      </c>
      <c r="I195" s="961">
        <f t="shared" ca="1" si="44"/>
        <v>0</v>
      </c>
      <c r="J195" s="961">
        <f t="shared" ca="1" si="44"/>
        <v>0</v>
      </c>
      <c r="K195" s="961">
        <f t="shared" ca="1" si="44"/>
        <v>0</v>
      </c>
      <c r="L195" s="961">
        <f t="shared" ca="1" si="44"/>
        <v>0</v>
      </c>
      <c r="M195" s="961">
        <f t="shared" ca="1" si="44"/>
        <v>0</v>
      </c>
      <c r="N195" s="959">
        <f t="shared" ca="1" si="44"/>
        <v>0</v>
      </c>
      <c r="O195" s="326" t="str">
        <f>IF(MID(P195,7,1)="D","  ","")</f>
        <v/>
      </c>
      <c r="P195" s="324" t="s">
        <v>172</v>
      </c>
    </row>
    <row r="196" spans="1:16" ht="11.25" hidden="1" customHeight="1" x14ac:dyDescent="0.35">
      <c r="A196" s="362" t="s">
        <v>6150</v>
      </c>
      <c r="B196" s="381">
        <v>0</v>
      </c>
      <c r="C196" s="380">
        <f>C192</f>
        <v>0</v>
      </c>
      <c r="D196" s="1182">
        <v>1</v>
      </c>
      <c r="E196" s="1174" t="s">
        <v>268</v>
      </c>
      <c r="F196" s="375"/>
      <c r="G196" s="376"/>
      <c r="H196" s="376"/>
      <c r="I196" s="376"/>
      <c r="J196" s="376"/>
      <c r="K196" s="376"/>
      <c r="L196" s="376"/>
      <c r="M196" s="376"/>
      <c r="N196" s="373"/>
      <c r="O196" s="326"/>
      <c r="P196" s="324" t="s">
        <v>174</v>
      </c>
    </row>
    <row r="197" spans="1:16" ht="11.25" hidden="1" customHeight="1" x14ac:dyDescent="0.35">
      <c r="A197" s="362" t="s">
        <v>6151</v>
      </c>
      <c r="B197" s="381">
        <v>1</v>
      </c>
      <c r="C197" s="374" t="str">
        <f>""&amp;C193</f>
        <v/>
      </c>
      <c r="D197" s="1182">
        <v>1</v>
      </c>
      <c r="E197" s="1176" t="s">
        <v>269</v>
      </c>
      <c r="F197" s="375"/>
      <c r="G197" s="376"/>
      <c r="H197" s="376"/>
      <c r="I197" s="376"/>
      <c r="J197" s="376"/>
      <c r="K197" s="376"/>
      <c r="L197" s="376"/>
      <c r="M197" s="376"/>
      <c r="N197" s="376"/>
      <c r="O197" s="326"/>
      <c r="P197" s="324" t="s">
        <v>174</v>
      </c>
    </row>
    <row r="198" spans="1:16" ht="11.25" hidden="1" customHeight="1" x14ac:dyDescent="0.35">
      <c r="A198" s="358">
        <v>0</v>
      </c>
      <c r="B198" s="359"/>
      <c r="C198" s="360"/>
      <c r="D198" s="1177"/>
      <c r="E198" s="1173" t="s">
        <v>270</v>
      </c>
      <c r="F198" s="322"/>
      <c r="G198" s="361"/>
      <c r="H198" s="361"/>
      <c r="I198" s="361"/>
      <c r="J198" s="361"/>
      <c r="K198" s="361"/>
      <c r="L198" s="361"/>
      <c r="M198" s="361"/>
      <c r="N198" s="361"/>
      <c r="O198" s="326"/>
      <c r="P198" s="324" t="s">
        <v>118</v>
      </c>
    </row>
    <row r="199" spans="1:16" ht="11.25" hidden="1" customHeight="1" x14ac:dyDescent="0.35">
      <c r="A199" s="362" t="s">
        <v>6152</v>
      </c>
      <c r="B199" s="363">
        <v>19</v>
      </c>
      <c r="C199" s="364"/>
      <c r="D199" s="1178"/>
      <c r="E199" s="385" t="s">
        <v>271</v>
      </c>
      <c r="F199" s="955"/>
      <c r="G199" s="956"/>
      <c r="H199" s="956"/>
      <c r="I199" s="956"/>
      <c r="J199" s="956"/>
      <c r="K199" s="956"/>
      <c r="L199" s="956"/>
      <c r="M199" s="956"/>
      <c r="N199" s="953">
        <f ca="1">OFFSET(N199,2,-1)</f>
        <v>0</v>
      </c>
      <c r="O199" s="326" t="str">
        <f>IF(MID(P199,7,1)="D","  ","")</f>
        <v/>
      </c>
      <c r="P199" s="324" t="s">
        <v>118</v>
      </c>
    </row>
    <row r="200" spans="1:16" ht="11.25" hidden="1" customHeight="1" x14ac:dyDescent="0.35">
      <c r="A200" s="362" t="s">
        <v>6153</v>
      </c>
      <c r="B200" s="365" t="s">
        <v>75</v>
      </c>
      <c r="C200" s="366" t="str">
        <f ca="1">SpecsTxt!$G$12&amp;" "&amp;B200</f>
        <v>Depreciation (straight line)</v>
      </c>
      <c r="D200" s="1179"/>
      <c r="E200" s="390" t="s">
        <v>272</v>
      </c>
      <c r="F200" s="957"/>
      <c r="G200" s="958"/>
      <c r="H200" s="958"/>
      <c r="I200" s="958"/>
      <c r="J200" s="958"/>
      <c r="K200" s="958"/>
      <c r="L200" s="958"/>
      <c r="M200" s="958"/>
      <c r="N200" s="412"/>
      <c r="O200" s="326" t="str">
        <f>IF(MID(P200,7,1)="D","  ","")</f>
        <v/>
      </c>
      <c r="P200" s="324" t="s">
        <v>118</v>
      </c>
    </row>
    <row r="201" spans="1:16" ht="11.25" hidden="1" customHeight="1" x14ac:dyDescent="0.35">
      <c r="A201" s="362" t="s">
        <v>6154</v>
      </c>
      <c r="B201" s="368">
        <v>1</v>
      </c>
      <c r="C201" s="369" t="s">
        <v>77</v>
      </c>
      <c r="D201" s="1180"/>
      <c r="E201" s="390" t="s">
        <v>273</v>
      </c>
      <c r="F201" s="957">
        <f t="shared" ref="F201:N201" ca="1" si="45">SUM(OFFSET(F201,0,-1))+F202</f>
        <v>0</v>
      </c>
      <c r="G201" s="958">
        <f t="shared" ca="1" si="45"/>
        <v>0</v>
      </c>
      <c r="H201" s="958">
        <f t="shared" ca="1" si="45"/>
        <v>0</v>
      </c>
      <c r="I201" s="958">
        <f t="shared" ca="1" si="45"/>
        <v>0</v>
      </c>
      <c r="J201" s="958">
        <f t="shared" ca="1" si="45"/>
        <v>0</v>
      </c>
      <c r="K201" s="958">
        <f t="shared" ca="1" si="45"/>
        <v>0</v>
      </c>
      <c r="L201" s="958">
        <f t="shared" ca="1" si="45"/>
        <v>0</v>
      </c>
      <c r="M201" s="958">
        <f t="shared" ca="1" si="45"/>
        <v>0</v>
      </c>
      <c r="N201" s="412">
        <f t="shared" ca="1" si="45"/>
        <v>0</v>
      </c>
      <c r="O201" s="326" t="str">
        <f>IF(MID(P201,7,1)="D","  ","")</f>
        <v/>
      </c>
      <c r="P201" s="324" t="s">
        <v>172</v>
      </c>
    </row>
    <row r="202" spans="1:16" ht="11.25" hidden="1" customHeight="1" x14ac:dyDescent="0.35">
      <c r="A202" s="362" t="s">
        <v>6155</v>
      </c>
      <c r="B202" s="370">
        <v>1</v>
      </c>
      <c r="C202" s="371">
        <v>0</v>
      </c>
      <c r="D202" s="1181">
        <v>1</v>
      </c>
      <c r="E202" s="1174" t="s">
        <v>274</v>
      </c>
      <c r="F202" s="372"/>
      <c r="G202" s="373"/>
      <c r="H202" s="373"/>
      <c r="I202" s="373"/>
      <c r="J202" s="373"/>
      <c r="K202" s="373"/>
      <c r="L202" s="373"/>
      <c r="M202" s="373"/>
      <c r="N202" s="373"/>
      <c r="O202" s="326"/>
      <c r="P202" s="324" t="s">
        <v>174</v>
      </c>
    </row>
    <row r="203" spans="1:16" ht="11.25" hidden="1" customHeight="1" x14ac:dyDescent="0.35">
      <c r="A203" s="362" t="s">
        <v>6156</v>
      </c>
      <c r="B203" s="365">
        <v>1</v>
      </c>
      <c r="C203" s="374"/>
      <c r="D203" s="1182">
        <v>1</v>
      </c>
      <c r="E203" s="1175" t="s">
        <v>275</v>
      </c>
      <c r="F203" s="375"/>
      <c r="G203" s="376"/>
      <c r="H203" s="376"/>
      <c r="I203" s="376"/>
      <c r="J203" s="376"/>
      <c r="K203" s="376"/>
      <c r="L203" s="376"/>
      <c r="M203" s="376"/>
      <c r="N203" s="376"/>
      <c r="O203" s="326"/>
      <c r="P203" s="324" t="s">
        <v>174</v>
      </c>
    </row>
    <row r="204" spans="1:16" ht="11.25" hidden="1" customHeight="1" x14ac:dyDescent="0.35">
      <c r="A204" s="362" t="s">
        <v>6157</v>
      </c>
      <c r="B204" s="365" t="s">
        <v>75</v>
      </c>
      <c r="C204" s="377" t="str">
        <f>$C$16&amp;" "&amp;B204</f>
        <v>Imputed depreciation (straight line)</v>
      </c>
      <c r="D204" s="1179"/>
      <c r="E204" s="390" t="s">
        <v>276</v>
      </c>
      <c r="F204" s="957"/>
      <c r="G204" s="958"/>
      <c r="H204" s="958"/>
      <c r="I204" s="958"/>
      <c r="J204" s="958"/>
      <c r="K204" s="958"/>
      <c r="L204" s="958"/>
      <c r="M204" s="958"/>
      <c r="N204" s="412"/>
      <c r="O204" s="326" t="str">
        <f>IF(MID(P204,7,1)="D","  ","")</f>
        <v/>
      </c>
      <c r="P204" s="324" t="s">
        <v>118</v>
      </c>
    </row>
    <row r="205" spans="1:16" ht="11.25" hidden="1" customHeight="1" x14ac:dyDescent="0.35">
      <c r="A205" s="362" t="s">
        <v>6158</v>
      </c>
      <c r="B205" s="368">
        <v>1</v>
      </c>
      <c r="C205" s="378" t="s">
        <v>83</v>
      </c>
      <c r="D205" s="1183"/>
      <c r="E205" s="390" t="s">
        <v>277</v>
      </c>
      <c r="F205" s="960">
        <f t="shared" ref="F205:N205" ca="1" si="46">SUM(OFFSET(F205,0,-1))+F206</f>
        <v>0</v>
      </c>
      <c r="G205" s="961">
        <f t="shared" ca="1" si="46"/>
        <v>0</v>
      </c>
      <c r="H205" s="961">
        <f t="shared" ca="1" si="46"/>
        <v>0</v>
      </c>
      <c r="I205" s="961">
        <f t="shared" ca="1" si="46"/>
        <v>0</v>
      </c>
      <c r="J205" s="961">
        <f t="shared" ca="1" si="46"/>
        <v>0</v>
      </c>
      <c r="K205" s="961">
        <f t="shared" ca="1" si="46"/>
        <v>0</v>
      </c>
      <c r="L205" s="961">
        <f t="shared" ca="1" si="46"/>
        <v>0</v>
      </c>
      <c r="M205" s="961">
        <f t="shared" ca="1" si="46"/>
        <v>0</v>
      </c>
      <c r="N205" s="959">
        <f t="shared" ca="1" si="46"/>
        <v>0</v>
      </c>
      <c r="O205" s="326" t="str">
        <f>IF(MID(P205,7,1)="D","  ","")</f>
        <v/>
      </c>
      <c r="P205" s="324" t="s">
        <v>172</v>
      </c>
    </row>
    <row r="206" spans="1:16" ht="11.25" hidden="1" customHeight="1" x14ac:dyDescent="0.35">
      <c r="A206" s="362" t="s">
        <v>6159</v>
      </c>
      <c r="B206" s="381">
        <v>0</v>
      </c>
      <c r="C206" s="380">
        <f>C202</f>
        <v>0</v>
      </c>
      <c r="D206" s="1182">
        <v>1</v>
      </c>
      <c r="E206" s="1174" t="s">
        <v>278</v>
      </c>
      <c r="F206" s="375"/>
      <c r="G206" s="376"/>
      <c r="H206" s="376"/>
      <c r="I206" s="376"/>
      <c r="J206" s="376"/>
      <c r="K206" s="376"/>
      <c r="L206" s="376"/>
      <c r="M206" s="376"/>
      <c r="N206" s="373"/>
      <c r="O206" s="326"/>
      <c r="P206" s="324" t="s">
        <v>174</v>
      </c>
    </row>
    <row r="207" spans="1:16" ht="11.25" hidden="1" customHeight="1" x14ac:dyDescent="0.35">
      <c r="A207" s="362" t="s">
        <v>6160</v>
      </c>
      <c r="B207" s="381">
        <v>1</v>
      </c>
      <c r="C207" s="374" t="str">
        <f>""&amp;C203</f>
        <v/>
      </c>
      <c r="D207" s="1182">
        <v>1</v>
      </c>
      <c r="E207" s="1176" t="s">
        <v>279</v>
      </c>
      <c r="F207" s="375"/>
      <c r="G207" s="376"/>
      <c r="H207" s="376"/>
      <c r="I207" s="376"/>
      <c r="J207" s="376"/>
      <c r="K207" s="376"/>
      <c r="L207" s="376"/>
      <c r="M207" s="376"/>
      <c r="N207" s="376"/>
      <c r="O207" s="326"/>
      <c r="P207" s="324" t="s">
        <v>174</v>
      </c>
    </row>
    <row r="208" spans="1:16" ht="11.25" hidden="1" customHeight="1" x14ac:dyDescent="0.35">
      <c r="A208" s="358">
        <v>0</v>
      </c>
      <c r="B208" s="359"/>
      <c r="C208" s="360"/>
      <c r="D208" s="1177"/>
      <c r="E208" s="1173" t="s">
        <v>280</v>
      </c>
      <c r="F208" s="322"/>
      <c r="G208" s="361"/>
      <c r="H208" s="361"/>
      <c r="I208" s="361"/>
      <c r="J208" s="361"/>
      <c r="K208" s="361"/>
      <c r="L208" s="361"/>
      <c r="M208" s="361"/>
      <c r="N208" s="361"/>
      <c r="O208" s="326"/>
      <c r="P208" s="324" t="s">
        <v>118</v>
      </c>
    </row>
    <row r="209" spans="1:16" ht="11.25" hidden="1" customHeight="1" x14ac:dyDescent="0.35">
      <c r="A209" s="362" t="s">
        <v>6161</v>
      </c>
      <c r="B209" s="363">
        <v>20</v>
      </c>
      <c r="C209" s="364"/>
      <c r="D209" s="1178"/>
      <c r="E209" s="385" t="s">
        <v>281</v>
      </c>
      <c r="F209" s="955"/>
      <c r="G209" s="956"/>
      <c r="H209" s="956"/>
      <c r="I209" s="956"/>
      <c r="J209" s="956"/>
      <c r="K209" s="956"/>
      <c r="L209" s="956"/>
      <c r="M209" s="956"/>
      <c r="N209" s="953">
        <f ca="1">OFFSET(N209,2,-1)</f>
        <v>0</v>
      </c>
      <c r="O209" s="326" t="str">
        <f>IF(MID(P209,7,1)="D","  ","")</f>
        <v/>
      </c>
      <c r="P209" s="324" t="s">
        <v>118</v>
      </c>
    </row>
    <row r="210" spans="1:16" ht="11.25" hidden="1" customHeight="1" x14ac:dyDescent="0.35">
      <c r="A210" s="362" t="s">
        <v>6162</v>
      </c>
      <c r="B210" s="365" t="s">
        <v>75</v>
      </c>
      <c r="C210" s="366" t="str">
        <f ca="1">SpecsTxt!$G$12&amp;" "&amp;B210</f>
        <v>Depreciation (straight line)</v>
      </c>
      <c r="D210" s="1179"/>
      <c r="E210" s="390" t="s">
        <v>282</v>
      </c>
      <c r="F210" s="957"/>
      <c r="G210" s="958"/>
      <c r="H210" s="958"/>
      <c r="I210" s="958"/>
      <c r="J210" s="958"/>
      <c r="K210" s="958"/>
      <c r="L210" s="958"/>
      <c r="M210" s="958"/>
      <c r="N210" s="412"/>
      <c r="O210" s="326" t="str">
        <f>IF(MID(P210,7,1)="D","  ","")</f>
        <v/>
      </c>
      <c r="P210" s="324" t="s">
        <v>118</v>
      </c>
    </row>
    <row r="211" spans="1:16" ht="11.25" hidden="1" customHeight="1" x14ac:dyDescent="0.35">
      <c r="A211" s="362" t="s">
        <v>6163</v>
      </c>
      <c r="B211" s="368">
        <v>1</v>
      </c>
      <c r="C211" s="369" t="s">
        <v>77</v>
      </c>
      <c r="D211" s="1180"/>
      <c r="E211" s="390" t="s">
        <v>283</v>
      </c>
      <c r="F211" s="957">
        <f t="shared" ref="F211:N211" ca="1" si="47">SUM(OFFSET(F211,0,-1))+F212</f>
        <v>0</v>
      </c>
      <c r="G211" s="958">
        <f t="shared" ca="1" si="47"/>
        <v>0</v>
      </c>
      <c r="H211" s="958">
        <f t="shared" ca="1" si="47"/>
        <v>0</v>
      </c>
      <c r="I211" s="958">
        <f t="shared" ca="1" si="47"/>
        <v>0</v>
      </c>
      <c r="J211" s="958">
        <f t="shared" ca="1" si="47"/>
        <v>0</v>
      </c>
      <c r="K211" s="958">
        <f t="shared" ca="1" si="47"/>
        <v>0</v>
      </c>
      <c r="L211" s="958">
        <f t="shared" ca="1" si="47"/>
        <v>0</v>
      </c>
      <c r="M211" s="958">
        <f t="shared" ca="1" si="47"/>
        <v>0</v>
      </c>
      <c r="N211" s="412">
        <f t="shared" ca="1" si="47"/>
        <v>0</v>
      </c>
      <c r="O211" s="326" t="str">
        <f>IF(MID(P211,7,1)="D","  ","")</f>
        <v/>
      </c>
      <c r="P211" s="324" t="s">
        <v>172</v>
      </c>
    </row>
    <row r="212" spans="1:16" ht="11.25" hidden="1" customHeight="1" x14ac:dyDescent="0.35">
      <c r="A212" s="362" t="s">
        <v>6164</v>
      </c>
      <c r="B212" s="370">
        <v>1</v>
      </c>
      <c r="C212" s="371">
        <v>0</v>
      </c>
      <c r="D212" s="1181">
        <v>1</v>
      </c>
      <c r="E212" s="1174" t="s">
        <v>284</v>
      </c>
      <c r="F212" s="372"/>
      <c r="G212" s="373"/>
      <c r="H212" s="373"/>
      <c r="I212" s="373"/>
      <c r="J212" s="373"/>
      <c r="K212" s="373"/>
      <c r="L212" s="373"/>
      <c r="M212" s="373"/>
      <c r="N212" s="373"/>
      <c r="O212" s="326"/>
      <c r="P212" s="324" t="s">
        <v>174</v>
      </c>
    </row>
    <row r="213" spans="1:16" ht="11.25" hidden="1" customHeight="1" x14ac:dyDescent="0.35">
      <c r="A213" s="362" t="s">
        <v>6165</v>
      </c>
      <c r="B213" s="365">
        <v>1</v>
      </c>
      <c r="C213" s="374"/>
      <c r="D213" s="1182">
        <v>1</v>
      </c>
      <c r="E213" s="1175" t="s">
        <v>285</v>
      </c>
      <c r="F213" s="375"/>
      <c r="G213" s="376"/>
      <c r="H213" s="376"/>
      <c r="I213" s="376"/>
      <c r="J213" s="376"/>
      <c r="K213" s="376"/>
      <c r="L213" s="376"/>
      <c r="M213" s="376"/>
      <c r="N213" s="376"/>
      <c r="O213" s="326"/>
      <c r="P213" s="324" t="s">
        <v>174</v>
      </c>
    </row>
    <row r="214" spans="1:16" ht="11.25" hidden="1" customHeight="1" x14ac:dyDescent="0.35">
      <c r="A214" s="362" t="s">
        <v>6166</v>
      </c>
      <c r="B214" s="365" t="s">
        <v>75</v>
      </c>
      <c r="C214" s="377" t="str">
        <f>$C$16&amp;" "&amp;B214</f>
        <v>Imputed depreciation (straight line)</v>
      </c>
      <c r="D214" s="1179"/>
      <c r="E214" s="390" t="s">
        <v>286</v>
      </c>
      <c r="F214" s="957"/>
      <c r="G214" s="958"/>
      <c r="H214" s="958"/>
      <c r="I214" s="958"/>
      <c r="J214" s="958"/>
      <c r="K214" s="958"/>
      <c r="L214" s="958"/>
      <c r="M214" s="958"/>
      <c r="N214" s="412"/>
      <c r="O214" s="326" t="str">
        <f>IF(MID(P214,7,1)="D","  ","")</f>
        <v/>
      </c>
      <c r="P214" s="324" t="s">
        <v>118</v>
      </c>
    </row>
    <row r="215" spans="1:16" ht="11.25" hidden="1" customHeight="1" x14ac:dyDescent="0.35">
      <c r="A215" s="362" t="s">
        <v>6167</v>
      </c>
      <c r="B215" s="368">
        <v>1</v>
      </c>
      <c r="C215" s="378" t="s">
        <v>83</v>
      </c>
      <c r="D215" s="1183"/>
      <c r="E215" s="390" t="s">
        <v>287</v>
      </c>
      <c r="F215" s="960">
        <f t="shared" ref="F215:N215" ca="1" si="48">SUM(OFFSET(F215,0,-1))+F216</f>
        <v>0</v>
      </c>
      <c r="G215" s="961">
        <f t="shared" ca="1" si="48"/>
        <v>0</v>
      </c>
      <c r="H215" s="961">
        <f t="shared" ca="1" si="48"/>
        <v>0</v>
      </c>
      <c r="I215" s="961">
        <f t="shared" ca="1" si="48"/>
        <v>0</v>
      </c>
      <c r="J215" s="961">
        <f t="shared" ca="1" si="48"/>
        <v>0</v>
      </c>
      <c r="K215" s="961">
        <f t="shared" ca="1" si="48"/>
        <v>0</v>
      </c>
      <c r="L215" s="961">
        <f t="shared" ca="1" si="48"/>
        <v>0</v>
      </c>
      <c r="M215" s="961">
        <f t="shared" ca="1" si="48"/>
        <v>0</v>
      </c>
      <c r="N215" s="959">
        <f t="shared" ca="1" si="48"/>
        <v>0</v>
      </c>
      <c r="O215" s="326" t="str">
        <f>IF(MID(P215,7,1)="D","  ","")</f>
        <v/>
      </c>
      <c r="P215" s="324" t="s">
        <v>172</v>
      </c>
    </row>
    <row r="216" spans="1:16" ht="11.25" hidden="1" customHeight="1" x14ac:dyDescent="0.35">
      <c r="A216" s="362" t="s">
        <v>6168</v>
      </c>
      <c r="B216" s="381">
        <v>0</v>
      </c>
      <c r="C216" s="380">
        <f>C212</f>
        <v>0</v>
      </c>
      <c r="D216" s="1182">
        <v>1</v>
      </c>
      <c r="E216" s="1174" t="s">
        <v>288</v>
      </c>
      <c r="F216" s="375"/>
      <c r="G216" s="376"/>
      <c r="H216" s="376"/>
      <c r="I216" s="376"/>
      <c r="J216" s="376"/>
      <c r="K216" s="376"/>
      <c r="L216" s="376"/>
      <c r="M216" s="376"/>
      <c r="N216" s="373"/>
      <c r="O216" s="326"/>
      <c r="P216" s="324" t="s">
        <v>174</v>
      </c>
    </row>
    <row r="217" spans="1:16" ht="11.25" hidden="1" customHeight="1" x14ac:dyDescent="0.35">
      <c r="A217" s="362" t="s">
        <v>6169</v>
      </c>
      <c r="B217" s="381">
        <v>1</v>
      </c>
      <c r="C217" s="374" t="str">
        <f>""&amp;C213</f>
        <v/>
      </c>
      <c r="D217" s="1182">
        <v>1</v>
      </c>
      <c r="E217" s="1176" t="s">
        <v>289</v>
      </c>
      <c r="F217" s="375"/>
      <c r="G217" s="376"/>
      <c r="H217" s="376"/>
      <c r="I217" s="376"/>
      <c r="J217" s="376"/>
      <c r="K217" s="376"/>
      <c r="L217" s="376"/>
      <c r="M217" s="376"/>
      <c r="N217" s="376"/>
      <c r="O217" s="326"/>
      <c r="P217" s="324" t="s">
        <v>174</v>
      </c>
    </row>
    <row r="218" spans="1:16" ht="11.25" hidden="1" customHeight="1" x14ac:dyDescent="0.35">
      <c r="A218" s="358">
        <v>0</v>
      </c>
      <c r="B218" s="359"/>
      <c r="C218" s="360"/>
      <c r="D218" s="1177"/>
      <c r="E218" s="1173" t="s">
        <v>290</v>
      </c>
      <c r="F218" s="322"/>
      <c r="G218" s="361"/>
      <c r="H218" s="361"/>
      <c r="I218" s="361"/>
      <c r="J218" s="361"/>
      <c r="K218" s="361"/>
      <c r="L218" s="361"/>
      <c r="M218" s="361"/>
      <c r="N218" s="361"/>
      <c r="O218" s="326"/>
      <c r="P218" s="324" t="s">
        <v>118</v>
      </c>
    </row>
    <row r="219" spans="1:16" ht="11.25" hidden="1" customHeight="1" x14ac:dyDescent="0.35">
      <c r="A219" s="362" t="s">
        <v>6170</v>
      </c>
      <c r="B219" s="363">
        <v>21</v>
      </c>
      <c r="C219" s="364"/>
      <c r="D219" s="1178"/>
      <c r="E219" s="385" t="s">
        <v>291</v>
      </c>
      <c r="F219" s="955"/>
      <c r="G219" s="956"/>
      <c r="H219" s="956"/>
      <c r="I219" s="956"/>
      <c r="J219" s="956"/>
      <c r="K219" s="956"/>
      <c r="L219" s="956"/>
      <c r="M219" s="956"/>
      <c r="N219" s="953">
        <f ca="1">OFFSET(N219,2,-1)</f>
        <v>0</v>
      </c>
      <c r="O219" s="326" t="str">
        <f>IF(MID(P219,7,1)="D","  ","")</f>
        <v/>
      </c>
      <c r="P219" s="324" t="s">
        <v>118</v>
      </c>
    </row>
    <row r="220" spans="1:16" ht="11.25" hidden="1" customHeight="1" x14ac:dyDescent="0.35">
      <c r="A220" s="362" t="s">
        <v>6171</v>
      </c>
      <c r="B220" s="365" t="s">
        <v>75</v>
      </c>
      <c r="C220" s="366" t="str">
        <f ca="1">SpecsTxt!$G$12&amp;" "&amp;B220</f>
        <v>Depreciation (straight line)</v>
      </c>
      <c r="D220" s="1179"/>
      <c r="E220" s="390" t="s">
        <v>292</v>
      </c>
      <c r="F220" s="957"/>
      <c r="G220" s="958"/>
      <c r="H220" s="958"/>
      <c r="I220" s="958"/>
      <c r="J220" s="958"/>
      <c r="K220" s="958"/>
      <c r="L220" s="958"/>
      <c r="M220" s="958"/>
      <c r="N220" s="412"/>
      <c r="O220" s="326" t="str">
        <f>IF(MID(P220,7,1)="D","  ","")</f>
        <v/>
      </c>
      <c r="P220" s="324" t="s">
        <v>118</v>
      </c>
    </row>
    <row r="221" spans="1:16" ht="11.25" hidden="1" customHeight="1" x14ac:dyDescent="0.35">
      <c r="A221" s="362" t="s">
        <v>6172</v>
      </c>
      <c r="B221" s="368">
        <v>1</v>
      </c>
      <c r="C221" s="369" t="s">
        <v>77</v>
      </c>
      <c r="D221" s="1180"/>
      <c r="E221" s="390" t="s">
        <v>293</v>
      </c>
      <c r="F221" s="957">
        <f t="shared" ref="F221:N221" ca="1" si="49">SUM(OFFSET(F221,0,-1))+F222</f>
        <v>0</v>
      </c>
      <c r="G221" s="958">
        <f t="shared" ca="1" si="49"/>
        <v>0</v>
      </c>
      <c r="H221" s="958">
        <f t="shared" ca="1" si="49"/>
        <v>0</v>
      </c>
      <c r="I221" s="958">
        <f t="shared" ca="1" si="49"/>
        <v>0</v>
      </c>
      <c r="J221" s="958">
        <f t="shared" ca="1" si="49"/>
        <v>0</v>
      </c>
      <c r="K221" s="958">
        <f t="shared" ca="1" si="49"/>
        <v>0</v>
      </c>
      <c r="L221" s="958">
        <f t="shared" ca="1" si="49"/>
        <v>0</v>
      </c>
      <c r="M221" s="958">
        <f t="shared" ca="1" si="49"/>
        <v>0</v>
      </c>
      <c r="N221" s="412">
        <f t="shared" ca="1" si="49"/>
        <v>0</v>
      </c>
      <c r="O221" s="326" t="str">
        <f>IF(MID(P221,7,1)="D","  ","")</f>
        <v/>
      </c>
      <c r="P221" s="324" t="s">
        <v>172</v>
      </c>
    </row>
    <row r="222" spans="1:16" ht="11.25" hidden="1" customHeight="1" x14ac:dyDescent="0.35">
      <c r="A222" s="362" t="s">
        <v>6173</v>
      </c>
      <c r="B222" s="370">
        <v>1</v>
      </c>
      <c r="C222" s="371">
        <v>0</v>
      </c>
      <c r="D222" s="1181">
        <v>1</v>
      </c>
      <c r="E222" s="1174" t="s">
        <v>294</v>
      </c>
      <c r="F222" s="372"/>
      <c r="G222" s="373"/>
      <c r="H222" s="373"/>
      <c r="I222" s="373"/>
      <c r="J222" s="373"/>
      <c r="K222" s="373"/>
      <c r="L222" s="373"/>
      <c r="M222" s="373"/>
      <c r="N222" s="373"/>
      <c r="O222" s="326"/>
      <c r="P222" s="324" t="s">
        <v>174</v>
      </c>
    </row>
    <row r="223" spans="1:16" ht="11.25" hidden="1" customHeight="1" x14ac:dyDescent="0.35">
      <c r="A223" s="362" t="s">
        <v>6174</v>
      </c>
      <c r="B223" s="365">
        <v>1</v>
      </c>
      <c r="C223" s="374"/>
      <c r="D223" s="1182">
        <v>1</v>
      </c>
      <c r="E223" s="1175" t="s">
        <v>295</v>
      </c>
      <c r="F223" s="375"/>
      <c r="G223" s="376"/>
      <c r="H223" s="376"/>
      <c r="I223" s="376"/>
      <c r="J223" s="376"/>
      <c r="K223" s="376"/>
      <c r="L223" s="376"/>
      <c r="M223" s="376"/>
      <c r="N223" s="376"/>
      <c r="O223" s="326"/>
      <c r="P223" s="324" t="s">
        <v>174</v>
      </c>
    </row>
    <row r="224" spans="1:16" ht="11.25" hidden="1" customHeight="1" x14ac:dyDescent="0.35">
      <c r="A224" s="362" t="s">
        <v>6175</v>
      </c>
      <c r="B224" s="365" t="s">
        <v>75</v>
      </c>
      <c r="C224" s="377" t="str">
        <f>$C$16&amp;" "&amp;B224</f>
        <v>Imputed depreciation (straight line)</v>
      </c>
      <c r="D224" s="1179"/>
      <c r="E224" s="390" t="s">
        <v>296</v>
      </c>
      <c r="F224" s="957"/>
      <c r="G224" s="958"/>
      <c r="H224" s="958"/>
      <c r="I224" s="958"/>
      <c r="J224" s="958"/>
      <c r="K224" s="958"/>
      <c r="L224" s="958"/>
      <c r="M224" s="958"/>
      <c r="N224" s="412"/>
      <c r="O224" s="326" t="str">
        <f>IF(MID(P224,7,1)="D","  ","")</f>
        <v/>
      </c>
      <c r="P224" s="324" t="s">
        <v>118</v>
      </c>
    </row>
    <row r="225" spans="1:16" ht="11.25" hidden="1" customHeight="1" x14ac:dyDescent="0.35">
      <c r="A225" s="362" t="s">
        <v>6176</v>
      </c>
      <c r="B225" s="368">
        <v>1</v>
      </c>
      <c r="C225" s="378" t="s">
        <v>83</v>
      </c>
      <c r="D225" s="1183"/>
      <c r="E225" s="390" t="s">
        <v>297</v>
      </c>
      <c r="F225" s="960">
        <f t="shared" ref="F225:N225" ca="1" si="50">SUM(OFFSET(F225,0,-1))+F226</f>
        <v>0</v>
      </c>
      <c r="G225" s="961">
        <f t="shared" ca="1" si="50"/>
        <v>0</v>
      </c>
      <c r="H225" s="961">
        <f t="shared" ca="1" si="50"/>
        <v>0</v>
      </c>
      <c r="I225" s="961">
        <f t="shared" ca="1" si="50"/>
        <v>0</v>
      </c>
      <c r="J225" s="961">
        <f t="shared" ca="1" si="50"/>
        <v>0</v>
      </c>
      <c r="K225" s="961">
        <f t="shared" ca="1" si="50"/>
        <v>0</v>
      </c>
      <c r="L225" s="961">
        <f t="shared" ca="1" si="50"/>
        <v>0</v>
      </c>
      <c r="M225" s="961">
        <f t="shared" ca="1" si="50"/>
        <v>0</v>
      </c>
      <c r="N225" s="959">
        <f t="shared" ca="1" si="50"/>
        <v>0</v>
      </c>
      <c r="O225" s="326" t="str">
        <f>IF(MID(P225,7,1)="D","  ","")</f>
        <v/>
      </c>
      <c r="P225" s="324" t="s">
        <v>172</v>
      </c>
    </row>
    <row r="226" spans="1:16" ht="11.25" hidden="1" customHeight="1" x14ac:dyDescent="0.35">
      <c r="A226" s="362" t="s">
        <v>6177</v>
      </c>
      <c r="B226" s="381">
        <v>0</v>
      </c>
      <c r="C226" s="380">
        <f>C222</f>
        <v>0</v>
      </c>
      <c r="D226" s="1182">
        <v>1</v>
      </c>
      <c r="E226" s="1174" t="s">
        <v>298</v>
      </c>
      <c r="F226" s="375"/>
      <c r="G226" s="376"/>
      <c r="H226" s="376"/>
      <c r="I226" s="376"/>
      <c r="J226" s="376"/>
      <c r="K226" s="376"/>
      <c r="L226" s="376"/>
      <c r="M226" s="376"/>
      <c r="N226" s="373"/>
      <c r="O226" s="326"/>
      <c r="P226" s="324" t="s">
        <v>174</v>
      </c>
    </row>
    <row r="227" spans="1:16" ht="11.25" hidden="1" customHeight="1" x14ac:dyDescent="0.35">
      <c r="A227" s="362" t="s">
        <v>6178</v>
      </c>
      <c r="B227" s="381">
        <v>1</v>
      </c>
      <c r="C227" s="374" t="str">
        <f>""&amp;C223</f>
        <v/>
      </c>
      <c r="D227" s="1182">
        <v>1</v>
      </c>
      <c r="E227" s="1176" t="s">
        <v>299</v>
      </c>
      <c r="F227" s="375"/>
      <c r="G227" s="376"/>
      <c r="H227" s="376"/>
      <c r="I227" s="376"/>
      <c r="J227" s="376"/>
      <c r="K227" s="376"/>
      <c r="L227" s="376"/>
      <c r="M227" s="376"/>
      <c r="N227" s="376"/>
      <c r="O227" s="326"/>
      <c r="P227" s="324" t="s">
        <v>174</v>
      </c>
    </row>
    <row r="228" spans="1:16" ht="11.25" hidden="1" customHeight="1" x14ac:dyDescent="0.35">
      <c r="A228" s="358">
        <v>0</v>
      </c>
      <c r="B228" s="359"/>
      <c r="C228" s="360"/>
      <c r="D228" s="1177"/>
      <c r="E228" s="1173" t="s">
        <v>300</v>
      </c>
      <c r="F228" s="322"/>
      <c r="G228" s="361"/>
      <c r="H228" s="361"/>
      <c r="I228" s="361"/>
      <c r="J228" s="361"/>
      <c r="K228" s="361"/>
      <c r="L228" s="361"/>
      <c r="M228" s="361"/>
      <c r="N228" s="361"/>
      <c r="O228" s="326"/>
      <c r="P228" s="324" t="s">
        <v>118</v>
      </c>
    </row>
    <row r="229" spans="1:16" ht="11.25" hidden="1" customHeight="1" x14ac:dyDescent="0.35">
      <c r="A229" s="362" t="s">
        <v>6179</v>
      </c>
      <c r="B229" s="363">
        <v>22</v>
      </c>
      <c r="C229" s="364"/>
      <c r="D229" s="1178"/>
      <c r="E229" s="385" t="s">
        <v>301</v>
      </c>
      <c r="F229" s="955"/>
      <c r="G229" s="956"/>
      <c r="H229" s="956"/>
      <c r="I229" s="956"/>
      <c r="J229" s="956"/>
      <c r="K229" s="956"/>
      <c r="L229" s="956"/>
      <c r="M229" s="956"/>
      <c r="N229" s="953">
        <f ca="1">OFFSET(N229,2,-1)</f>
        <v>0</v>
      </c>
      <c r="O229" s="326" t="str">
        <f>IF(MID(P229,7,1)="D","  ","")</f>
        <v/>
      </c>
      <c r="P229" s="324" t="s">
        <v>118</v>
      </c>
    </row>
    <row r="230" spans="1:16" ht="11.25" hidden="1" customHeight="1" x14ac:dyDescent="0.35">
      <c r="A230" s="362" t="s">
        <v>6180</v>
      </c>
      <c r="B230" s="365" t="s">
        <v>75</v>
      </c>
      <c r="C230" s="366" t="str">
        <f ca="1">SpecsTxt!$G$12&amp;" "&amp;B230</f>
        <v>Depreciation (straight line)</v>
      </c>
      <c r="D230" s="1179"/>
      <c r="E230" s="390" t="s">
        <v>302</v>
      </c>
      <c r="F230" s="957"/>
      <c r="G230" s="958"/>
      <c r="H230" s="958"/>
      <c r="I230" s="958"/>
      <c r="J230" s="958"/>
      <c r="K230" s="958"/>
      <c r="L230" s="958"/>
      <c r="M230" s="958"/>
      <c r="N230" s="412"/>
      <c r="O230" s="326" t="str">
        <f>IF(MID(P230,7,1)="D","  ","")</f>
        <v/>
      </c>
      <c r="P230" s="324" t="s">
        <v>118</v>
      </c>
    </row>
    <row r="231" spans="1:16" ht="11.25" hidden="1" customHeight="1" x14ac:dyDescent="0.35">
      <c r="A231" s="362" t="s">
        <v>6181</v>
      </c>
      <c r="B231" s="368">
        <v>1</v>
      </c>
      <c r="C231" s="369" t="s">
        <v>77</v>
      </c>
      <c r="D231" s="1180"/>
      <c r="E231" s="390" t="s">
        <v>303</v>
      </c>
      <c r="F231" s="957">
        <f t="shared" ref="F231:N231" ca="1" si="51">SUM(OFFSET(F231,0,-1))+F232</f>
        <v>0</v>
      </c>
      <c r="G231" s="958">
        <f t="shared" ca="1" si="51"/>
        <v>0</v>
      </c>
      <c r="H231" s="958">
        <f t="shared" ca="1" si="51"/>
        <v>0</v>
      </c>
      <c r="I231" s="958">
        <f t="shared" ca="1" si="51"/>
        <v>0</v>
      </c>
      <c r="J231" s="958">
        <f t="shared" ca="1" si="51"/>
        <v>0</v>
      </c>
      <c r="K231" s="958">
        <f t="shared" ca="1" si="51"/>
        <v>0</v>
      </c>
      <c r="L231" s="958">
        <f t="shared" ca="1" si="51"/>
        <v>0</v>
      </c>
      <c r="M231" s="958">
        <f t="shared" ca="1" si="51"/>
        <v>0</v>
      </c>
      <c r="N231" s="412">
        <f t="shared" ca="1" si="51"/>
        <v>0</v>
      </c>
      <c r="O231" s="326" t="str">
        <f>IF(MID(P231,7,1)="D","  ","")</f>
        <v/>
      </c>
      <c r="P231" s="324" t="s">
        <v>172</v>
      </c>
    </row>
    <row r="232" spans="1:16" ht="11.25" hidden="1" customHeight="1" x14ac:dyDescent="0.35">
      <c r="A232" s="362" t="s">
        <v>6182</v>
      </c>
      <c r="B232" s="370">
        <v>1</v>
      </c>
      <c r="C232" s="371">
        <v>0</v>
      </c>
      <c r="D232" s="1181">
        <v>1</v>
      </c>
      <c r="E232" s="1174" t="s">
        <v>304</v>
      </c>
      <c r="F232" s="372"/>
      <c r="G232" s="373"/>
      <c r="H232" s="373"/>
      <c r="I232" s="373"/>
      <c r="J232" s="373"/>
      <c r="K232" s="373"/>
      <c r="L232" s="373"/>
      <c r="M232" s="373"/>
      <c r="N232" s="373"/>
      <c r="O232" s="326"/>
      <c r="P232" s="324" t="s">
        <v>174</v>
      </c>
    </row>
    <row r="233" spans="1:16" ht="11.25" hidden="1" customHeight="1" x14ac:dyDescent="0.35">
      <c r="A233" s="362" t="s">
        <v>6183</v>
      </c>
      <c r="B233" s="365">
        <v>1</v>
      </c>
      <c r="C233" s="374"/>
      <c r="D233" s="1182">
        <v>1</v>
      </c>
      <c r="E233" s="1175" t="s">
        <v>305</v>
      </c>
      <c r="F233" s="375"/>
      <c r="G233" s="376"/>
      <c r="H233" s="376"/>
      <c r="I233" s="376"/>
      <c r="J233" s="376"/>
      <c r="K233" s="376"/>
      <c r="L233" s="376"/>
      <c r="M233" s="376"/>
      <c r="N233" s="376"/>
      <c r="O233" s="326"/>
      <c r="P233" s="324" t="s">
        <v>174</v>
      </c>
    </row>
    <row r="234" spans="1:16" ht="11.25" hidden="1" customHeight="1" x14ac:dyDescent="0.35">
      <c r="A234" s="362" t="s">
        <v>6184</v>
      </c>
      <c r="B234" s="365" t="s">
        <v>75</v>
      </c>
      <c r="C234" s="377" t="str">
        <f>$C$16&amp;" "&amp;B234</f>
        <v>Imputed depreciation (straight line)</v>
      </c>
      <c r="D234" s="1179"/>
      <c r="E234" s="390" t="s">
        <v>306</v>
      </c>
      <c r="F234" s="957"/>
      <c r="G234" s="958"/>
      <c r="H234" s="958"/>
      <c r="I234" s="958"/>
      <c r="J234" s="958"/>
      <c r="K234" s="958"/>
      <c r="L234" s="958"/>
      <c r="M234" s="958"/>
      <c r="N234" s="412"/>
      <c r="O234" s="326" t="str">
        <f>IF(MID(P234,7,1)="D","  ","")</f>
        <v/>
      </c>
      <c r="P234" s="324" t="s">
        <v>118</v>
      </c>
    </row>
    <row r="235" spans="1:16" ht="11.25" hidden="1" customHeight="1" x14ac:dyDescent="0.35">
      <c r="A235" s="362" t="s">
        <v>6185</v>
      </c>
      <c r="B235" s="368">
        <v>1</v>
      </c>
      <c r="C235" s="378" t="s">
        <v>83</v>
      </c>
      <c r="D235" s="1183"/>
      <c r="E235" s="390" t="s">
        <v>307</v>
      </c>
      <c r="F235" s="960">
        <f t="shared" ref="F235:N235" ca="1" si="52">SUM(OFFSET(F235,0,-1))+F236</f>
        <v>0</v>
      </c>
      <c r="G235" s="961">
        <f t="shared" ca="1" si="52"/>
        <v>0</v>
      </c>
      <c r="H235" s="961">
        <f t="shared" ca="1" si="52"/>
        <v>0</v>
      </c>
      <c r="I235" s="961">
        <f t="shared" ca="1" si="52"/>
        <v>0</v>
      </c>
      <c r="J235" s="961">
        <f t="shared" ca="1" si="52"/>
        <v>0</v>
      </c>
      <c r="K235" s="961">
        <f t="shared" ca="1" si="52"/>
        <v>0</v>
      </c>
      <c r="L235" s="961">
        <f t="shared" ca="1" si="52"/>
        <v>0</v>
      </c>
      <c r="M235" s="961">
        <f t="shared" ca="1" si="52"/>
        <v>0</v>
      </c>
      <c r="N235" s="959">
        <f t="shared" ca="1" si="52"/>
        <v>0</v>
      </c>
      <c r="O235" s="326" t="str">
        <f>IF(MID(P235,7,1)="D","  ","")</f>
        <v/>
      </c>
      <c r="P235" s="324" t="s">
        <v>172</v>
      </c>
    </row>
    <row r="236" spans="1:16" ht="11.25" hidden="1" customHeight="1" x14ac:dyDescent="0.35">
      <c r="A236" s="362" t="s">
        <v>6186</v>
      </c>
      <c r="B236" s="381">
        <v>0</v>
      </c>
      <c r="C236" s="380">
        <f>C232</f>
        <v>0</v>
      </c>
      <c r="D236" s="1182">
        <v>1</v>
      </c>
      <c r="E236" s="1174" t="s">
        <v>308</v>
      </c>
      <c r="F236" s="375"/>
      <c r="G236" s="376"/>
      <c r="H236" s="376"/>
      <c r="I236" s="376"/>
      <c r="J236" s="376"/>
      <c r="K236" s="376"/>
      <c r="L236" s="376"/>
      <c r="M236" s="376"/>
      <c r="N236" s="373"/>
      <c r="O236" s="326"/>
      <c r="P236" s="324" t="s">
        <v>174</v>
      </c>
    </row>
    <row r="237" spans="1:16" ht="11.25" hidden="1" customHeight="1" x14ac:dyDescent="0.35">
      <c r="A237" s="362" t="s">
        <v>6187</v>
      </c>
      <c r="B237" s="381">
        <v>1</v>
      </c>
      <c r="C237" s="374" t="str">
        <f>""&amp;C233</f>
        <v/>
      </c>
      <c r="D237" s="1182">
        <v>1</v>
      </c>
      <c r="E237" s="1176" t="s">
        <v>309</v>
      </c>
      <c r="F237" s="375"/>
      <c r="G237" s="376"/>
      <c r="H237" s="376"/>
      <c r="I237" s="376"/>
      <c r="J237" s="376"/>
      <c r="K237" s="376"/>
      <c r="L237" s="376"/>
      <c r="M237" s="376"/>
      <c r="N237" s="376"/>
      <c r="O237" s="326"/>
      <c r="P237" s="324" t="s">
        <v>174</v>
      </c>
    </row>
    <row r="238" spans="1:16" ht="11.25" hidden="1" customHeight="1" x14ac:dyDescent="0.35">
      <c r="A238" s="358">
        <v>0</v>
      </c>
      <c r="B238" s="359"/>
      <c r="C238" s="360"/>
      <c r="D238" s="1177"/>
      <c r="E238" s="1173" t="s">
        <v>310</v>
      </c>
      <c r="F238" s="322"/>
      <c r="G238" s="361"/>
      <c r="H238" s="361"/>
      <c r="I238" s="361"/>
      <c r="J238" s="361"/>
      <c r="K238" s="361"/>
      <c r="L238" s="361"/>
      <c r="M238" s="361"/>
      <c r="N238" s="361"/>
      <c r="O238" s="326"/>
      <c r="P238" s="324" t="s">
        <v>118</v>
      </c>
    </row>
    <row r="239" spans="1:16" ht="11.25" hidden="1" customHeight="1" x14ac:dyDescent="0.35">
      <c r="A239" s="362" t="s">
        <v>6188</v>
      </c>
      <c r="B239" s="363">
        <v>23</v>
      </c>
      <c r="C239" s="364"/>
      <c r="D239" s="1178"/>
      <c r="E239" s="385" t="s">
        <v>311</v>
      </c>
      <c r="F239" s="955"/>
      <c r="G239" s="956"/>
      <c r="H239" s="956"/>
      <c r="I239" s="956"/>
      <c r="J239" s="956"/>
      <c r="K239" s="956"/>
      <c r="L239" s="956"/>
      <c r="M239" s="956"/>
      <c r="N239" s="953">
        <f ca="1">OFFSET(N239,2,-1)</f>
        <v>0</v>
      </c>
      <c r="O239" s="326" t="str">
        <f>IF(MID(P239,7,1)="D","  ","")</f>
        <v/>
      </c>
      <c r="P239" s="324" t="s">
        <v>118</v>
      </c>
    </row>
    <row r="240" spans="1:16" ht="11.25" hidden="1" customHeight="1" x14ac:dyDescent="0.35">
      <c r="A240" s="362" t="s">
        <v>6189</v>
      </c>
      <c r="B240" s="365" t="s">
        <v>75</v>
      </c>
      <c r="C240" s="366" t="str">
        <f ca="1">SpecsTxt!$G$12&amp;" "&amp;B240</f>
        <v>Depreciation (straight line)</v>
      </c>
      <c r="D240" s="1179"/>
      <c r="E240" s="390" t="s">
        <v>312</v>
      </c>
      <c r="F240" s="957"/>
      <c r="G240" s="958"/>
      <c r="H240" s="958"/>
      <c r="I240" s="958"/>
      <c r="J240" s="958"/>
      <c r="K240" s="958"/>
      <c r="L240" s="958"/>
      <c r="M240" s="958"/>
      <c r="N240" s="412"/>
      <c r="O240" s="326" t="str">
        <f>IF(MID(P240,7,1)="D","  ","")</f>
        <v/>
      </c>
      <c r="P240" s="324" t="s">
        <v>118</v>
      </c>
    </row>
    <row r="241" spans="1:16" ht="11.25" hidden="1" customHeight="1" x14ac:dyDescent="0.35">
      <c r="A241" s="362" t="s">
        <v>6190</v>
      </c>
      <c r="B241" s="368">
        <v>1</v>
      </c>
      <c r="C241" s="369" t="s">
        <v>77</v>
      </c>
      <c r="D241" s="1180"/>
      <c r="E241" s="390" t="s">
        <v>313</v>
      </c>
      <c r="F241" s="957">
        <f t="shared" ref="F241:N241" ca="1" si="53">SUM(OFFSET(F241,0,-1))+F242</f>
        <v>0</v>
      </c>
      <c r="G241" s="958">
        <f t="shared" ca="1" si="53"/>
        <v>0</v>
      </c>
      <c r="H241" s="958">
        <f t="shared" ca="1" si="53"/>
        <v>0</v>
      </c>
      <c r="I241" s="958">
        <f t="shared" ca="1" si="53"/>
        <v>0</v>
      </c>
      <c r="J241" s="958">
        <f t="shared" ca="1" si="53"/>
        <v>0</v>
      </c>
      <c r="K241" s="958">
        <f t="shared" ca="1" si="53"/>
        <v>0</v>
      </c>
      <c r="L241" s="958">
        <f t="shared" ca="1" si="53"/>
        <v>0</v>
      </c>
      <c r="M241" s="958">
        <f t="shared" ca="1" si="53"/>
        <v>0</v>
      </c>
      <c r="N241" s="412">
        <f t="shared" ca="1" si="53"/>
        <v>0</v>
      </c>
      <c r="O241" s="326" t="str">
        <f>IF(MID(P241,7,1)="D","  ","")</f>
        <v/>
      </c>
      <c r="P241" s="324" t="s">
        <v>172</v>
      </c>
    </row>
    <row r="242" spans="1:16" ht="11.25" hidden="1" customHeight="1" x14ac:dyDescent="0.35">
      <c r="A242" s="362" t="s">
        <v>6191</v>
      </c>
      <c r="B242" s="370">
        <v>1</v>
      </c>
      <c r="C242" s="371">
        <v>0</v>
      </c>
      <c r="D242" s="1181">
        <v>1</v>
      </c>
      <c r="E242" s="1174" t="s">
        <v>314</v>
      </c>
      <c r="F242" s="372"/>
      <c r="G242" s="373"/>
      <c r="H242" s="373"/>
      <c r="I242" s="373"/>
      <c r="J242" s="373"/>
      <c r="K242" s="373"/>
      <c r="L242" s="373"/>
      <c r="M242" s="373"/>
      <c r="N242" s="373"/>
      <c r="O242" s="326"/>
      <c r="P242" s="324" t="s">
        <v>174</v>
      </c>
    </row>
    <row r="243" spans="1:16" ht="11.25" hidden="1" customHeight="1" x14ac:dyDescent="0.35">
      <c r="A243" s="362" t="s">
        <v>6192</v>
      </c>
      <c r="B243" s="365">
        <v>1</v>
      </c>
      <c r="C243" s="374"/>
      <c r="D243" s="1182">
        <v>1</v>
      </c>
      <c r="E243" s="1175" t="s">
        <v>315</v>
      </c>
      <c r="F243" s="375"/>
      <c r="G243" s="376"/>
      <c r="H243" s="376"/>
      <c r="I243" s="376"/>
      <c r="J243" s="376"/>
      <c r="K243" s="376"/>
      <c r="L243" s="376"/>
      <c r="M243" s="376"/>
      <c r="N243" s="376"/>
      <c r="O243" s="326"/>
      <c r="P243" s="324" t="s">
        <v>174</v>
      </c>
    </row>
    <row r="244" spans="1:16" ht="11.25" hidden="1" customHeight="1" x14ac:dyDescent="0.35">
      <c r="A244" s="362" t="s">
        <v>6193</v>
      </c>
      <c r="B244" s="365" t="s">
        <v>75</v>
      </c>
      <c r="C244" s="377" t="str">
        <f>$C$16&amp;" "&amp;B244</f>
        <v>Imputed depreciation (straight line)</v>
      </c>
      <c r="D244" s="1179"/>
      <c r="E244" s="390" t="s">
        <v>316</v>
      </c>
      <c r="F244" s="957"/>
      <c r="G244" s="958"/>
      <c r="H244" s="958"/>
      <c r="I244" s="958"/>
      <c r="J244" s="958"/>
      <c r="K244" s="958"/>
      <c r="L244" s="958"/>
      <c r="M244" s="958"/>
      <c r="N244" s="412"/>
      <c r="O244" s="326" t="str">
        <f>IF(MID(P244,7,1)="D","  ","")</f>
        <v/>
      </c>
      <c r="P244" s="324" t="s">
        <v>118</v>
      </c>
    </row>
    <row r="245" spans="1:16" ht="11.25" hidden="1" customHeight="1" x14ac:dyDescent="0.35">
      <c r="A245" s="362" t="s">
        <v>6194</v>
      </c>
      <c r="B245" s="368">
        <v>1</v>
      </c>
      <c r="C245" s="378" t="s">
        <v>83</v>
      </c>
      <c r="D245" s="1183"/>
      <c r="E245" s="390" t="s">
        <v>317</v>
      </c>
      <c r="F245" s="960">
        <f t="shared" ref="F245:N245" ca="1" si="54">SUM(OFFSET(F245,0,-1))+F246</f>
        <v>0</v>
      </c>
      <c r="G245" s="961">
        <f t="shared" ca="1" si="54"/>
        <v>0</v>
      </c>
      <c r="H245" s="961">
        <f t="shared" ca="1" si="54"/>
        <v>0</v>
      </c>
      <c r="I245" s="961">
        <f t="shared" ca="1" si="54"/>
        <v>0</v>
      </c>
      <c r="J245" s="961">
        <f t="shared" ca="1" si="54"/>
        <v>0</v>
      </c>
      <c r="K245" s="961">
        <f t="shared" ca="1" si="54"/>
        <v>0</v>
      </c>
      <c r="L245" s="961">
        <f t="shared" ca="1" si="54"/>
        <v>0</v>
      </c>
      <c r="M245" s="961">
        <f t="shared" ca="1" si="54"/>
        <v>0</v>
      </c>
      <c r="N245" s="959">
        <f t="shared" ca="1" si="54"/>
        <v>0</v>
      </c>
      <c r="O245" s="326" t="str">
        <f>IF(MID(P245,7,1)="D","  ","")</f>
        <v/>
      </c>
      <c r="P245" s="324" t="s">
        <v>172</v>
      </c>
    </row>
    <row r="246" spans="1:16" ht="11.25" hidden="1" customHeight="1" x14ac:dyDescent="0.35">
      <c r="A246" s="362" t="s">
        <v>6195</v>
      </c>
      <c r="B246" s="381">
        <v>0</v>
      </c>
      <c r="C246" s="380">
        <f>C242</f>
        <v>0</v>
      </c>
      <c r="D246" s="1182">
        <v>1</v>
      </c>
      <c r="E246" s="1174" t="s">
        <v>318</v>
      </c>
      <c r="F246" s="375"/>
      <c r="G246" s="376"/>
      <c r="H246" s="376"/>
      <c r="I246" s="376"/>
      <c r="J246" s="376"/>
      <c r="K246" s="376"/>
      <c r="L246" s="376"/>
      <c r="M246" s="376"/>
      <c r="N246" s="373"/>
      <c r="O246" s="326"/>
      <c r="P246" s="324" t="s">
        <v>174</v>
      </c>
    </row>
    <row r="247" spans="1:16" ht="11.25" hidden="1" customHeight="1" x14ac:dyDescent="0.35">
      <c r="A247" s="362" t="s">
        <v>6196</v>
      </c>
      <c r="B247" s="381">
        <v>1</v>
      </c>
      <c r="C247" s="374" t="str">
        <f>""&amp;C243</f>
        <v/>
      </c>
      <c r="D247" s="1182">
        <v>1</v>
      </c>
      <c r="E247" s="1176" t="s">
        <v>319</v>
      </c>
      <c r="F247" s="375"/>
      <c r="G247" s="376"/>
      <c r="H247" s="376"/>
      <c r="I247" s="376"/>
      <c r="J247" s="376"/>
      <c r="K247" s="376"/>
      <c r="L247" s="376"/>
      <c r="M247" s="376"/>
      <c r="N247" s="376"/>
      <c r="O247" s="326"/>
      <c r="P247" s="324" t="s">
        <v>174</v>
      </c>
    </row>
    <row r="248" spans="1:16" ht="11.25" hidden="1" customHeight="1" x14ac:dyDescent="0.35">
      <c r="A248" s="358">
        <v>0</v>
      </c>
      <c r="B248" s="359"/>
      <c r="C248" s="360"/>
      <c r="D248" s="1177"/>
      <c r="E248" s="1173" t="s">
        <v>320</v>
      </c>
      <c r="F248" s="322"/>
      <c r="G248" s="361"/>
      <c r="H248" s="361"/>
      <c r="I248" s="361"/>
      <c r="J248" s="361"/>
      <c r="K248" s="361"/>
      <c r="L248" s="361"/>
      <c r="M248" s="361"/>
      <c r="N248" s="361"/>
      <c r="O248" s="326"/>
      <c r="P248" s="324" t="s">
        <v>118</v>
      </c>
    </row>
    <row r="249" spans="1:16" ht="11.25" hidden="1" customHeight="1" x14ac:dyDescent="0.35">
      <c r="A249" s="362" t="s">
        <v>6197</v>
      </c>
      <c r="B249" s="363">
        <v>24</v>
      </c>
      <c r="C249" s="364"/>
      <c r="D249" s="1178"/>
      <c r="E249" s="385" t="s">
        <v>321</v>
      </c>
      <c r="F249" s="955"/>
      <c r="G249" s="956"/>
      <c r="H249" s="956"/>
      <c r="I249" s="956"/>
      <c r="J249" s="956"/>
      <c r="K249" s="956"/>
      <c r="L249" s="956"/>
      <c r="M249" s="956"/>
      <c r="N249" s="953">
        <f ca="1">OFFSET(N249,2,-1)</f>
        <v>0</v>
      </c>
      <c r="O249" s="326" t="str">
        <f>IF(MID(P249,7,1)="D","  ","")</f>
        <v/>
      </c>
      <c r="P249" s="324" t="s">
        <v>118</v>
      </c>
    </row>
    <row r="250" spans="1:16" ht="11.25" hidden="1" customHeight="1" x14ac:dyDescent="0.35">
      <c r="A250" s="362" t="s">
        <v>6198</v>
      </c>
      <c r="B250" s="365" t="s">
        <v>75</v>
      </c>
      <c r="C250" s="366" t="str">
        <f ca="1">SpecsTxt!$G$12&amp;" "&amp;B250</f>
        <v>Depreciation (straight line)</v>
      </c>
      <c r="D250" s="1179"/>
      <c r="E250" s="390" t="s">
        <v>322</v>
      </c>
      <c r="F250" s="957"/>
      <c r="G250" s="958"/>
      <c r="H250" s="958"/>
      <c r="I250" s="958"/>
      <c r="J250" s="958"/>
      <c r="K250" s="958"/>
      <c r="L250" s="958"/>
      <c r="M250" s="958"/>
      <c r="N250" s="412"/>
      <c r="O250" s="326" t="str">
        <f>IF(MID(P250,7,1)="D","  ","")</f>
        <v/>
      </c>
      <c r="P250" s="324" t="s">
        <v>118</v>
      </c>
    </row>
    <row r="251" spans="1:16" ht="11.25" hidden="1" customHeight="1" x14ac:dyDescent="0.35">
      <c r="A251" s="362" t="s">
        <v>6199</v>
      </c>
      <c r="B251" s="368">
        <v>1</v>
      </c>
      <c r="C251" s="369" t="s">
        <v>77</v>
      </c>
      <c r="D251" s="1180"/>
      <c r="E251" s="390" t="s">
        <v>323</v>
      </c>
      <c r="F251" s="957">
        <f t="shared" ref="F251:N251" ca="1" si="55">SUM(OFFSET(F251,0,-1))+F252</f>
        <v>0</v>
      </c>
      <c r="G251" s="958">
        <f t="shared" ca="1" si="55"/>
        <v>0</v>
      </c>
      <c r="H251" s="958">
        <f t="shared" ca="1" si="55"/>
        <v>0</v>
      </c>
      <c r="I251" s="958">
        <f t="shared" ca="1" si="55"/>
        <v>0</v>
      </c>
      <c r="J251" s="958">
        <f t="shared" ca="1" si="55"/>
        <v>0</v>
      </c>
      <c r="K251" s="958">
        <f t="shared" ca="1" si="55"/>
        <v>0</v>
      </c>
      <c r="L251" s="958">
        <f t="shared" ca="1" si="55"/>
        <v>0</v>
      </c>
      <c r="M251" s="958">
        <f t="shared" ca="1" si="55"/>
        <v>0</v>
      </c>
      <c r="N251" s="412">
        <f t="shared" ca="1" si="55"/>
        <v>0</v>
      </c>
      <c r="O251" s="326" t="str">
        <f>IF(MID(P251,7,1)="D","  ","")</f>
        <v/>
      </c>
      <c r="P251" s="324" t="s">
        <v>172</v>
      </c>
    </row>
    <row r="252" spans="1:16" ht="11.25" hidden="1" customHeight="1" x14ac:dyDescent="0.35">
      <c r="A252" s="362" t="s">
        <v>6200</v>
      </c>
      <c r="B252" s="370">
        <v>1</v>
      </c>
      <c r="C252" s="371">
        <v>0</v>
      </c>
      <c r="D252" s="1181">
        <v>1</v>
      </c>
      <c r="E252" s="1174" t="s">
        <v>324</v>
      </c>
      <c r="F252" s="372"/>
      <c r="G252" s="373"/>
      <c r="H252" s="373"/>
      <c r="I252" s="373"/>
      <c r="J252" s="373"/>
      <c r="K252" s="373"/>
      <c r="L252" s="373"/>
      <c r="M252" s="373"/>
      <c r="N252" s="373"/>
      <c r="O252" s="326"/>
      <c r="P252" s="324" t="s">
        <v>174</v>
      </c>
    </row>
    <row r="253" spans="1:16" ht="11.25" hidden="1" customHeight="1" x14ac:dyDescent="0.35">
      <c r="A253" s="362" t="s">
        <v>6201</v>
      </c>
      <c r="B253" s="365">
        <v>1</v>
      </c>
      <c r="C253" s="374"/>
      <c r="D253" s="1182">
        <v>1</v>
      </c>
      <c r="E253" s="1175" t="s">
        <v>325</v>
      </c>
      <c r="F253" s="375"/>
      <c r="G253" s="376"/>
      <c r="H253" s="376"/>
      <c r="I253" s="376"/>
      <c r="J253" s="376"/>
      <c r="K253" s="376"/>
      <c r="L253" s="376"/>
      <c r="M253" s="376"/>
      <c r="N253" s="376"/>
      <c r="O253" s="326"/>
      <c r="P253" s="324" t="s">
        <v>174</v>
      </c>
    </row>
    <row r="254" spans="1:16" ht="11.25" hidden="1" customHeight="1" x14ac:dyDescent="0.35">
      <c r="A254" s="362" t="s">
        <v>6202</v>
      </c>
      <c r="B254" s="365" t="s">
        <v>75</v>
      </c>
      <c r="C254" s="377" t="str">
        <f>$C$16&amp;" "&amp;B254</f>
        <v>Imputed depreciation (straight line)</v>
      </c>
      <c r="D254" s="1179"/>
      <c r="E254" s="390" t="s">
        <v>326</v>
      </c>
      <c r="F254" s="957"/>
      <c r="G254" s="958"/>
      <c r="H254" s="958"/>
      <c r="I254" s="958"/>
      <c r="J254" s="958"/>
      <c r="K254" s="958"/>
      <c r="L254" s="958"/>
      <c r="M254" s="958"/>
      <c r="N254" s="412"/>
      <c r="O254" s="326" t="str">
        <f>IF(MID(P254,7,1)="D","  ","")</f>
        <v/>
      </c>
      <c r="P254" s="324" t="s">
        <v>118</v>
      </c>
    </row>
    <row r="255" spans="1:16" ht="11.25" hidden="1" customHeight="1" x14ac:dyDescent="0.35">
      <c r="A255" s="362" t="s">
        <v>6203</v>
      </c>
      <c r="B255" s="368">
        <v>1</v>
      </c>
      <c r="C255" s="378" t="s">
        <v>83</v>
      </c>
      <c r="D255" s="1183"/>
      <c r="E255" s="390" t="s">
        <v>327</v>
      </c>
      <c r="F255" s="960">
        <f t="shared" ref="F255:N255" ca="1" si="56">SUM(OFFSET(F255,0,-1))+F256</f>
        <v>0</v>
      </c>
      <c r="G255" s="961">
        <f t="shared" ca="1" si="56"/>
        <v>0</v>
      </c>
      <c r="H255" s="961">
        <f t="shared" ca="1" si="56"/>
        <v>0</v>
      </c>
      <c r="I255" s="961">
        <f t="shared" ca="1" si="56"/>
        <v>0</v>
      </c>
      <c r="J255" s="961">
        <f t="shared" ca="1" si="56"/>
        <v>0</v>
      </c>
      <c r="K255" s="961">
        <f t="shared" ca="1" si="56"/>
        <v>0</v>
      </c>
      <c r="L255" s="961">
        <f t="shared" ca="1" si="56"/>
        <v>0</v>
      </c>
      <c r="M255" s="961">
        <f t="shared" ca="1" si="56"/>
        <v>0</v>
      </c>
      <c r="N255" s="959">
        <f t="shared" ca="1" si="56"/>
        <v>0</v>
      </c>
      <c r="O255" s="326" t="str">
        <f>IF(MID(P255,7,1)="D","  ","")</f>
        <v/>
      </c>
      <c r="P255" s="324" t="s">
        <v>172</v>
      </c>
    </row>
    <row r="256" spans="1:16" ht="11.25" hidden="1" customHeight="1" x14ac:dyDescent="0.35">
      <c r="A256" s="362" t="s">
        <v>6204</v>
      </c>
      <c r="B256" s="381">
        <v>0</v>
      </c>
      <c r="C256" s="380">
        <f>C252</f>
        <v>0</v>
      </c>
      <c r="D256" s="1182">
        <v>1</v>
      </c>
      <c r="E256" s="1174" t="s">
        <v>328</v>
      </c>
      <c r="F256" s="375"/>
      <c r="G256" s="376"/>
      <c r="H256" s="376"/>
      <c r="I256" s="376"/>
      <c r="J256" s="376"/>
      <c r="K256" s="376"/>
      <c r="L256" s="376"/>
      <c r="M256" s="376"/>
      <c r="N256" s="373"/>
      <c r="O256" s="326"/>
      <c r="P256" s="324" t="s">
        <v>174</v>
      </c>
    </row>
    <row r="257" spans="1:16" ht="11.25" hidden="1" customHeight="1" x14ac:dyDescent="0.35">
      <c r="A257" s="362" t="s">
        <v>6205</v>
      </c>
      <c r="B257" s="381">
        <v>1</v>
      </c>
      <c r="C257" s="374" t="str">
        <f>""&amp;C253</f>
        <v/>
      </c>
      <c r="D257" s="1182">
        <v>1</v>
      </c>
      <c r="E257" s="1176" t="s">
        <v>329</v>
      </c>
      <c r="F257" s="375"/>
      <c r="G257" s="376"/>
      <c r="H257" s="376"/>
      <c r="I257" s="376"/>
      <c r="J257" s="376"/>
      <c r="K257" s="376"/>
      <c r="L257" s="376"/>
      <c r="M257" s="376"/>
      <c r="N257" s="376"/>
      <c r="O257" s="326"/>
      <c r="P257" s="324" t="s">
        <v>174</v>
      </c>
    </row>
    <row r="258" spans="1:16" ht="11.25" hidden="1" customHeight="1" x14ac:dyDescent="0.35">
      <c r="A258" s="358">
        <v>0</v>
      </c>
      <c r="B258" s="359"/>
      <c r="C258" s="360"/>
      <c r="D258" s="1177"/>
      <c r="E258" s="1173" t="s">
        <v>330</v>
      </c>
      <c r="F258" s="322"/>
      <c r="G258" s="361"/>
      <c r="H258" s="361"/>
      <c r="I258" s="361"/>
      <c r="J258" s="361"/>
      <c r="K258" s="361"/>
      <c r="L258" s="361"/>
      <c r="M258" s="361"/>
      <c r="N258" s="361"/>
      <c r="O258" s="326"/>
      <c r="P258" s="324" t="s">
        <v>118</v>
      </c>
    </row>
    <row r="259" spans="1:16" ht="11.25" hidden="1" customHeight="1" x14ac:dyDescent="0.35">
      <c r="A259" s="362" t="s">
        <v>6206</v>
      </c>
      <c r="B259" s="363">
        <v>25</v>
      </c>
      <c r="C259" s="364"/>
      <c r="D259" s="1178"/>
      <c r="E259" s="385" t="s">
        <v>331</v>
      </c>
      <c r="F259" s="955"/>
      <c r="G259" s="956"/>
      <c r="H259" s="956"/>
      <c r="I259" s="956"/>
      <c r="J259" s="956"/>
      <c r="K259" s="956"/>
      <c r="L259" s="956"/>
      <c r="M259" s="956"/>
      <c r="N259" s="953">
        <f ca="1">OFFSET(N259,2,-1)</f>
        <v>0</v>
      </c>
      <c r="O259" s="326" t="str">
        <f>IF(MID(P259,7,1)="D","  ","")</f>
        <v/>
      </c>
      <c r="P259" s="324" t="s">
        <v>118</v>
      </c>
    </row>
    <row r="260" spans="1:16" ht="11.25" hidden="1" customHeight="1" x14ac:dyDescent="0.35">
      <c r="A260" s="362" t="s">
        <v>6207</v>
      </c>
      <c r="B260" s="365" t="s">
        <v>75</v>
      </c>
      <c r="C260" s="366" t="str">
        <f ca="1">SpecsTxt!$G$12&amp;" "&amp;B260</f>
        <v>Depreciation (straight line)</v>
      </c>
      <c r="D260" s="1179"/>
      <c r="E260" s="390" t="s">
        <v>332</v>
      </c>
      <c r="F260" s="957"/>
      <c r="G260" s="958"/>
      <c r="H260" s="958"/>
      <c r="I260" s="958"/>
      <c r="J260" s="958"/>
      <c r="K260" s="958"/>
      <c r="L260" s="958"/>
      <c r="M260" s="958"/>
      <c r="N260" s="412"/>
      <c r="O260" s="326" t="str">
        <f>IF(MID(P260,7,1)="D","  ","")</f>
        <v/>
      </c>
      <c r="P260" s="324" t="s">
        <v>118</v>
      </c>
    </row>
    <row r="261" spans="1:16" ht="11.25" hidden="1" customHeight="1" x14ac:dyDescent="0.35">
      <c r="A261" s="362" t="s">
        <v>6208</v>
      </c>
      <c r="B261" s="368">
        <v>1</v>
      </c>
      <c r="C261" s="369" t="s">
        <v>77</v>
      </c>
      <c r="D261" s="1180"/>
      <c r="E261" s="390" t="s">
        <v>333</v>
      </c>
      <c r="F261" s="957">
        <f t="shared" ref="F261:N261" ca="1" si="57">SUM(OFFSET(F261,0,-1))+F262</f>
        <v>0</v>
      </c>
      <c r="G261" s="958">
        <f t="shared" ca="1" si="57"/>
        <v>0</v>
      </c>
      <c r="H261" s="958">
        <f t="shared" ca="1" si="57"/>
        <v>0</v>
      </c>
      <c r="I261" s="958">
        <f t="shared" ca="1" si="57"/>
        <v>0</v>
      </c>
      <c r="J261" s="958">
        <f t="shared" ca="1" si="57"/>
        <v>0</v>
      </c>
      <c r="K261" s="958">
        <f t="shared" ca="1" si="57"/>
        <v>0</v>
      </c>
      <c r="L261" s="958">
        <f t="shared" ca="1" si="57"/>
        <v>0</v>
      </c>
      <c r="M261" s="958">
        <f t="shared" ca="1" si="57"/>
        <v>0</v>
      </c>
      <c r="N261" s="412">
        <f t="shared" ca="1" si="57"/>
        <v>0</v>
      </c>
      <c r="O261" s="326" t="str">
        <f>IF(MID(P261,7,1)="D","  ","")</f>
        <v/>
      </c>
      <c r="P261" s="324" t="s">
        <v>172</v>
      </c>
    </row>
    <row r="262" spans="1:16" ht="11.25" hidden="1" customHeight="1" x14ac:dyDescent="0.35">
      <c r="A262" s="362" t="s">
        <v>6209</v>
      </c>
      <c r="B262" s="370">
        <v>1</v>
      </c>
      <c r="C262" s="371">
        <v>0</v>
      </c>
      <c r="D262" s="1181">
        <v>1</v>
      </c>
      <c r="E262" s="1174" t="s">
        <v>334</v>
      </c>
      <c r="F262" s="372"/>
      <c r="G262" s="373"/>
      <c r="H262" s="373"/>
      <c r="I262" s="373"/>
      <c r="J262" s="373"/>
      <c r="K262" s="373"/>
      <c r="L262" s="373"/>
      <c r="M262" s="373"/>
      <c r="N262" s="373"/>
      <c r="O262" s="326"/>
      <c r="P262" s="324" t="s">
        <v>174</v>
      </c>
    </row>
    <row r="263" spans="1:16" ht="11.25" hidden="1" customHeight="1" x14ac:dyDescent="0.35">
      <c r="A263" s="362" t="s">
        <v>6210</v>
      </c>
      <c r="B263" s="365">
        <v>1</v>
      </c>
      <c r="C263" s="374"/>
      <c r="D263" s="1182">
        <v>1</v>
      </c>
      <c r="E263" s="1175" t="s">
        <v>335</v>
      </c>
      <c r="F263" s="375"/>
      <c r="G263" s="376"/>
      <c r="H263" s="376"/>
      <c r="I263" s="376"/>
      <c r="J263" s="376"/>
      <c r="K263" s="376"/>
      <c r="L263" s="376"/>
      <c r="M263" s="376"/>
      <c r="N263" s="376"/>
      <c r="O263" s="326"/>
      <c r="P263" s="324" t="s">
        <v>174</v>
      </c>
    </row>
    <row r="264" spans="1:16" ht="11.25" hidden="1" customHeight="1" x14ac:dyDescent="0.35">
      <c r="A264" s="362" t="s">
        <v>6211</v>
      </c>
      <c r="B264" s="365" t="s">
        <v>75</v>
      </c>
      <c r="C264" s="377" t="str">
        <f>$C$16&amp;" "&amp;B264</f>
        <v>Imputed depreciation (straight line)</v>
      </c>
      <c r="D264" s="1179"/>
      <c r="E264" s="390" t="s">
        <v>336</v>
      </c>
      <c r="F264" s="957"/>
      <c r="G264" s="958"/>
      <c r="H264" s="958"/>
      <c r="I264" s="958"/>
      <c r="J264" s="958"/>
      <c r="K264" s="958"/>
      <c r="L264" s="958"/>
      <c r="M264" s="958"/>
      <c r="N264" s="412"/>
      <c r="O264" s="326" t="str">
        <f>IF(MID(P264,7,1)="D","  ","")</f>
        <v/>
      </c>
      <c r="P264" s="324" t="s">
        <v>118</v>
      </c>
    </row>
    <row r="265" spans="1:16" ht="11.25" hidden="1" customHeight="1" x14ac:dyDescent="0.35">
      <c r="A265" s="362" t="s">
        <v>6212</v>
      </c>
      <c r="B265" s="368">
        <v>1</v>
      </c>
      <c r="C265" s="378" t="s">
        <v>83</v>
      </c>
      <c r="D265" s="1183"/>
      <c r="E265" s="390" t="s">
        <v>337</v>
      </c>
      <c r="F265" s="960">
        <f t="shared" ref="F265:N265" ca="1" si="58">SUM(OFFSET(F265,0,-1))+F266</f>
        <v>0</v>
      </c>
      <c r="G265" s="961">
        <f t="shared" ca="1" si="58"/>
        <v>0</v>
      </c>
      <c r="H265" s="961">
        <f t="shared" ca="1" si="58"/>
        <v>0</v>
      </c>
      <c r="I265" s="961">
        <f t="shared" ca="1" si="58"/>
        <v>0</v>
      </c>
      <c r="J265" s="961">
        <f t="shared" ca="1" si="58"/>
        <v>0</v>
      </c>
      <c r="K265" s="961">
        <f t="shared" ca="1" si="58"/>
        <v>0</v>
      </c>
      <c r="L265" s="961">
        <f t="shared" ca="1" si="58"/>
        <v>0</v>
      </c>
      <c r="M265" s="961">
        <f t="shared" ca="1" si="58"/>
        <v>0</v>
      </c>
      <c r="N265" s="959">
        <f t="shared" ca="1" si="58"/>
        <v>0</v>
      </c>
      <c r="O265" s="326" t="str">
        <f>IF(MID(P265,7,1)="D","  ","")</f>
        <v/>
      </c>
      <c r="P265" s="324" t="s">
        <v>172</v>
      </c>
    </row>
    <row r="266" spans="1:16" ht="11.25" hidden="1" customHeight="1" x14ac:dyDescent="0.35">
      <c r="A266" s="362" t="s">
        <v>6213</v>
      </c>
      <c r="B266" s="381">
        <v>0</v>
      </c>
      <c r="C266" s="380">
        <f>C262</f>
        <v>0</v>
      </c>
      <c r="D266" s="1182">
        <v>1</v>
      </c>
      <c r="E266" s="1174" t="s">
        <v>338</v>
      </c>
      <c r="F266" s="375"/>
      <c r="G266" s="376"/>
      <c r="H266" s="376"/>
      <c r="I266" s="376"/>
      <c r="J266" s="376"/>
      <c r="K266" s="376"/>
      <c r="L266" s="376"/>
      <c r="M266" s="376"/>
      <c r="N266" s="373"/>
      <c r="O266" s="326"/>
      <c r="P266" s="324" t="s">
        <v>174</v>
      </c>
    </row>
    <row r="267" spans="1:16" ht="11.25" hidden="1" customHeight="1" x14ac:dyDescent="0.35">
      <c r="A267" s="362" t="s">
        <v>6214</v>
      </c>
      <c r="B267" s="381">
        <v>1</v>
      </c>
      <c r="C267" s="374" t="str">
        <f>""&amp;C263</f>
        <v/>
      </c>
      <c r="D267" s="1182">
        <v>1</v>
      </c>
      <c r="E267" s="1176" t="s">
        <v>339</v>
      </c>
      <c r="F267" s="375"/>
      <c r="G267" s="376"/>
      <c r="H267" s="376"/>
      <c r="I267" s="376"/>
      <c r="J267" s="376"/>
      <c r="K267" s="376"/>
      <c r="L267" s="376"/>
      <c r="M267" s="376"/>
      <c r="N267" s="376"/>
      <c r="O267" s="326"/>
      <c r="P267" s="324" t="s">
        <v>174</v>
      </c>
    </row>
    <row r="268" spans="1:16" ht="11.25" hidden="1" customHeight="1" x14ac:dyDescent="0.35">
      <c r="A268" s="358">
        <v>0</v>
      </c>
      <c r="B268" s="359"/>
      <c r="C268" s="360"/>
      <c r="D268" s="1177"/>
      <c r="E268" s="1173" t="s">
        <v>340</v>
      </c>
      <c r="F268" s="322"/>
      <c r="G268" s="361"/>
      <c r="H268" s="361"/>
      <c r="I268" s="361"/>
      <c r="J268" s="361"/>
      <c r="K268" s="361"/>
      <c r="L268" s="361"/>
      <c r="M268" s="361"/>
      <c r="N268" s="361"/>
      <c r="O268" s="326"/>
      <c r="P268" s="324" t="s">
        <v>118</v>
      </c>
    </row>
    <row r="269" spans="1:16" ht="11.25" hidden="1" customHeight="1" x14ac:dyDescent="0.35">
      <c r="A269" s="362" t="s">
        <v>6215</v>
      </c>
      <c r="B269" s="363">
        <v>26</v>
      </c>
      <c r="C269" s="364"/>
      <c r="D269" s="1178"/>
      <c r="E269" s="385" t="s">
        <v>341</v>
      </c>
      <c r="F269" s="955"/>
      <c r="G269" s="956"/>
      <c r="H269" s="956"/>
      <c r="I269" s="956"/>
      <c r="J269" s="956"/>
      <c r="K269" s="956"/>
      <c r="L269" s="956"/>
      <c r="M269" s="956"/>
      <c r="N269" s="953">
        <f ca="1">OFFSET(N269,2,-1)</f>
        <v>0</v>
      </c>
      <c r="O269" s="326" t="str">
        <f>IF(MID(P269,7,1)="D","  ","")</f>
        <v/>
      </c>
      <c r="P269" s="324" t="s">
        <v>118</v>
      </c>
    </row>
    <row r="270" spans="1:16" ht="11.25" hidden="1" customHeight="1" x14ac:dyDescent="0.35">
      <c r="A270" s="362" t="s">
        <v>6216</v>
      </c>
      <c r="B270" s="365" t="s">
        <v>75</v>
      </c>
      <c r="C270" s="366" t="str">
        <f ca="1">SpecsTxt!$G$12&amp;" "&amp;B270</f>
        <v>Depreciation (straight line)</v>
      </c>
      <c r="D270" s="1179"/>
      <c r="E270" s="390" t="s">
        <v>342</v>
      </c>
      <c r="F270" s="957"/>
      <c r="G270" s="958"/>
      <c r="H270" s="958"/>
      <c r="I270" s="958"/>
      <c r="J270" s="958"/>
      <c r="K270" s="958"/>
      <c r="L270" s="958"/>
      <c r="M270" s="958"/>
      <c r="N270" s="412"/>
      <c r="O270" s="326" t="str">
        <f>IF(MID(P270,7,1)="D","  ","")</f>
        <v/>
      </c>
      <c r="P270" s="324" t="s">
        <v>118</v>
      </c>
    </row>
    <row r="271" spans="1:16" ht="11.25" hidden="1" customHeight="1" x14ac:dyDescent="0.35">
      <c r="A271" s="362" t="s">
        <v>6217</v>
      </c>
      <c r="B271" s="368">
        <v>1</v>
      </c>
      <c r="C271" s="369" t="s">
        <v>77</v>
      </c>
      <c r="D271" s="1180"/>
      <c r="E271" s="390" t="s">
        <v>343</v>
      </c>
      <c r="F271" s="957">
        <f t="shared" ref="F271:N271" ca="1" si="59">SUM(OFFSET(F271,0,-1))+F272</f>
        <v>0</v>
      </c>
      <c r="G271" s="958">
        <f t="shared" ca="1" si="59"/>
        <v>0</v>
      </c>
      <c r="H271" s="958">
        <f t="shared" ca="1" si="59"/>
        <v>0</v>
      </c>
      <c r="I271" s="958">
        <f t="shared" ca="1" si="59"/>
        <v>0</v>
      </c>
      <c r="J271" s="958">
        <f t="shared" ca="1" si="59"/>
        <v>0</v>
      </c>
      <c r="K271" s="958">
        <f t="shared" ca="1" si="59"/>
        <v>0</v>
      </c>
      <c r="L271" s="958">
        <f t="shared" ca="1" si="59"/>
        <v>0</v>
      </c>
      <c r="M271" s="958">
        <f t="shared" ca="1" si="59"/>
        <v>0</v>
      </c>
      <c r="N271" s="412">
        <f t="shared" ca="1" si="59"/>
        <v>0</v>
      </c>
      <c r="O271" s="326" t="str">
        <f>IF(MID(P271,7,1)="D","  ","")</f>
        <v/>
      </c>
      <c r="P271" s="324" t="s">
        <v>172</v>
      </c>
    </row>
    <row r="272" spans="1:16" ht="11.25" hidden="1" customHeight="1" x14ac:dyDescent="0.35">
      <c r="A272" s="362" t="s">
        <v>6218</v>
      </c>
      <c r="B272" s="370">
        <v>1</v>
      </c>
      <c r="C272" s="371">
        <v>0</v>
      </c>
      <c r="D272" s="1181">
        <v>1</v>
      </c>
      <c r="E272" s="1174" t="s">
        <v>344</v>
      </c>
      <c r="F272" s="372"/>
      <c r="G272" s="373"/>
      <c r="H272" s="373"/>
      <c r="I272" s="373"/>
      <c r="J272" s="373"/>
      <c r="K272" s="373"/>
      <c r="L272" s="373"/>
      <c r="M272" s="373"/>
      <c r="N272" s="373"/>
      <c r="O272" s="326"/>
      <c r="P272" s="324" t="s">
        <v>174</v>
      </c>
    </row>
    <row r="273" spans="1:16" ht="11.25" hidden="1" customHeight="1" x14ac:dyDescent="0.35">
      <c r="A273" s="362" t="s">
        <v>6219</v>
      </c>
      <c r="B273" s="365">
        <v>1</v>
      </c>
      <c r="C273" s="374"/>
      <c r="D273" s="1182">
        <v>1</v>
      </c>
      <c r="E273" s="1175" t="s">
        <v>345</v>
      </c>
      <c r="F273" s="375"/>
      <c r="G273" s="376"/>
      <c r="H273" s="376"/>
      <c r="I273" s="376"/>
      <c r="J273" s="376"/>
      <c r="K273" s="376"/>
      <c r="L273" s="376"/>
      <c r="M273" s="376"/>
      <c r="N273" s="376"/>
      <c r="O273" s="326"/>
      <c r="P273" s="324" t="s">
        <v>174</v>
      </c>
    </row>
    <row r="274" spans="1:16" ht="11.25" hidden="1" customHeight="1" x14ac:dyDescent="0.35">
      <c r="A274" s="362" t="s">
        <v>6220</v>
      </c>
      <c r="B274" s="365" t="s">
        <v>75</v>
      </c>
      <c r="C274" s="377" t="str">
        <f>$C$16&amp;" "&amp;B274</f>
        <v>Imputed depreciation (straight line)</v>
      </c>
      <c r="D274" s="1179"/>
      <c r="E274" s="390" t="s">
        <v>346</v>
      </c>
      <c r="F274" s="957"/>
      <c r="G274" s="958"/>
      <c r="H274" s="958"/>
      <c r="I274" s="958"/>
      <c r="J274" s="958"/>
      <c r="K274" s="958"/>
      <c r="L274" s="958"/>
      <c r="M274" s="958"/>
      <c r="N274" s="412"/>
      <c r="O274" s="326" t="str">
        <f>IF(MID(P274,7,1)="D","  ","")</f>
        <v/>
      </c>
      <c r="P274" s="324" t="s">
        <v>118</v>
      </c>
    </row>
    <row r="275" spans="1:16" ht="11.25" hidden="1" customHeight="1" x14ac:dyDescent="0.35">
      <c r="A275" s="362" t="s">
        <v>6221</v>
      </c>
      <c r="B275" s="368">
        <v>1</v>
      </c>
      <c r="C275" s="378" t="s">
        <v>83</v>
      </c>
      <c r="D275" s="1183"/>
      <c r="E275" s="390" t="s">
        <v>347</v>
      </c>
      <c r="F275" s="960">
        <f t="shared" ref="F275:N275" ca="1" si="60">SUM(OFFSET(F275,0,-1))+F276</f>
        <v>0</v>
      </c>
      <c r="G275" s="961">
        <f t="shared" ca="1" si="60"/>
        <v>0</v>
      </c>
      <c r="H275" s="961">
        <f t="shared" ca="1" si="60"/>
        <v>0</v>
      </c>
      <c r="I275" s="961">
        <f t="shared" ca="1" si="60"/>
        <v>0</v>
      </c>
      <c r="J275" s="961">
        <f t="shared" ca="1" si="60"/>
        <v>0</v>
      </c>
      <c r="K275" s="961">
        <f t="shared" ca="1" si="60"/>
        <v>0</v>
      </c>
      <c r="L275" s="961">
        <f t="shared" ca="1" si="60"/>
        <v>0</v>
      </c>
      <c r="M275" s="961">
        <f t="shared" ca="1" si="60"/>
        <v>0</v>
      </c>
      <c r="N275" s="959">
        <f t="shared" ca="1" si="60"/>
        <v>0</v>
      </c>
      <c r="O275" s="326" t="str">
        <f>IF(MID(P275,7,1)="D","  ","")</f>
        <v/>
      </c>
      <c r="P275" s="324" t="s">
        <v>172</v>
      </c>
    </row>
    <row r="276" spans="1:16" ht="11.25" hidden="1" customHeight="1" x14ac:dyDescent="0.35">
      <c r="A276" s="362" t="s">
        <v>6222</v>
      </c>
      <c r="B276" s="381">
        <v>0</v>
      </c>
      <c r="C276" s="380">
        <f>C272</f>
        <v>0</v>
      </c>
      <c r="D276" s="1182">
        <v>1</v>
      </c>
      <c r="E276" s="1174" t="s">
        <v>348</v>
      </c>
      <c r="F276" s="375"/>
      <c r="G276" s="376"/>
      <c r="H276" s="376"/>
      <c r="I276" s="376"/>
      <c r="J276" s="376"/>
      <c r="K276" s="376"/>
      <c r="L276" s="376"/>
      <c r="M276" s="376"/>
      <c r="N276" s="373"/>
      <c r="O276" s="326"/>
      <c r="P276" s="324" t="s">
        <v>174</v>
      </c>
    </row>
    <row r="277" spans="1:16" ht="11.25" hidden="1" customHeight="1" x14ac:dyDescent="0.35">
      <c r="A277" s="362" t="s">
        <v>6223</v>
      </c>
      <c r="B277" s="381">
        <v>1</v>
      </c>
      <c r="C277" s="374" t="str">
        <f>""&amp;C273</f>
        <v/>
      </c>
      <c r="D277" s="1182">
        <v>1</v>
      </c>
      <c r="E277" s="1176" t="s">
        <v>349</v>
      </c>
      <c r="F277" s="375"/>
      <c r="G277" s="376"/>
      <c r="H277" s="376"/>
      <c r="I277" s="376"/>
      <c r="J277" s="376"/>
      <c r="K277" s="376"/>
      <c r="L277" s="376"/>
      <c r="M277" s="376"/>
      <c r="N277" s="376"/>
      <c r="O277" s="326"/>
      <c r="P277" s="324" t="s">
        <v>174</v>
      </c>
    </row>
    <row r="278" spans="1:16" ht="11.25" hidden="1" customHeight="1" x14ac:dyDescent="0.35">
      <c r="A278" s="358">
        <v>0</v>
      </c>
      <c r="B278" s="359"/>
      <c r="C278" s="360"/>
      <c r="D278" s="1177"/>
      <c r="E278" s="1173" t="s">
        <v>350</v>
      </c>
      <c r="F278" s="322"/>
      <c r="G278" s="361"/>
      <c r="H278" s="361"/>
      <c r="I278" s="361"/>
      <c r="J278" s="361"/>
      <c r="K278" s="361"/>
      <c r="L278" s="361"/>
      <c r="M278" s="361"/>
      <c r="N278" s="361"/>
      <c r="O278" s="326"/>
      <c r="P278" s="324" t="s">
        <v>118</v>
      </c>
    </row>
    <row r="279" spans="1:16" ht="11.25" hidden="1" customHeight="1" x14ac:dyDescent="0.35">
      <c r="A279" s="362" t="s">
        <v>6224</v>
      </c>
      <c r="B279" s="363">
        <v>27</v>
      </c>
      <c r="C279" s="364"/>
      <c r="D279" s="1178"/>
      <c r="E279" s="385" t="s">
        <v>351</v>
      </c>
      <c r="F279" s="955"/>
      <c r="G279" s="956"/>
      <c r="H279" s="956"/>
      <c r="I279" s="956"/>
      <c r="J279" s="956"/>
      <c r="K279" s="956"/>
      <c r="L279" s="956"/>
      <c r="M279" s="956"/>
      <c r="N279" s="953">
        <f ca="1">OFFSET(N279,2,-1)</f>
        <v>0</v>
      </c>
      <c r="O279" s="326" t="str">
        <f>IF(MID(P279,7,1)="D","  ","")</f>
        <v/>
      </c>
      <c r="P279" s="324" t="s">
        <v>118</v>
      </c>
    </row>
    <row r="280" spans="1:16" ht="11.25" hidden="1" customHeight="1" x14ac:dyDescent="0.35">
      <c r="A280" s="362" t="s">
        <v>6225</v>
      </c>
      <c r="B280" s="365" t="s">
        <v>75</v>
      </c>
      <c r="C280" s="366" t="str">
        <f ca="1">SpecsTxt!$G$12&amp;" "&amp;B280</f>
        <v>Depreciation (straight line)</v>
      </c>
      <c r="D280" s="1179"/>
      <c r="E280" s="390" t="s">
        <v>352</v>
      </c>
      <c r="F280" s="957"/>
      <c r="G280" s="958"/>
      <c r="H280" s="958"/>
      <c r="I280" s="958"/>
      <c r="J280" s="958"/>
      <c r="K280" s="958"/>
      <c r="L280" s="958"/>
      <c r="M280" s="958"/>
      <c r="N280" s="412"/>
      <c r="O280" s="326" t="str">
        <f>IF(MID(P280,7,1)="D","  ","")</f>
        <v/>
      </c>
      <c r="P280" s="324" t="s">
        <v>118</v>
      </c>
    </row>
    <row r="281" spans="1:16" ht="11.25" hidden="1" customHeight="1" x14ac:dyDescent="0.35">
      <c r="A281" s="362" t="s">
        <v>6226</v>
      </c>
      <c r="B281" s="368">
        <v>1</v>
      </c>
      <c r="C281" s="369" t="s">
        <v>77</v>
      </c>
      <c r="D281" s="1180"/>
      <c r="E281" s="390" t="s">
        <v>353</v>
      </c>
      <c r="F281" s="957">
        <f t="shared" ref="F281:N281" ca="1" si="61">SUM(OFFSET(F281,0,-1))+F282</f>
        <v>0</v>
      </c>
      <c r="G281" s="958">
        <f t="shared" ca="1" si="61"/>
        <v>0</v>
      </c>
      <c r="H281" s="958">
        <f t="shared" ca="1" si="61"/>
        <v>0</v>
      </c>
      <c r="I281" s="958">
        <f t="shared" ca="1" si="61"/>
        <v>0</v>
      </c>
      <c r="J281" s="958">
        <f t="shared" ca="1" si="61"/>
        <v>0</v>
      </c>
      <c r="K281" s="958">
        <f t="shared" ca="1" si="61"/>
        <v>0</v>
      </c>
      <c r="L281" s="958">
        <f t="shared" ca="1" si="61"/>
        <v>0</v>
      </c>
      <c r="M281" s="958">
        <f t="shared" ca="1" si="61"/>
        <v>0</v>
      </c>
      <c r="N281" s="412">
        <f t="shared" ca="1" si="61"/>
        <v>0</v>
      </c>
      <c r="O281" s="326" t="str">
        <f>IF(MID(P281,7,1)="D","  ","")</f>
        <v/>
      </c>
      <c r="P281" s="324" t="s">
        <v>172</v>
      </c>
    </row>
    <row r="282" spans="1:16" ht="11.25" hidden="1" customHeight="1" x14ac:dyDescent="0.35">
      <c r="A282" s="362" t="s">
        <v>6227</v>
      </c>
      <c r="B282" s="370">
        <v>1</v>
      </c>
      <c r="C282" s="371">
        <v>0</v>
      </c>
      <c r="D282" s="1181">
        <v>1</v>
      </c>
      <c r="E282" s="1174" t="s">
        <v>354</v>
      </c>
      <c r="F282" s="372"/>
      <c r="G282" s="373"/>
      <c r="H282" s="373"/>
      <c r="I282" s="373"/>
      <c r="J282" s="373"/>
      <c r="K282" s="373"/>
      <c r="L282" s="373"/>
      <c r="M282" s="373"/>
      <c r="N282" s="373"/>
      <c r="O282" s="326"/>
      <c r="P282" s="324" t="s">
        <v>174</v>
      </c>
    </row>
    <row r="283" spans="1:16" ht="11.25" hidden="1" customHeight="1" x14ac:dyDescent="0.35">
      <c r="A283" s="362" t="s">
        <v>6228</v>
      </c>
      <c r="B283" s="365">
        <v>1</v>
      </c>
      <c r="C283" s="374"/>
      <c r="D283" s="1182">
        <v>1</v>
      </c>
      <c r="E283" s="1175" t="s">
        <v>355</v>
      </c>
      <c r="F283" s="375"/>
      <c r="G283" s="376"/>
      <c r="H283" s="376"/>
      <c r="I283" s="376"/>
      <c r="J283" s="376"/>
      <c r="K283" s="376"/>
      <c r="L283" s="376"/>
      <c r="M283" s="376"/>
      <c r="N283" s="376"/>
      <c r="O283" s="326"/>
      <c r="P283" s="324" t="s">
        <v>174</v>
      </c>
    </row>
    <row r="284" spans="1:16" ht="11.25" hidden="1" customHeight="1" x14ac:dyDescent="0.35">
      <c r="A284" s="362" t="s">
        <v>6229</v>
      </c>
      <c r="B284" s="365" t="s">
        <v>75</v>
      </c>
      <c r="C284" s="377" t="str">
        <f>$C$16&amp;" "&amp;B284</f>
        <v>Imputed depreciation (straight line)</v>
      </c>
      <c r="D284" s="1179"/>
      <c r="E284" s="390" t="s">
        <v>356</v>
      </c>
      <c r="F284" s="957"/>
      <c r="G284" s="958"/>
      <c r="H284" s="958"/>
      <c r="I284" s="958"/>
      <c r="J284" s="958"/>
      <c r="K284" s="958"/>
      <c r="L284" s="958"/>
      <c r="M284" s="958"/>
      <c r="N284" s="412"/>
      <c r="O284" s="326" t="str">
        <f>IF(MID(P284,7,1)="D","  ","")</f>
        <v/>
      </c>
      <c r="P284" s="324" t="s">
        <v>118</v>
      </c>
    </row>
    <row r="285" spans="1:16" ht="11.25" hidden="1" customHeight="1" x14ac:dyDescent="0.35">
      <c r="A285" s="362" t="s">
        <v>6230</v>
      </c>
      <c r="B285" s="368">
        <v>1</v>
      </c>
      <c r="C285" s="378" t="s">
        <v>83</v>
      </c>
      <c r="D285" s="1183"/>
      <c r="E285" s="390" t="s">
        <v>357</v>
      </c>
      <c r="F285" s="960">
        <f t="shared" ref="F285:N285" ca="1" si="62">SUM(OFFSET(F285,0,-1))+F286</f>
        <v>0</v>
      </c>
      <c r="G285" s="961">
        <f t="shared" ca="1" si="62"/>
        <v>0</v>
      </c>
      <c r="H285" s="961">
        <f t="shared" ca="1" si="62"/>
        <v>0</v>
      </c>
      <c r="I285" s="961">
        <f t="shared" ca="1" si="62"/>
        <v>0</v>
      </c>
      <c r="J285" s="961">
        <f t="shared" ca="1" si="62"/>
        <v>0</v>
      </c>
      <c r="K285" s="961">
        <f t="shared" ca="1" si="62"/>
        <v>0</v>
      </c>
      <c r="L285" s="961">
        <f t="shared" ca="1" si="62"/>
        <v>0</v>
      </c>
      <c r="M285" s="961">
        <f t="shared" ca="1" si="62"/>
        <v>0</v>
      </c>
      <c r="N285" s="959">
        <f t="shared" ca="1" si="62"/>
        <v>0</v>
      </c>
      <c r="O285" s="326" t="str">
        <f>IF(MID(P285,7,1)="D","  ","")</f>
        <v/>
      </c>
      <c r="P285" s="324" t="s">
        <v>172</v>
      </c>
    </row>
    <row r="286" spans="1:16" ht="11.25" hidden="1" customHeight="1" x14ac:dyDescent="0.35">
      <c r="A286" s="362" t="s">
        <v>6231</v>
      </c>
      <c r="B286" s="381">
        <v>0</v>
      </c>
      <c r="C286" s="380">
        <f>C282</f>
        <v>0</v>
      </c>
      <c r="D286" s="1182">
        <v>1</v>
      </c>
      <c r="E286" s="1174" t="s">
        <v>358</v>
      </c>
      <c r="F286" s="375"/>
      <c r="G286" s="376"/>
      <c r="H286" s="376"/>
      <c r="I286" s="376"/>
      <c r="J286" s="376"/>
      <c r="K286" s="376"/>
      <c r="L286" s="376"/>
      <c r="M286" s="376"/>
      <c r="N286" s="373"/>
      <c r="O286" s="326"/>
      <c r="P286" s="324" t="s">
        <v>174</v>
      </c>
    </row>
    <row r="287" spans="1:16" ht="11.25" hidden="1" customHeight="1" x14ac:dyDescent="0.35">
      <c r="A287" s="362" t="s">
        <v>6232</v>
      </c>
      <c r="B287" s="381">
        <v>1</v>
      </c>
      <c r="C287" s="374" t="str">
        <f>""&amp;C283</f>
        <v/>
      </c>
      <c r="D287" s="1182">
        <v>1</v>
      </c>
      <c r="E287" s="1176" t="s">
        <v>359</v>
      </c>
      <c r="F287" s="375"/>
      <c r="G287" s="376"/>
      <c r="H287" s="376"/>
      <c r="I287" s="376"/>
      <c r="J287" s="376"/>
      <c r="K287" s="376"/>
      <c r="L287" s="376"/>
      <c r="M287" s="376"/>
      <c r="N287" s="376"/>
      <c r="O287" s="326"/>
      <c r="P287" s="324" t="s">
        <v>174</v>
      </c>
    </row>
    <row r="288" spans="1:16" ht="11.25" hidden="1" customHeight="1" x14ac:dyDescent="0.35">
      <c r="A288" s="358">
        <v>0</v>
      </c>
      <c r="B288" s="359"/>
      <c r="C288" s="360"/>
      <c r="D288" s="1177"/>
      <c r="E288" s="1173" t="s">
        <v>360</v>
      </c>
      <c r="F288" s="322"/>
      <c r="G288" s="361"/>
      <c r="H288" s="361"/>
      <c r="I288" s="361"/>
      <c r="J288" s="361"/>
      <c r="K288" s="361"/>
      <c r="L288" s="361"/>
      <c r="M288" s="361"/>
      <c r="N288" s="361"/>
      <c r="O288" s="326"/>
      <c r="P288" s="324" t="s">
        <v>118</v>
      </c>
    </row>
    <row r="289" spans="1:16" ht="11.25" hidden="1" customHeight="1" x14ac:dyDescent="0.35">
      <c r="A289" s="362" t="s">
        <v>6233</v>
      </c>
      <c r="B289" s="363">
        <v>28</v>
      </c>
      <c r="C289" s="364"/>
      <c r="D289" s="1178"/>
      <c r="E289" s="385" t="s">
        <v>361</v>
      </c>
      <c r="F289" s="955"/>
      <c r="G289" s="956"/>
      <c r="H289" s="956"/>
      <c r="I289" s="956"/>
      <c r="J289" s="956"/>
      <c r="K289" s="956"/>
      <c r="L289" s="956"/>
      <c r="M289" s="956"/>
      <c r="N289" s="953">
        <f ca="1">OFFSET(N289,2,-1)</f>
        <v>0</v>
      </c>
      <c r="O289" s="326" t="str">
        <f>IF(MID(P289,7,1)="D","  ","")</f>
        <v/>
      </c>
      <c r="P289" s="324" t="s">
        <v>118</v>
      </c>
    </row>
    <row r="290" spans="1:16" ht="11.25" hidden="1" customHeight="1" x14ac:dyDescent="0.35">
      <c r="A290" s="362" t="s">
        <v>6234</v>
      </c>
      <c r="B290" s="365" t="s">
        <v>75</v>
      </c>
      <c r="C290" s="366" t="str">
        <f ca="1">SpecsTxt!$G$12&amp;" "&amp;B290</f>
        <v>Depreciation (straight line)</v>
      </c>
      <c r="D290" s="1179"/>
      <c r="E290" s="390" t="s">
        <v>362</v>
      </c>
      <c r="F290" s="957"/>
      <c r="G290" s="958"/>
      <c r="H290" s="958"/>
      <c r="I290" s="958"/>
      <c r="J290" s="958"/>
      <c r="K290" s="958"/>
      <c r="L290" s="958"/>
      <c r="M290" s="958"/>
      <c r="N290" s="412"/>
      <c r="O290" s="326" t="str">
        <f>IF(MID(P290,7,1)="D","  ","")</f>
        <v/>
      </c>
      <c r="P290" s="324" t="s">
        <v>118</v>
      </c>
    </row>
    <row r="291" spans="1:16" ht="11.25" hidden="1" customHeight="1" x14ac:dyDescent="0.35">
      <c r="A291" s="362" t="s">
        <v>6235</v>
      </c>
      <c r="B291" s="368">
        <v>1</v>
      </c>
      <c r="C291" s="369" t="s">
        <v>77</v>
      </c>
      <c r="D291" s="1180"/>
      <c r="E291" s="390" t="s">
        <v>363</v>
      </c>
      <c r="F291" s="957">
        <f t="shared" ref="F291:N291" ca="1" si="63">SUM(OFFSET(F291,0,-1))+F292</f>
        <v>0</v>
      </c>
      <c r="G291" s="958">
        <f t="shared" ca="1" si="63"/>
        <v>0</v>
      </c>
      <c r="H291" s="958">
        <f t="shared" ca="1" si="63"/>
        <v>0</v>
      </c>
      <c r="I291" s="958">
        <f t="shared" ca="1" si="63"/>
        <v>0</v>
      </c>
      <c r="J291" s="958">
        <f t="shared" ca="1" si="63"/>
        <v>0</v>
      </c>
      <c r="K291" s="958">
        <f t="shared" ca="1" si="63"/>
        <v>0</v>
      </c>
      <c r="L291" s="958">
        <f t="shared" ca="1" si="63"/>
        <v>0</v>
      </c>
      <c r="M291" s="958">
        <f t="shared" ca="1" si="63"/>
        <v>0</v>
      </c>
      <c r="N291" s="412">
        <f t="shared" ca="1" si="63"/>
        <v>0</v>
      </c>
      <c r="O291" s="326" t="str">
        <f>IF(MID(P291,7,1)="D","  ","")</f>
        <v/>
      </c>
      <c r="P291" s="324" t="s">
        <v>172</v>
      </c>
    </row>
    <row r="292" spans="1:16" ht="11.25" hidden="1" customHeight="1" x14ac:dyDescent="0.35">
      <c r="A292" s="362" t="s">
        <v>6236</v>
      </c>
      <c r="B292" s="370">
        <v>1</v>
      </c>
      <c r="C292" s="371">
        <v>0</v>
      </c>
      <c r="D292" s="1181">
        <v>1</v>
      </c>
      <c r="E292" s="1174" t="s">
        <v>364</v>
      </c>
      <c r="F292" s="372"/>
      <c r="G292" s="373"/>
      <c r="H292" s="373"/>
      <c r="I292" s="373"/>
      <c r="J292" s="373"/>
      <c r="K292" s="373"/>
      <c r="L292" s="373"/>
      <c r="M292" s="373"/>
      <c r="N292" s="373"/>
      <c r="O292" s="326"/>
      <c r="P292" s="324" t="s">
        <v>174</v>
      </c>
    </row>
    <row r="293" spans="1:16" ht="11.25" hidden="1" customHeight="1" x14ac:dyDescent="0.35">
      <c r="A293" s="362" t="s">
        <v>6237</v>
      </c>
      <c r="B293" s="365">
        <v>1</v>
      </c>
      <c r="C293" s="374"/>
      <c r="D293" s="1182">
        <v>1</v>
      </c>
      <c r="E293" s="1175" t="s">
        <v>365</v>
      </c>
      <c r="F293" s="375"/>
      <c r="G293" s="376"/>
      <c r="H293" s="376"/>
      <c r="I293" s="376"/>
      <c r="J293" s="376"/>
      <c r="K293" s="376"/>
      <c r="L293" s="376"/>
      <c r="M293" s="376"/>
      <c r="N293" s="376"/>
      <c r="O293" s="326"/>
      <c r="P293" s="324" t="s">
        <v>174</v>
      </c>
    </row>
    <row r="294" spans="1:16" ht="11.25" hidden="1" customHeight="1" x14ac:dyDescent="0.35">
      <c r="A294" s="362" t="s">
        <v>6238</v>
      </c>
      <c r="B294" s="365" t="s">
        <v>75</v>
      </c>
      <c r="C294" s="377" t="str">
        <f>$C$16&amp;" "&amp;B294</f>
        <v>Imputed depreciation (straight line)</v>
      </c>
      <c r="D294" s="1179"/>
      <c r="E294" s="390" t="s">
        <v>366</v>
      </c>
      <c r="F294" s="957"/>
      <c r="G294" s="958"/>
      <c r="H294" s="958"/>
      <c r="I294" s="958"/>
      <c r="J294" s="958"/>
      <c r="K294" s="958"/>
      <c r="L294" s="958"/>
      <c r="M294" s="958"/>
      <c r="N294" s="412"/>
      <c r="O294" s="326" t="str">
        <f>IF(MID(P294,7,1)="D","  ","")</f>
        <v/>
      </c>
      <c r="P294" s="324" t="s">
        <v>118</v>
      </c>
    </row>
    <row r="295" spans="1:16" ht="11.25" hidden="1" customHeight="1" x14ac:dyDescent="0.35">
      <c r="A295" s="362" t="s">
        <v>6239</v>
      </c>
      <c r="B295" s="368">
        <v>1</v>
      </c>
      <c r="C295" s="378" t="s">
        <v>83</v>
      </c>
      <c r="D295" s="1183"/>
      <c r="E295" s="390" t="s">
        <v>367</v>
      </c>
      <c r="F295" s="960">
        <f t="shared" ref="F295:N295" ca="1" si="64">SUM(OFFSET(F295,0,-1))+F296</f>
        <v>0</v>
      </c>
      <c r="G295" s="961">
        <f t="shared" ca="1" si="64"/>
        <v>0</v>
      </c>
      <c r="H295" s="961">
        <f t="shared" ca="1" si="64"/>
        <v>0</v>
      </c>
      <c r="I295" s="961">
        <f t="shared" ca="1" si="64"/>
        <v>0</v>
      </c>
      <c r="J295" s="961">
        <f t="shared" ca="1" si="64"/>
        <v>0</v>
      </c>
      <c r="K295" s="961">
        <f t="shared" ca="1" si="64"/>
        <v>0</v>
      </c>
      <c r="L295" s="961">
        <f t="shared" ca="1" si="64"/>
        <v>0</v>
      </c>
      <c r="M295" s="961">
        <f t="shared" ca="1" si="64"/>
        <v>0</v>
      </c>
      <c r="N295" s="959">
        <f t="shared" ca="1" si="64"/>
        <v>0</v>
      </c>
      <c r="O295" s="326" t="str">
        <f>IF(MID(P295,7,1)="D","  ","")</f>
        <v/>
      </c>
      <c r="P295" s="324" t="s">
        <v>172</v>
      </c>
    </row>
    <row r="296" spans="1:16" ht="11.25" hidden="1" customHeight="1" x14ac:dyDescent="0.35">
      <c r="A296" s="362" t="s">
        <v>6240</v>
      </c>
      <c r="B296" s="381">
        <v>0</v>
      </c>
      <c r="C296" s="380">
        <f>C292</f>
        <v>0</v>
      </c>
      <c r="D296" s="1182">
        <v>1</v>
      </c>
      <c r="E296" s="1174" t="s">
        <v>368</v>
      </c>
      <c r="F296" s="375"/>
      <c r="G296" s="376"/>
      <c r="H296" s="376"/>
      <c r="I296" s="376"/>
      <c r="J296" s="376"/>
      <c r="K296" s="376"/>
      <c r="L296" s="376"/>
      <c r="M296" s="376"/>
      <c r="N296" s="373"/>
      <c r="O296" s="326"/>
      <c r="P296" s="324" t="s">
        <v>174</v>
      </c>
    </row>
    <row r="297" spans="1:16" ht="11.25" hidden="1" customHeight="1" x14ac:dyDescent="0.35">
      <c r="A297" s="362" t="s">
        <v>6241</v>
      </c>
      <c r="B297" s="381">
        <v>1</v>
      </c>
      <c r="C297" s="374" t="str">
        <f>""&amp;C293</f>
        <v/>
      </c>
      <c r="D297" s="1182">
        <v>1</v>
      </c>
      <c r="E297" s="1176" t="s">
        <v>369</v>
      </c>
      <c r="F297" s="375"/>
      <c r="G297" s="376"/>
      <c r="H297" s="376"/>
      <c r="I297" s="376"/>
      <c r="J297" s="376"/>
      <c r="K297" s="376"/>
      <c r="L297" s="376"/>
      <c r="M297" s="376"/>
      <c r="N297" s="376"/>
      <c r="O297" s="326"/>
      <c r="P297" s="324" t="s">
        <v>174</v>
      </c>
    </row>
    <row r="298" spans="1:16" ht="11.25" hidden="1" customHeight="1" x14ac:dyDescent="0.35">
      <c r="A298" s="358">
        <v>0</v>
      </c>
      <c r="B298" s="359"/>
      <c r="C298" s="360"/>
      <c r="D298" s="1177"/>
      <c r="E298" s="1173" t="s">
        <v>370</v>
      </c>
      <c r="F298" s="322"/>
      <c r="G298" s="361"/>
      <c r="H298" s="361"/>
      <c r="I298" s="361"/>
      <c r="J298" s="361"/>
      <c r="K298" s="361"/>
      <c r="L298" s="361"/>
      <c r="M298" s="361"/>
      <c r="N298" s="361"/>
      <c r="O298" s="326"/>
      <c r="P298" s="324" t="s">
        <v>118</v>
      </c>
    </row>
    <row r="299" spans="1:16" ht="11.25" hidden="1" customHeight="1" x14ac:dyDescent="0.35">
      <c r="A299" s="362" t="s">
        <v>6242</v>
      </c>
      <c r="B299" s="363">
        <v>29</v>
      </c>
      <c r="C299" s="364"/>
      <c r="D299" s="1178"/>
      <c r="E299" s="385" t="s">
        <v>371</v>
      </c>
      <c r="F299" s="955"/>
      <c r="G299" s="956"/>
      <c r="H299" s="956"/>
      <c r="I299" s="956"/>
      <c r="J299" s="956"/>
      <c r="K299" s="956"/>
      <c r="L299" s="956"/>
      <c r="M299" s="956"/>
      <c r="N299" s="953">
        <f ca="1">OFFSET(N299,2,-1)</f>
        <v>0</v>
      </c>
      <c r="O299" s="326" t="str">
        <f>IF(MID(P299,7,1)="D","  ","")</f>
        <v/>
      </c>
      <c r="P299" s="324" t="s">
        <v>118</v>
      </c>
    </row>
    <row r="300" spans="1:16" ht="11.25" hidden="1" customHeight="1" x14ac:dyDescent="0.35">
      <c r="A300" s="362" t="s">
        <v>6243</v>
      </c>
      <c r="B300" s="365" t="s">
        <v>75</v>
      </c>
      <c r="C300" s="366" t="str">
        <f ca="1">SpecsTxt!$G$12&amp;" "&amp;B300</f>
        <v>Depreciation (straight line)</v>
      </c>
      <c r="D300" s="1179"/>
      <c r="E300" s="390" t="s">
        <v>372</v>
      </c>
      <c r="F300" s="957"/>
      <c r="G300" s="958"/>
      <c r="H300" s="958"/>
      <c r="I300" s="958"/>
      <c r="J300" s="958"/>
      <c r="K300" s="958"/>
      <c r="L300" s="958"/>
      <c r="M300" s="958"/>
      <c r="N300" s="412"/>
      <c r="O300" s="326" t="str">
        <f>IF(MID(P300,7,1)="D","  ","")</f>
        <v/>
      </c>
      <c r="P300" s="324" t="s">
        <v>118</v>
      </c>
    </row>
    <row r="301" spans="1:16" ht="11.25" hidden="1" customHeight="1" x14ac:dyDescent="0.35">
      <c r="A301" s="362" t="s">
        <v>6244</v>
      </c>
      <c r="B301" s="368">
        <v>1</v>
      </c>
      <c r="C301" s="369" t="s">
        <v>77</v>
      </c>
      <c r="D301" s="1180"/>
      <c r="E301" s="390" t="s">
        <v>373</v>
      </c>
      <c r="F301" s="957">
        <f t="shared" ref="F301:N301" ca="1" si="65">SUM(OFFSET(F301,0,-1))+F302</f>
        <v>0</v>
      </c>
      <c r="G301" s="958">
        <f t="shared" ca="1" si="65"/>
        <v>0</v>
      </c>
      <c r="H301" s="958">
        <f t="shared" ca="1" si="65"/>
        <v>0</v>
      </c>
      <c r="I301" s="958">
        <f t="shared" ca="1" si="65"/>
        <v>0</v>
      </c>
      <c r="J301" s="958">
        <f t="shared" ca="1" si="65"/>
        <v>0</v>
      </c>
      <c r="K301" s="958">
        <f t="shared" ca="1" si="65"/>
        <v>0</v>
      </c>
      <c r="L301" s="958">
        <f t="shared" ca="1" si="65"/>
        <v>0</v>
      </c>
      <c r="M301" s="958">
        <f t="shared" ca="1" si="65"/>
        <v>0</v>
      </c>
      <c r="N301" s="412">
        <f t="shared" ca="1" si="65"/>
        <v>0</v>
      </c>
      <c r="O301" s="326" t="str">
        <f>IF(MID(P301,7,1)="D","  ","")</f>
        <v/>
      </c>
      <c r="P301" s="324" t="s">
        <v>172</v>
      </c>
    </row>
    <row r="302" spans="1:16" ht="11.25" hidden="1" customHeight="1" x14ac:dyDescent="0.35">
      <c r="A302" s="362" t="s">
        <v>6245</v>
      </c>
      <c r="B302" s="370">
        <v>1</v>
      </c>
      <c r="C302" s="371">
        <v>0</v>
      </c>
      <c r="D302" s="1181">
        <v>1</v>
      </c>
      <c r="E302" s="1174" t="s">
        <v>374</v>
      </c>
      <c r="F302" s="372"/>
      <c r="G302" s="373"/>
      <c r="H302" s="373"/>
      <c r="I302" s="373"/>
      <c r="J302" s="373"/>
      <c r="K302" s="373"/>
      <c r="L302" s="373"/>
      <c r="M302" s="373"/>
      <c r="N302" s="373"/>
      <c r="O302" s="326"/>
      <c r="P302" s="324" t="s">
        <v>174</v>
      </c>
    </row>
    <row r="303" spans="1:16" ht="11.25" hidden="1" customHeight="1" x14ac:dyDescent="0.35">
      <c r="A303" s="362" t="s">
        <v>6246</v>
      </c>
      <c r="B303" s="365">
        <v>1</v>
      </c>
      <c r="C303" s="374"/>
      <c r="D303" s="1182">
        <v>1</v>
      </c>
      <c r="E303" s="1175" t="s">
        <v>375</v>
      </c>
      <c r="F303" s="375"/>
      <c r="G303" s="376"/>
      <c r="H303" s="376"/>
      <c r="I303" s="376"/>
      <c r="J303" s="376"/>
      <c r="K303" s="376"/>
      <c r="L303" s="376"/>
      <c r="M303" s="376"/>
      <c r="N303" s="376"/>
      <c r="O303" s="326"/>
      <c r="P303" s="324" t="s">
        <v>174</v>
      </c>
    </row>
    <row r="304" spans="1:16" ht="11.25" hidden="1" customHeight="1" x14ac:dyDescent="0.35">
      <c r="A304" s="362" t="s">
        <v>6247</v>
      </c>
      <c r="B304" s="365" t="s">
        <v>75</v>
      </c>
      <c r="C304" s="377" t="str">
        <f>$C$16&amp;" "&amp;B304</f>
        <v>Imputed depreciation (straight line)</v>
      </c>
      <c r="D304" s="1179"/>
      <c r="E304" s="390" t="s">
        <v>376</v>
      </c>
      <c r="F304" s="957"/>
      <c r="G304" s="958"/>
      <c r="H304" s="958"/>
      <c r="I304" s="958"/>
      <c r="J304" s="958"/>
      <c r="K304" s="958"/>
      <c r="L304" s="958"/>
      <c r="M304" s="958"/>
      <c r="N304" s="412"/>
      <c r="O304" s="326" t="str">
        <f>IF(MID(P304,7,1)="D","  ","")</f>
        <v/>
      </c>
      <c r="P304" s="324" t="s">
        <v>118</v>
      </c>
    </row>
    <row r="305" spans="1:16" ht="11.25" hidden="1" customHeight="1" x14ac:dyDescent="0.35">
      <c r="A305" s="362" t="s">
        <v>6248</v>
      </c>
      <c r="B305" s="368">
        <v>1</v>
      </c>
      <c r="C305" s="378" t="s">
        <v>83</v>
      </c>
      <c r="D305" s="1183"/>
      <c r="E305" s="390" t="s">
        <v>377</v>
      </c>
      <c r="F305" s="960">
        <f t="shared" ref="F305:N305" ca="1" si="66">SUM(OFFSET(F305,0,-1))+F306</f>
        <v>0</v>
      </c>
      <c r="G305" s="961">
        <f t="shared" ca="1" si="66"/>
        <v>0</v>
      </c>
      <c r="H305" s="961">
        <f t="shared" ca="1" si="66"/>
        <v>0</v>
      </c>
      <c r="I305" s="961">
        <f t="shared" ca="1" si="66"/>
        <v>0</v>
      </c>
      <c r="J305" s="961">
        <f t="shared" ca="1" si="66"/>
        <v>0</v>
      </c>
      <c r="K305" s="961">
        <f t="shared" ca="1" si="66"/>
        <v>0</v>
      </c>
      <c r="L305" s="961">
        <f t="shared" ca="1" si="66"/>
        <v>0</v>
      </c>
      <c r="M305" s="961">
        <f t="shared" ca="1" si="66"/>
        <v>0</v>
      </c>
      <c r="N305" s="959">
        <f t="shared" ca="1" si="66"/>
        <v>0</v>
      </c>
      <c r="O305" s="326" t="str">
        <f>IF(MID(P305,7,1)="D","  ","")</f>
        <v/>
      </c>
      <c r="P305" s="324" t="s">
        <v>172</v>
      </c>
    </row>
    <row r="306" spans="1:16" ht="11.25" hidden="1" customHeight="1" x14ac:dyDescent="0.35">
      <c r="A306" s="362" t="s">
        <v>6249</v>
      </c>
      <c r="B306" s="381">
        <v>0</v>
      </c>
      <c r="C306" s="380">
        <f>C302</f>
        <v>0</v>
      </c>
      <c r="D306" s="1182">
        <v>1</v>
      </c>
      <c r="E306" s="1174" t="s">
        <v>378</v>
      </c>
      <c r="F306" s="375"/>
      <c r="G306" s="376"/>
      <c r="H306" s="376"/>
      <c r="I306" s="376"/>
      <c r="J306" s="376"/>
      <c r="K306" s="376"/>
      <c r="L306" s="376"/>
      <c r="M306" s="376"/>
      <c r="N306" s="373"/>
      <c r="O306" s="326"/>
      <c r="P306" s="324" t="s">
        <v>174</v>
      </c>
    </row>
    <row r="307" spans="1:16" ht="11.25" hidden="1" customHeight="1" x14ac:dyDescent="0.35">
      <c r="A307" s="362" t="s">
        <v>6250</v>
      </c>
      <c r="B307" s="381">
        <v>1</v>
      </c>
      <c r="C307" s="374" t="str">
        <f>""&amp;C303</f>
        <v/>
      </c>
      <c r="D307" s="1182">
        <v>1</v>
      </c>
      <c r="E307" s="1176" t="s">
        <v>379</v>
      </c>
      <c r="F307" s="375"/>
      <c r="G307" s="376"/>
      <c r="H307" s="376"/>
      <c r="I307" s="376"/>
      <c r="J307" s="376"/>
      <c r="K307" s="376"/>
      <c r="L307" s="376"/>
      <c r="M307" s="376"/>
      <c r="N307" s="376"/>
      <c r="O307" s="326"/>
      <c r="P307" s="324" t="s">
        <v>174</v>
      </c>
    </row>
    <row r="308" spans="1:16" ht="11.25" hidden="1" customHeight="1" x14ac:dyDescent="0.35">
      <c r="A308" s="358">
        <v>0</v>
      </c>
      <c r="B308" s="359"/>
      <c r="C308" s="360"/>
      <c r="D308" s="1177"/>
      <c r="E308" s="1173" t="s">
        <v>380</v>
      </c>
      <c r="F308" s="322"/>
      <c r="G308" s="361"/>
      <c r="H308" s="361"/>
      <c r="I308" s="361"/>
      <c r="J308" s="361"/>
      <c r="K308" s="361"/>
      <c r="L308" s="361"/>
      <c r="M308" s="361"/>
      <c r="N308" s="361"/>
      <c r="O308" s="326"/>
      <c r="P308" s="324" t="s">
        <v>118</v>
      </c>
    </row>
    <row r="309" spans="1:16" ht="11.25" hidden="1" customHeight="1" x14ac:dyDescent="0.35">
      <c r="A309" s="362" t="s">
        <v>6251</v>
      </c>
      <c r="B309" s="363">
        <v>30</v>
      </c>
      <c r="C309" s="364"/>
      <c r="D309" s="1178"/>
      <c r="E309" s="385" t="s">
        <v>381</v>
      </c>
      <c r="F309" s="955"/>
      <c r="G309" s="956"/>
      <c r="H309" s="956"/>
      <c r="I309" s="956"/>
      <c r="J309" s="956"/>
      <c r="K309" s="956"/>
      <c r="L309" s="956"/>
      <c r="M309" s="956"/>
      <c r="N309" s="953">
        <f ca="1">OFFSET(N309,2,-1)</f>
        <v>0</v>
      </c>
      <c r="O309" s="326" t="str">
        <f>IF(MID(P309,7,1)="D","  ","")</f>
        <v/>
      </c>
      <c r="P309" s="324" t="s">
        <v>118</v>
      </c>
    </row>
    <row r="310" spans="1:16" ht="11.25" hidden="1" customHeight="1" x14ac:dyDescent="0.35">
      <c r="A310" s="362" t="s">
        <v>6252</v>
      </c>
      <c r="B310" s="365" t="s">
        <v>75</v>
      </c>
      <c r="C310" s="366" t="str">
        <f ca="1">SpecsTxt!$G$12&amp;" "&amp;B310</f>
        <v>Depreciation (straight line)</v>
      </c>
      <c r="D310" s="1179"/>
      <c r="E310" s="390" t="s">
        <v>382</v>
      </c>
      <c r="F310" s="957"/>
      <c r="G310" s="958"/>
      <c r="H310" s="958"/>
      <c r="I310" s="958"/>
      <c r="J310" s="958"/>
      <c r="K310" s="958"/>
      <c r="L310" s="958"/>
      <c r="M310" s="958"/>
      <c r="N310" s="412"/>
      <c r="O310" s="326" t="str">
        <f>IF(MID(P310,7,1)="D","  ","")</f>
        <v/>
      </c>
      <c r="P310" s="324" t="s">
        <v>118</v>
      </c>
    </row>
    <row r="311" spans="1:16" ht="11.25" hidden="1" customHeight="1" x14ac:dyDescent="0.35">
      <c r="A311" s="362" t="s">
        <v>6253</v>
      </c>
      <c r="B311" s="368">
        <v>1</v>
      </c>
      <c r="C311" s="369" t="s">
        <v>77</v>
      </c>
      <c r="D311" s="1180"/>
      <c r="E311" s="390" t="s">
        <v>383</v>
      </c>
      <c r="F311" s="957">
        <f t="shared" ref="F311:N311" ca="1" si="67">SUM(OFFSET(F311,0,-1))+F312</f>
        <v>0</v>
      </c>
      <c r="G311" s="958">
        <f t="shared" ca="1" si="67"/>
        <v>0</v>
      </c>
      <c r="H311" s="958">
        <f t="shared" ca="1" si="67"/>
        <v>0</v>
      </c>
      <c r="I311" s="958">
        <f t="shared" ca="1" si="67"/>
        <v>0</v>
      </c>
      <c r="J311" s="958">
        <f t="shared" ca="1" si="67"/>
        <v>0</v>
      </c>
      <c r="K311" s="958">
        <f t="shared" ca="1" si="67"/>
        <v>0</v>
      </c>
      <c r="L311" s="958">
        <f t="shared" ca="1" si="67"/>
        <v>0</v>
      </c>
      <c r="M311" s="958">
        <f t="shared" ca="1" si="67"/>
        <v>0</v>
      </c>
      <c r="N311" s="412">
        <f t="shared" ca="1" si="67"/>
        <v>0</v>
      </c>
      <c r="O311" s="326" t="str">
        <f>IF(MID(P311,7,1)="D","  ","")</f>
        <v/>
      </c>
      <c r="P311" s="324" t="s">
        <v>172</v>
      </c>
    </row>
    <row r="312" spans="1:16" ht="11.25" hidden="1" customHeight="1" x14ac:dyDescent="0.35">
      <c r="A312" s="362" t="s">
        <v>6254</v>
      </c>
      <c r="B312" s="370">
        <v>1</v>
      </c>
      <c r="C312" s="371">
        <v>0</v>
      </c>
      <c r="D312" s="1181">
        <v>1</v>
      </c>
      <c r="E312" s="1174" t="s">
        <v>384</v>
      </c>
      <c r="F312" s="372"/>
      <c r="G312" s="373"/>
      <c r="H312" s="373"/>
      <c r="I312" s="373"/>
      <c r="J312" s="373"/>
      <c r="K312" s="373"/>
      <c r="L312" s="373"/>
      <c r="M312" s="373"/>
      <c r="N312" s="373"/>
      <c r="O312" s="326"/>
      <c r="P312" s="324" t="s">
        <v>40</v>
      </c>
    </row>
    <row r="313" spans="1:16" ht="11.25" hidden="1" customHeight="1" x14ac:dyDescent="0.35">
      <c r="A313" s="362" t="s">
        <v>6255</v>
      </c>
      <c r="B313" s="365">
        <v>1</v>
      </c>
      <c r="C313" s="374"/>
      <c r="D313" s="1182">
        <v>1</v>
      </c>
      <c r="E313" s="1175" t="s">
        <v>385</v>
      </c>
      <c r="F313" s="375"/>
      <c r="G313" s="376"/>
      <c r="H313" s="376"/>
      <c r="I313" s="376"/>
      <c r="J313" s="376"/>
      <c r="K313" s="376"/>
      <c r="L313" s="376"/>
      <c r="M313" s="376"/>
      <c r="N313" s="376"/>
      <c r="O313" s="326"/>
      <c r="P313" s="324" t="s">
        <v>40</v>
      </c>
    </row>
    <row r="314" spans="1:16" ht="11.25" hidden="1" customHeight="1" x14ac:dyDescent="0.35">
      <c r="A314" s="362" t="s">
        <v>6256</v>
      </c>
      <c r="B314" s="365" t="s">
        <v>75</v>
      </c>
      <c r="C314" s="377" t="str">
        <f>$C$16&amp;" "&amp;B314</f>
        <v>Imputed depreciation (straight line)</v>
      </c>
      <c r="D314" s="1179"/>
      <c r="E314" s="390" t="s">
        <v>386</v>
      </c>
      <c r="F314" s="957"/>
      <c r="G314" s="958"/>
      <c r="H314" s="958"/>
      <c r="I314" s="958"/>
      <c r="J314" s="958"/>
      <c r="K314" s="958"/>
      <c r="L314" s="958"/>
      <c r="M314" s="958"/>
      <c r="N314" s="412"/>
      <c r="O314" s="326" t="str">
        <f>IF(MID(P314,7,1)="D","  ","")</f>
        <v/>
      </c>
      <c r="P314" s="324" t="s">
        <v>118</v>
      </c>
    </row>
    <row r="315" spans="1:16" ht="11.25" hidden="1" customHeight="1" x14ac:dyDescent="0.35">
      <c r="A315" s="362" t="s">
        <v>6257</v>
      </c>
      <c r="B315" s="368">
        <v>1</v>
      </c>
      <c r="C315" s="378" t="s">
        <v>83</v>
      </c>
      <c r="D315" s="1183"/>
      <c r="E315" s="390" t="s">
        <v>387</v>
      </c>
      <c r="F315" s="960">
        <f t="shared" ref="F315:N315" ca="1" si="68">SUM(OFFSET(F315,0,-1))+F316</f>
        <v>0</v>
      </c>
      <c r="G315" s="961">
        <f t="shared" ca="1" si="68"/>
        <v>0</v>
      </c>
      <c r="H315" s="961">
        <f t="shared" ca="1" si="68"/>
        <v>0</v>
      </c>
      <c r="I315" s="961">
        <f t="shared" ca="1" si="68"/>
        <v>0</v>
      </c>
      <c r="J315" s="961">
        <f t="shared" ca="1" si="68"/>
        <v>0</v>
      </c>
      <c r="K315" s="961">
        <f t="shared" ca="1" si="68"/>
        <v>0</v>
      </c>
      <c r="L315" s="961">
        <f t="shared" ca="1" si="68"/>
        <v>0</v>
      </c>
      <c r="M315" s="961">
        <f t="shared" ca="1" si="68"/>
        <v>0</v>
      </c>
      <c r="N315" s="959">
        <f t="shared" ca="1" si="68"/>
        <v>0</v>
      </c>
      <c r="O315" s="326" t="str">
        <f>IF(MID(P315,7,1)="D","  ","")</f>
        <v/>
      </c>
      <c r="P315" s="324" t="s">
        <v>172</v>
      </c>
    </row>
    <row r="316" spans="1:16" ht="11.25" hidden="1" customHeight="1" x14ac:dyDescent="0.35">
      <c r="A316" s="362" t="s">
        <v>6258</v>
      </c>
      <c r="B316" s="381">
        <v>0</v>
      </c>
      <c r="C316" s="380">
        <f>C312</f>
        <v>0</v>
      </c>
      <c r="D316" s="1182">
        <v>1</v>
      </c>
      <c r="E316" s="1174" t="s">
        <v>388</v>
      </c>
      <c r="F316" s="375"/>
      <c r="G316" s="376"/>
      <c r="H316" s="376"/>
      <c r="I316" s="376"/>
      <c r="J316" s="376"/>
      <c r="K316" s="376"/>
      <c r="L316" s="376"/>
      <c r="M316" s="376"/>
      <c r="N316" s="373"/>
      <c r="O316" s="326"/>
      <c r="P316" s="324" t="s">
        <v>174</v>
      </c>
    </row>
    <row r="317" spans="1:16" ht="11.25" hidden="1" customHeight="1" x14ac:dyDescent="0.35">
      <c r="A317" s="362" t="s">
        <v>6259</v>
      </c>
      <c r="B317" s="381">
        <v>1</v>
      </c>
      <c r="C317" s="374" t="str">
        <f>""&amp;C313</f>
        <v/>
      </c>
      <c r="D317" s="1182">
        <v>1</v>
      </c>
      <c r="E317" s="1176" t="s">
        <v>389</v>
      </c>
      <c r="F317" s="375"/>
      <c r="G317" s="376"/>
      <c r="H317" s="376"/>
      <c r="I317" s="376"/>
      <c r="J317" s="376"/>
      <c r="K317" s="376"/>
      <c r="L317" s="376"/>
      <c r="M317" s="376"/>
      <c r="N317" s="376"/>
      <c r="O317" s="326"/>
      <c r="P317" s="324" t="s">
        <v>174</v>
      </c>
    </row>
    <row r="318" spans="1:16" ht="11.25" customHeight="1" x14ac:dyDescent="0.35">
      <c r="A318" s="382"/>
      <c r="B318" s="383" t="s">
        <v>390</v>
      </c>
      <c r="C318" s="384"/>
      <c r="D318" s="1184"/>
      <c r="E318" s="385" t="s">
        <v>391</v>
      </c>
      <c r="F318" s="955">
        <f t="shared" ref="F318:M318" ca="1" si="69">IF(OR(AND(F$5=0,NoZeroCol=1),AND(F$5=-99,NoResCol=1)),0,+F$1123+F$1124+F$1126+F$1128+OFFSET(F$151,-2,0)+OFFSET(F$161,-2,0)+OFFSET(F$171,-2,0)+OFFSET(F$181,-2,0)+OFFSET(F$191,-2,0)+OFFSET(F$201,-2,0)+OFFSET(F$211,-2,0)+OFFSET(F$221,-2,0)+OFFSET(F$231,-2,0)+OFFSET(F$241,-2,0)+OFFSET(F$251,-2,0)+OFFSET(F$261,-2,0)+OFFSET(F$271,-2,0)+OFFSET(F$281,-2,0)+OFFSET(F$291,-2,0)+OFFSET(F$301,-2,0)+OFFSET(F$311,-2,0)-F$319-F$321)</f>
        <v>0</v>
      </c>
      <c r="G318" s="966">
        <f t="shared" ca="1" si="69"/>
        <v>0</v>
      </c>
      <c r="H318" s="966">
        <f t="shared" ca="1" si="69"/>
        <v>-8100000</v>
      </c>
      <c r="I318" s="966">
        <f t="shared" ca="1" si="69"/>
        <v>0</v>
      </c>
      <c r="J318" s="966">
        <f t="shared" ca="1" si="69"/>
        <v>-270000</v>
      </c>
      <c r="K318" s="966">
        <f t="shared" ca="1" si="69"/>
        <v>0</v>
      </c>
      <c r="L318" s="966">
        <f t="shared" ca="1" si="69"/>
        <v>-135000</v>
      </c>
      <c r="M318" s="966">
        <f t="shared" ca="1" si="69"/>
        <v>0</v>
      </c>
      <c r="N318" s="962"/>
      <c r="O318" s="386"/>
      <c r="P318" s="324" t="s">
        <v>392</v>
      </c>
    </row>
    <row r="319" spans="1:16" ht="11.25" customHeight="1" x14ac:dyDescent="0.35">
      <c r="A319" s="382"/>
      <c r="B319" s="387" t="s">
        <v>393</v>
      </c>
      <c r="C319" s="329"/>
      <c r="D319" s="1130"/>
      <c r="E319" s="329" t="s">
        <v>394</v>
      </c>
      <c r="F319" s="967"/>
      <c r="G319" s="968">
        <f t="shared" ref="G319:M319" si="70">IF(OR(AND(G$5=0,NoZeroCol=1),AND(G$5=-99,NoResCol=1)),0,+G$1124+G$1126+G$1129+G$1131+G$152+G$162+G$172+G$182+G$192+G$202+G$212+G$222+G$232+G$242+G$252+G$262+G$272+G$282+G$292+G$302+G$312-G$321)</f>
        <v>0</v>
      </c>
      <c r="H319" s="968">
        <f t="shared" si="70"/>
        <v>0</v>
      </c>
      <c r="I319" s="968">
        <f t="shared" si="70"/>
        <v>0</v>
      </c>
      <c r="J319" s="968">
        <f t="shared" si="70"/>
        <v>0</v>
      </c>
      <c r="K319" s="968">
        <f t="shared" si="70"/>
        <v>0</v>
      </c>
      <c r="L319" s="968">
        <f t="shared" si="70"/>
        <v>0</v>
      </c>
      <c r="M319" s="968">
        <f t="shared" si="70"/>
        <v>0</v>
      </c>
      <c r="N319" s="963">
        <f>IF(OR(AND(N$5=0,NoZeroCol=1),AND(N$5=-99,NoResCol=1)),0,+N$1123+N$1124+N$1126+N$1129+N$1131+N$152+N$162+N$172+N$182+N$192+N$202+N$212+N$222+N$232+N$242+N$252+N$262+N$272+N$282+N$292+N$302+N$312-N$321)</f>
        <v>4769419.43359375</v>
      </c>
      <c r="O319" s="386"/>
      <c r="P319" s="324" t="s">
        <v>71</v>
      </c>
    </row>
    <row r="320" spans="1:16" ht="11.25" customHeight="1" x14ac:dyDescent="0.35">
      <c r="A320" s="388"/>
      <c r="B320" s="387" t="s">
        <v>395</v>
      </c>
      <c r="C320" s="329"/>
      <c r="D320" s="1130"/>
      <c r="E320" s="329" t="s">
        <v>396</v>
      </c>
      <c r="F320" s="967">
        <f t="shared" ref="F320:M320" ca="1" si="71">IF(OR(AND(F$5=0,NoZeroCol=1),AND(F$5=-99,NoResCol=1)),0,+F$1125+F$1130+OFFSET(F$151,-1,0)+OFFSET(F$161,-1,0)+OFFSET(F$171,-1,0)+OFFSET(F$181,-1,0)+OFFSET(F$191,-1,0)+OFFSET(F$201,-1,0)+OFFSET(F$211,-1,0)+OFFSET(F$221,-1,0)+OFFSET(F$231,-1,0)+OFFSET(F$241,-1,0)+OFFSET(F$251,-1,0)+OFFSET(F$261,-1,0)+OFFSET(F$271,-1,0)+OFFSET(F$281,-1,0)+OFFSET(F$291,-1,0)+OFFSET(F$301,-1,0)+OFFSET(F$311,-1,0))</f>
        <v>0</v>
      </c>
      <c r="G320" s="968">
        <f t="shared" ca="1" si="71"/>
        <v>0</v>
      </c>
      <c r="H320" s="968">
        <f t="shared" ca="1" si="71"/>
        <v>-233000.00000000009</v>
      </c>
      <c r="I320" s="968">
        <f t="shared" ca="1" si="71"/>
        <v>-907125</v>
      </c>
      <c r="J320" s="968">
        <f t="shared" ca="1" si="71"/>
        <v>-798843.75</v>
      </c>
      <c r="K320" s="968">
        <f t="shared" ca="1" si="71"/>
        <v>-667007.8125</v>
      </c>
      <c r="L320" s="968">
        <f t="shared" ca="1" si="71"/>
        <v>-601880.859375</v>
      </c>
      <c r="M320" s="968">
        <f t="shared" ca="1" si="71"/>
        <v>-527723.14453125</v>
      </c>
      <c r="N320" s="963"/>
      <c r="O320" s="386"/>
      <c r="P320" s="324" t="s">
        <v>71</v>
      </c>
    </row>
    <row r="321" spans="1:16" ht="11.25" customHeight="1" x14ac:dyDescent="0.35">
      <c r="A321" s="388"/>
      <c r="B321" s="389" t="s">
        <v>397</v>
      </c>
      <c r="C321" s="390"/>
      <c r="D321" s="1165"/>
      <c r="E321" s="390" t="s">
        <v>398</v>
      </c>
      <c r="F321" s="957"/>
      <c r="G321" s="958">
        <f t="shared" ref="G321:N321" si="72">IF(OR(AND(G$5=0,NoZeroCol=1),AND(G$5=-99,NoResCol=1)),0,+G$1126+G$1131+G$153+G$163+G$173+G$183+G$193+G$203+G$213+G$223+G$233+G$243+G$253+G$263+G$273+G$283+G$293+G$303+G$313)</f>
        <v>0</v>
      </c>
      <c r="H321" s="958">
        <f t="shared" si="72"/>
        <v>0</v>
      </c>
      <c r="I321" s="958">
        <f t="shared" si="72"/>
        <v>0</v>
      </c>
      <c r="J321" s="958">
        <f t="shared" si="72"/>
        <v>0</v>
      </c>
      <c r="K321" s="958">
        <f t="shared" si="72"/>
        <v>0</v>
      </c>
      <c r="L321" s="958">
        <f t="shared" si="72"/>
        <v>0</v>
      </c>
      <c r="M321" s="958">
        <f t="shared" si="72"/>
        <v>0</v>
      </c>
      <c r="N321" s="412">
        <f t="shared" si="72"/>
        <v>-3201919.43359375</v>
      </c>
      <c r="O321" s="386"/>
      <c r="P321" s="324" t="s">
        <v>71</v>
      </c>
    </row>
    <row r="322" spans="1:16" ht="11.25" customHeight="1" x14ac:dyDescent="0.35">
      <c r="A322" s="388"/>
      <c r="B322" s="389" t="s">
        <v>77</v>
      </c>
      <c r="C322" s="390"/>
      <c r="D322" s="1165"/>
      <c r="E322" s="390" t="s">
        <v>399</v>
      </c>
      <c r="F322" s="957">
        <f t="shared" ref="F322:N322" ca="1" si="73">+F$21+F$31+F$41+F$51+F$61+F$71+F$81+F$91+F$101+F$111+F$121+F$131+F$141+F$151+F$161+F$171+F$181+F$191+F$201+F$211+F$221+F$231+F$241+F$251+F$261+F$271+F$281+F$291+F$301+F$311</f>
        <v>0</v>
      </c>
      <c r="G322" s="957">
        <f t="shared" ca="1" si="73"/>
        <v>0</v>
      </c>
      <c r="H322" s="957">
        <f t="shared" ca="1" si="73"/>
        <v>7867000</v>
      </c>
      <c r="I322" s="957">
        <f t="shared" ca="1" si="73"/>
        <v>6959875</v>
      </c>
      <c r="J322" s="957">
        <f t="shared" ca="1" si="73"/>
        <v>6431031.25</v>
      </c>
      <c r="K322" s="957">
        <f t="shared" ca="1" si="73"/>
        <v>5764023.4375</v>
      </c>
      <c r="L322" s="957">
        <f t="shared" ca="1" si="73"/>
        <v>5297142.578125</v>
      </c>
      <c r="M322" s="957">
        <f t="shared" ca="1" si="73"/>
        <v>4769419.43359375</v>
      </c>
      <c r="N322" s="367">
        <f t="shared" ca="1" si="73"/>
        <v>0</v>
      </c>
      <c r="O322" s="386"/>
      <c r="P322" s="324" t="s">
        <v>392</v>
      </c>
    </row>
    <row r="323" spans="1:16" ht="11.25" hidden="1" customHeight="1" x14ac:dyDescent="0.35">
      <c r="A323" s="388"/>
      <c r="B323" s="391" t="s">
        <v>400</v>
      </c>
      <c r="C323" s="392"/>
      <c r="D323" s="1185"/>
      <c r="E323" s="329" t="s">
        <v>401</v>
      </c>
      <c r="F323" s="967"/>
      <c r="G323" s="969"/>
      <c r="H323" s="969"/>
      <c r="I323" s="969"/>
      <c r="J323" s="969"/>
      <c r="K323" s="969"/>
      <c r="L323" s="969"/>
      <c r="M323" s="969"/>
      <c r="N323" s="964"/>
      <c r="O323" s="386"/>
      <c r="P323" s="324" t="s">
        <v>392</v>
      </c>
    </row>
    <row r="324" spans="1:16" ht="11.25" hidden="1" customHeight="1" x14ac:dyDescent="0.35">
      <c r="A324" s="388"/>
      <c r="B324" s="393" t="s">
        <v>393</v>
      </c>
      <c r="C324" s="392"/>
      <c r="D324" s="1185"/>
      <c r="E324" s="329" t="s">
        <v>402</v>
      </c>
      <c r="F324" s="967"/>
      <c r="G324" s="969">
        <f t="shared" ref="G324:M324" si="74">IF(OR(AND(G$5=0,NoZeroCol=1),AND(G$5=-99,NoResCol=1)),0,+G$1137+G$1139+G$156+G$166+G$176+G$186+G$196+G$206+G$216+G$226+G$236+G$246+G$256+G$266+G$276+G$286+G$296+G$306+G$316-G$326)</f>
        <v>0</v>
      </c>
      <c r="H324" s="969">
        <f t="shared" si="74"/>
        <v>0</v>
      </c>
      <c r="I324" s="969">
        <f t="shared" si="74"/>
        <v>0</v>
      </c>
      <c r="J324" s="969">
        <f t="shared" si="74"/>
        <v>0</v>
      </c>
      <c r="K324" s="969">
        <f t="shared" si="74"/>
        <v>0</v>
      </c>
      <c r="L324" s="969">
        <f t="shared" si="74"/>
        <v>0</v>
      </c>
      <c r="M324" s="969">
        <f t="shared" si="74"/>
        <v>0</v>
      </c>
      <c r="N324" s="964">
        <f>IF(OR(AND(N$5=0,NoZeroCol=1),AND(N$5=-99,NoResCol=1)),0,+N$1123+N$1137+N$1139+N$156+N$166+N$176+N$186+N$196+N$206+N$216+N$226+N$236+N$246+N$256+N$266+N$276+N$286+N$296+N$306+N$316-N$326)</f>
        <v>8505000</v>
      </c>
      <c r="O324" s="386"/>
      <c r="P324" s="324" t="s">
        <v>71</v>
      </c>
    </row>
    <row r="325" spans="1:16" ht="11.25" hidden="1" customHeight="1" x14ac:dyDescent="0.35">
      <c r="A325" s="388"/>
      <c r="B325" s="393" t="s">
        <v>67</v>
      </c>
      <c r="C325" s="392"/>
      <c r="D325" s="1185"/>
      <c r="E325" s="329" t="s">
        <v>403</v>
      </c>
      <c r="F325" s="967">
        <f t="shared" ref="F325:M325" ca="1" si="75">IF(OR(AND(F$5=0,NoZeroCol=1),AND(F$5=-99,NoResCol=1)),0,+F$1138+OFFSET(F$155,-1,0)+OFFSET(F$165,-1,0)+OFFSET(F$175,-1,0)+OFFSET(F$185,-1,0)+OFFSET(F$195,-1,0)+OFFSET(F$205,-1,0)+OFFSET(F$215,-1,0)+OFFSET(F$225,-1,0)+OFFSET(F$235,-1,0)+OFFSET(F$245,-1,0)+OFFSET(F$255,-1,0)+OFFSET(F$265,-1,0)+OFFSET(F$275,-1,0)+OFFSET(F$285,-1,0)+OFFSET(F$295,-1,0)+OFFSET(F$305,-1,0)+OFFSET(F$315,-1,0))</f>
        <v>0</v>
      </c>
      <c r="G325" s="970">
        <f t="shared" ca="1" si="75"/>
        <v>0</v>
      </c>
      <c r="H325" s="970">
        <f t="shared" ca="1" si="75"/>
        <v>0</v>
      </c>
      <c r="I325" s="970">
        <f t="shared" ca="1" si="75"/>
        <v>0</v>
      </c>
      <c r="J325" s="970">
        <f t="shared" ca="1" si="75"/>
        <v>0</v>
      </c>
      <c r="K325" s="970">
        <f t="shared" ca="1" si="75"/>
        <v>0</v>
      </c>
      <c r="L325" s="970">
        <f t="shared" ca="1" si="75"/>
        <v>0</v>
      </c>
      <c r="M325" s="970">
        <f t="shared" ca="1" si="75"/>
        <v>0</v>
      </c>
      <c r="N325" s="965"/>
      <c r="O325" s="386"/>
      <c r="P325" s="324" t="s">
        <v>71</v>
      </c>
    </row>
    <row r="326" spans="1:16" ht="11.25" hidden="1" customHeight="1" x14ac:dyDescent="0.35">
      <c r="A326" s="388"/>
      <c r="B326" s="394" t="s">
        <v>397</v>
      </c>
      <c r="C326" s="395"/>
      <c r="D326" s="1186"/>
      <c r="E326" s="390" t="s">
        <v>404</v>
      </c>
      <c r="F326" s="957"/>
      <c r="G326" s="961">
        <f t="shared" ref="G326:N326" si="76">IF(OR(AND(G$5=0,NoZeroCol=1),AND(G$5=-99,NoResCol=1)),0,+G$1139+G$157+G$167+G$177+G$187+G$197+G$207+G$217+G$227+G$237+G$247+G$257+G$267+G$277+G$287+G$297+G$307+G$317)</f>
        <v>0</v>
      </c>
      <c r="H326" s="961">
        <f t="shared" si="76"/>
        <v>0</v>
      </c>
      <c r="I326" s="961">
        <f t="shared" si="76"/>
        <v>0</v>
      </c>
      <c r="J326" s="961">
        <f t="shared" si="76"/>
        <v>0</v>
      </c>
      <c r="K326" s="961">
        <f t="shared" si="76"/>
        <v>0</v>
      </c>
      <c r="L326" s="961">
        <f t="shared" si="76"/>
        <v>0</v>
      </c>
      <c r="M326" s="961">
        <f t="shared" si="76"/>
        <v>0</v>
      </c>
      <c r="N326" s="959">
        <f t="shared" si="76"/>
        <v>-6937500</v>
      </c>
      <c r="O326" s="386"/>
      <c r="P326" s="324" t="s">
        <v>71</v>
      </c>
    </row>
    <row r="327" spans="1:16" ht="11.25" hidden="1" customHeight="1" x14ac:dyDescent="0.35">
      <c r="A327" s="388"/>
      <c r="B327" s="394" t="s">
        <v>83</v>
      </c>
      <c r="C327" s="395"/>
      <c r="D327" s="1186"/>
      <c r="E327" s="390" t="s">
        <v>405</v>
      </c>
      <c r="F327" s="957">
        <f t="shared" ref="F327:N327" ca="1" si="77">IF(OR(AND(F$5=0,NoZeroCol=1),AND(F$5=-99,NoResCol=1)),0,+F$1140+F$155+F$165+F$175+F$185+F$195+F$205+F$215+F$225+F$235+F$245+F$255+F$265+F$275+F$285+F$295+F$305+F$315)</f>
        <v>0</v>
      </c>
      <c r="G327" s="960">
        <f t="shared" si="77"/>
        <v>0</v>
      </c>
      <c r="H327" s="960">
        <f t="shared" ca="1" si="77"/>
        <v>25650000</v>
      </c>
      <c r="I327" s="960">
        <f t="shared" ca="1" si="77"/>
        <v>8100000</v>
      </c>
      <c r="J327" s="960">
        <f t="shared" ca="1" si="77"/>
        <v>8370000</v>
      </c>
      <c r="K327" s="960">
        <f t="shared" ca="1" si="77"/>
        <v>8370000</v>
      </c>
      <c r="L327" s="960">
        <f t="shared" ca="1" si="77"/>
        <v>8505000</v>
      </c>
      <c r="M327" s="960">
        <f t="shared" ca="1" si="77"/>
        <v>8505000</v>
      </c>
      <c r="N327" s="379">
        <f t="shared" ca="1" si="77"/>
        <v>0</v>
      </c>
      <c r="O327" s="386"/>
      <c r="P327" s="324" t="s">
        <v>392</v>
      </c>
    </row>
    <row r="328" spans="1:16" ht="5.15" hidden="1" customHeight="1" x14ac:dyDescent="0.35">
      <c r="A328" s="336"/>
      <c r="B328" s="329"/>
      <c r="C328" s="329"/>
      <c r="D328" s="396"/>
      <c r="E328" s="397" t="s">
        <v>39</v>
      </c>
      <c r="F328" s="322"/>
      <c r="G328" s="388"/>
      <c r="H328" s="388"/>
      <c r="I328" s="388"/>
      <c r="J328" s="388"/>
      <c r="K328" s="388"/>
      <c r="L328" s="388"/>
      <c r="M328" s="388"/>
      <c r="N328" s="388"/>
      <c r="O328" s="326"/>
      <c r="P328" s="324" t="s">
        <v>406</v>
      </c>
    </row>
    <row r="329" spans="1:16" ht="11.25" hidden="1" customHeight="1" x14ac:dyDescent="0.35">
      <c r="A329" s="336"/>
      <c r="B329" s="398" t="s">
        <v>407</v>
      </c>
      <c r="C329" s="399"/>
      <c r="D329" s="1162"/>
      <c r="E329" s="385" t="s">
        <v>408</v>
      </c>
      <c r="F329" s="972"/>
      <c r="G329" s="973"/>
      <c r="H329" s="973"/>
      <c r="I329" s="973"/>
      <c r="J329" s="973"/>
      <c r="K329" s="973"/>
      <c r="L329" s="973"/>
      <c r="M329" s="973"/>
      <c r="N329" s="413"/>
      <c r="O329" s="326"/>
      <c r="P329" s="324" t="s">
        <v>406</v>
      </c>
    </row>
    <row r="330" spans="1:16" ht="11.25" hidden="1" customHeight="1" x14ac:dyDescent="0.35">
      <c r="A330" s="336"/>
      <c r="B330" s="400" t="s">
        <v>409</v>
      </c>
      <c r="C330" s="401"/>
      <c r="D330" s="1166"/>
      <c r="E330" s="329" t="s">
        <v>410</v>
      </c>
      <c r="F330" s="974"/>
      <c r="G330" s="975"/>
      <c r="H330" s="975"/>
      <c r="I330" s="975"/>
      <c r="J330" s="975"/>
      <c r="K330" s="975"/>
      <c r="L330" s="975"/>
      <c r="M330" s="975"/>
      <c r="N330" s="414"/>
      <c r="O330" s="326"/>
      <c r="P330" s="324" t="s">
        <v>411</v>
      </c>
    </row>
    <row r="331" spans="1:16" ht="11.25" hidden="1" customHeight="1" x14ac:dyDescent="0.35">
      <c r="A331" s="336"/>
      <c r="B331" s="400" t="s">
        <v>412</v>
      </c>
      <c r="C331" s="401"/>
      <c r="D331" s="1166"/>
      <c r="E331" s="329" t="s">
        <v>413</v>
      </c>
      <c r="F331" s="974"/>
      <c r="G331" s="975"/>
      <c r="H331" s="975"/>
      <c r="I331" s="975"/>
      <c r="J331" s="975"/>
      <c r="K331" s="975"/>
      <c r="L331" s="975"/>
      <c r="M331" s="975"/>
      <c r="N331" s="414"/>
      <c r="O331" s="326"/>
      <c r="P331" s="324" t="s">
        <v>411</v>
      </c>
    </row>
    <row r="332" spans="1:16" ht="11.25" hidden="1" customHeight="1" x14ac:dyDescent="0.35">
      <c r="A332" s="336"/>
      <c r="B332" s="402" t="s">
        <v>414</v>
      </c>
      <c r="C332" s="403"/>
      <c r="D332" s="1163"/>
      <c r="E332" s="390" t="s">
        <v>415</v>
      </c>
      <c r="F332" s="976"/>
      <c r="G332" s="977"/>
      <c r="H332" s="977"/>
      <c r="I332" s="977"/>
      <c r="J332" s="977"/>
      <c r="K332" s="977"/>
      <c r="L332" s="977"/>
      <c r="M332" s="977"/>
      <c r="N332" s="971"/>
      <c r="O332" s="326"/>
      <c r="P332" s="324" t="s">
        <v>411</v>
      </c>
    </row>
    <row r="333" spans="1:16" ht="11.25" hidden="1" customHeight="1" x14ac:dyDescent="0.35">
      <c r="A333" s="336"/>
      <c r="B333" s="404" t="s">
        <v>416</v>
      </c>
      <c r="C333" s="405"/>
      <c r="D333" s="1167"/>
      <c r="E333" s="342" t="s">
        <v>417</v>
      </c>
      <c r="F333" s="978"/>
      <c r="G333" s="979"/>
      <c r="H333" s="979"/>
      <c r="I333" s="979"/>
      <c r="J333" s="979"/>
      <c r="K333" s="979"/>
      <c r="L333" s="979"/>
      <c r="M333" s="979"/>
      <c r="N333" s="426"/>
      <c r="O333" s="326"/>
      <c r="P333" s="324" t="s">
        <v>406</v>
      </c>
    </row>
    <row r="334" spans="1:16" ht="5.15" hidden="1" customHeight="1" x14ac:dyDescent="0.35">
      <c r="A334" s="406"/>
      <c r="B334" s="329"/>
      <c r="C334" s="329"/>
      <c r="D334" s="396"/>
      <c r="E334" s="329" t="s">
        <v>39</v>
      </c>
      <c r="F334" s="329"/>
      <c r="G334" s="407"/>
      <c r="H334" s="407"/>
      <c r="I334" s="407"/>
      <c r="J334" s="407"/>
      <c r="K334" s="407"/>
      <c r="L334" s="407"/>
      <c r="M334" s="407"/>
      <c r="N334" s="407"/>
      <c r="O334" s="326"/>
      <c r="P334" s="324" t="s">
        <v>406</v>
      </c>
    </row>
    <row r="335" spans="1:16" ht="11.25" hidden="1" customHeight="1" x14ac:dyDescent="0.35">
      <c r="A335" s="406"/>
      <c r="B335" s="408" t="s">
        <v>418</v>
      </c>
      <c r="C335" s="409"/>
      <c r="D335" s="1097" t="s">
        <v>419</v>
      </c>
      <c r="E335" s="342" t="s">
        <v>420</v>
      </c>
      <c r="F335" s="946" t="str">
        <f t="shared" ref="F335:N335" si="78">F$16</f>
        <v>8/2019</v>
      </c>
      <c r="G335" s="947" t="str">
        <f t="shared" si="78"/>
        <v>9/2019</v>
      </c>
      <c r="H335" s="948" t="str">
        <f t="shared" si="78"/>
        <v>12/2019</v>
      </c>
      <c r="I335" s="948" t="str">
        <f t="shared" si="78"/>
        <v>12/2020</v>
      </c>
      <c r="J335" s="948" t="str">
        <f t="shared" si="78"/>
        <v>12/2021</v>
      </c>
      <c r="K335" s="948" t="str">
        <f t="shared" si="78"/>
        <v>12/2022</v>
      </c>
      <c r="L335" s="948" t="str">
        <f t="shared" si="78"/>
        <v>12/2023</v>
      </c>
      <c r="M335" s="948" t="str">
        <f t="shared" si="78"/>
        <v>12/2024</v>
      </c>
      <c r="N335" s="943" t="str">
        <f t="shared" ca="1" si="78"/>
        <v>Residual</v>
      </c>
      <c r="O335" s="326"/>
      <c r="P335" s="324" t="s">
        <v>406</v>
      </c>
    </row>
    <row r="336" spans="1:16" ht="11.25" hidden="1" customHeight="1" x14ac:dyDescent="0.35">
      <c r="A336" s="406"/>
      <c r="B336" s="410" t="s">
        <v>421</v>
      </c>
      <c r="C336" s="399"/>
      <c r="D336" s="1162"/>
      <c r="E336" s="385" t="s">
        <v>422</v>
      </c>
      <c r="F336" s="981"/>
      <c r="G336" s="973">
        <f t="shared" ref="G336:L336" si="79">-G329</f>
        <v>0</v>
      </c>
      <c r="H336" s="973">
        <f t="shared" si="79"/>
        <v>0</v>
      </c>
      <c r="I336" s="973">
        <f t="shared" si="79"/>
        <v>0</v>
      </c>
      <c r="J336" s="973">
        <f t="shared" si="79"/>
        <v>0</v>
      </c>
      <c r="K336" s="973">
        <f t="shared" si="79"/>
        <v>0</v>
      </c>
      <c r="L336" s="973">
        <f t="shared" si="79"/>
        <v>0</v>
      </c>
      <c r="M336" s="973">
        <f t="shared" ref="M336" si="80">-M329</f>
        <v>0</v>
      </c>
      <c r="N336" s="413"/>
      <c r="O336" s="326"/>
      <c r="P336" s="324" t="s">
        <v>411</v>
      </c>
    </row>
    <row r="337" spans="1:16" ht="11.25" hidden="1" customHeight="1" x14ac:dyDescent="0.35">
      <c r="A337" s="406"/>
      <c r="B337" s="402" t="s">
        <v>423</v>
      </c>
      <c r="C337" s="403"/>
      <c r="D337" s="1163"/>
      <c r="E337" s="390" t="s">
        <v>424</v>
      </c>
      <c r="F337" s="982"/>
      <c r="G337" s="983"/>
      <c r="H337" s="983">
        <f t="shared" ref="H337:M337" ca="1" si="81">OFFSET(H337,0,-1)*(1+((1+0/100)^(1/(12/H$12))-1))</f>
        <v>0</v>
      </c>
      <c r="I337" s="983">
        <f t="shared" ca="1" si="81"/>
        <v>0</v>
      </c>
      <c r="J337" s="983">
        <f t="shared" ca="1" si="81"/>
        <v>0</v>
      </c>
      <c r="K337" s="983">
        <f t="shared" ca="1" si="81"/>
        <v>0</v>
      </c>
      <c r="L337" s="983">
        <f t="shared" ca="1" si="81"/>
        <v>0</v>
      </c>
      <c r="M337" s="983">
        <f t="shared" ca="1" si="81"/>
        <v>0</v>
      </c>
      <c r="N337" s="971"/>
      <c r="O337" s="326"/>
      <c r="P337" s="324" t="s">
        <v>411</v>
      </c>
    </row>
    <row r="338" spans="1:16" ht="11.25" hidden="1" customHeight="1" x14ac:dyDescent="0.35">
      <c r="A338" s="406"/>
      <c r="B338" s="411" t="s">
        <v>425</v>
      </c>
      <c r="C338" s="385"/>
      <c r="D338" s="1164"/>
      <c r="E338" s="385" t="s">
        <v>426</v>
      </c>
      <c r="F338" s="984"/>
      <c r="G338" s="985"/>
      <c r="H338" s="985">
        <f t="shared" ref="H338:M338" ca="1" si="82">OFFSET(H$795,0,-1)</f>
        <v>0</v>
      </c>
      <c r="I338" s="985">
        <f t="shared" ca="1" si="82"/>
        <v>0</v>
      </c>
      <c r="J338" s="985">
        <f t="shared" ca="1" si="82"/>
        <v>0</v>
      </c>
      <c r="K338" s="985">
        <f t="shared" ca="1" si="82"/>
        <v>0</v>
      </c>
      <c r="L338" s="985">
        <f t="shared" ca="1" si="82"/>
        <v>0</v>
      </c>
      <c r="M338" s="985">
        <f t="shared" ca="1" si="82"/>
        <v>0</v>
      </c>
      <c r="N338" s="980"/>
      <c r="O338" s="326"/>
      <c r="P338" s="324" t="s">
        <v>427</v>
      </c>
    </row>
    <row r="339" spans="1:16" ht="11.25" hidden="1" customHeight="1" x14ac:dyDescent="0.35">
      <c r="A339" s="406"/>
      <c r="B339" s="387" t="s">
        <v>428</v>
      </c>
      <c r="C339" s="329"/>
      <c r="D339" s="1130"/>
      <c r="E339" s="329" t="s">
        <v>429</v>
      </c>
      <c r="F339" s="986"/>
      <c r="G339" s="987"/>
      <c r="H339" s="987">
        <f t="shared" ref="H339:M339" ca="1" si="83">OFFSET(H$796,0,-1)</f>
        <v>0</v>
      </c>
      <c r="I339" s="987">
        <f t="shared" ca="1" si="83"/>
        <v>0</v>
      </c>
      <c r="J339" s="987">
        <f t="shared" ca="1" si="83"/>
        <v>0</v>
      </c>
      <c r="K339" s="987">
        <f t="shared" ca="1" si="83"/>
        <v>0</v>
      </c>
      <c r="L339" s="987">
        <f t="shared" ca="1" si="83"/>
        <v>0</v>
      </c>
      <c r="M339" s="987">
        <f t="shared" ca="1" si="83"/>
        <v>0</v>
      </c>
      <c r="N339" s="963"/>
      <c r="O339" s="326"/>
      <c r="P339" s="324" t="s">
        <v>427</v>
      </c>
    </row>
    <row r="340" spans="1:16" ht="11.25" hidden="1" customHeight="1" x14ac:dyDescent="0.35">
      <c r="A340" s="406"/>
      <c r="B340" s="387" t="s">
        <v>430</v>
      </c>
      <c r="C340" s="329"/>
      <c r="D340" s="1130"/>
      <c r="E340" s="329" t="s">
        <v>431</v>
      </c>
      <c r="F340" s="986"/>
      <c r="G340" s="987"/>
      <c r="H340" s="987">
        <f t="shared" ref="H340:M340" ca="1" si="84">OFFSET(H$797,0,-1)</f>
        <v>0</v>
      </c>
      <c r="I340" s="987">
        <f t="shared" ca="1" si="84"/>
        <v>0</v>
      </c>
      <c r="J340" s="987">
        <f t="shared" ca="1" si="84"/>
        <v>0</v>
      </c>
      <c r="K340" s="987">
        <f t="shared" ca="1" si="84"/>
        <v>0</v>
      </c>
      <c r="L340" s="987">
        <f t="shared" ca="1" si="84"/>
        <v>0</v>
      </c>
      <c r="M340" s="987">
        <f t="shared" ca="1" si="84"/>
        <v>0</v>
      </c>
      <c r="N340" s="963"/>
      <c r="O340" s="326"/>
      <c r="P340" s="324" t="s">
        <v>427</v>
      </c>
    </row>
    <row r="341" spans="1:16" ht="11.25" hidden="1" customHeight="1" x14ac:dyDescent="0.35">
      <c r="A341" s="406"/>
      <c r="B341" s="387" t="s">
        <v>432</v>
      </c>
      <c r="C341" s="329"/>
      <c r="D341" s="1130"/>
      <c r="E341" s="329" t="s">
        <v>433</v>
      </c>
      <c r="F341" s="986"/>
      <c r="G341" s="987"/>
      <c r="H341" s="987">
        <f t="shared" ref="H341:M341" ca="1" si="85">OFFSET(H$798,0,-1)</f>
        <v>0</v>
      </c>
      <c r="I341" s="987">
        <f t="shared" ca="1" si="85"/>
        <v>0</v>
      </c>
      <c r="J341" s="987">
        <f t="shared" ca="1" si="85"/>
        <v>728741.28539849073</v>
      </c>
      <c r="K341" s="987">
        <f t="shared" ca="1" si="85"/>
        <v>4782686.7525094226</v>
      </c>
      <c r="L341" s="987">
        <f t="shared" ca="1" si="85"/>
        <v>11140086.699720303</v>
      </c>
      <c r="M341" s="987">
        <f t="shared" ca="1" si="85"/>
        <v>20318636.197553631</v>
      </c>
      <c r="N341" s="963"/>
      <c r="O341" s="326"/>
      <c r="P341" s="324" t="s">
        <v>427</v>
      </c>
    </row>
    <row r="342" spans="1:16" ht="11.25" hidden="1" customHeight="1" x14ac:dyDescent="0.35">
      <c r="A342" s="406"/>
      <c r="B342" s="387" t="s">
        <v>434</v>
      </c>
      <c r="C342" s="329"/>
      <c r="D342" s="1130"/>
      <c r="E342" s="329" t="s">
        <v>435</v>
      </c>
      <c r="F342" s="986"/>
      <c r="G342" s="987"/>
      <c r="H342" s="987">
        <f t="shared" ref="H342:M342" ca="1" si="86">OFFSET(H$799,0,-1)</f>
        <v>0</v>
      </c>
      <c r="I342" s="987">
        <f t="shared" ca="1" si="86"/>
        <v>728741.28539849073</v>
      </c>
      <c r="J342" s="987">
        <f t="shared" ca="1" si="86"/>
        <v>4053945.4671109319</v>
      </c>
      <c r="K342" s="987">
        <f t="shared" ca="1" si="86"/>
        <v>6357399.94721088</v>
      </c>
      <c r="L342" s="987">
        <f t="shared" ca="1" si="86"/>
        <v>9178549.4978333283</v>
      </c>
      <c r="M342" s="987">
        <f t="shared" ca="1" si="86"/>
        <v>12565069.806720827</v>
      </c>
      <c r="N342" s="963"/>
      <c r="O342" s="326"/>
      <c r="P342" s="324" t="s">
        <v>427</v>
      </c>
    </row>
    <row r="343" spans="1:16" ht="11.25" hidden="1" customHeight="1" x14ac:dyDescent="0.35">
      <c r="A343" s="406"/>
      <c r="B343" s="389" t="s">
        <v>436</v>
      </c>
      <c r="C343" s="390"/>
      <c r="D343" s="1165"/>
      <c r="E343" s="390" t="s">
        <v>437</v>
      </c>
      <c r="F343" s="988"/>
      <c r="G343" s="989"/>
      <c r="H343" s="989">
        <f t="shared" ref="H343:M343" ca="1" si="87">OFFSET(H$801,0,-1)+OFFSET(H$802,0,-1)</f>
        <v>0</v>
      </c>
      <c r="I343" s="989">
        <f t="shared" ca="1" si="87"/>
        <v>0</v>
      </c>
      <c r="J343" s="989">
        <f t="shared" ca="1" si="87"/>
        <v>0</v>
      </c>
      <c r="K343" s="989">
        <f t="shared" ca="1" si="87"/>
        <v>0</v>
      </c>
      <c r="L343" s="989">
        <f t="shared" ca="1" si="87"/>
        <v>0</v>
      </c>
      <c r="M343" s="989">
        <f t="shared" ca="1" si="87"/>
        <v>0</v>
      </c>
      <c r="N343" s="412"/>
      <c r="O343" s="326"/>
      <c r="P343" s="324" t="s">
        <v>427</v>
      </c>
    </row>
    <row r="344" spans="1:16" ht="12" hidden="1" customHeight="1" x14ac:dyDescent="0.35">
      <c r="A344" s="406"/>
      <c r="B344" s="410" t="s">
        <v>438</v>
      </c>
      <c r="C344" s="399"/>
      <c r="D344" s="1162"/>
      <c r="E344" s="385" t="s">
        <v>439</v>
      </c>
      <c r="F344" s="981"/>
      <c r="G344" s="973">
        <f ca="1">IF(OR(AND(G$5=0,NoZeroCol=1),AND(G$5=-99,NoResCol=1)),0,IF(SUM(OFFSET($G$336,1,0):OFFSET($E$336,1,G$8))&gt;=50,IF(G336&lt;&gt;0,G336-(OFFSET(G336,1,0)/100)*(SUM(G338:G342)+OFFSET($E$343,0,G$8)*(1-TaxRateM)),0),0))</f>
        <v>0</v>
      </c>
      <c r="H344" s="973">
        <f ca="1">IF(OR(AND(H$5=0,NoZeroCol=1),AND(H$5=-99,NoResCol=1)),0,IF(SUM(OFFSET($G$336,1,0):OFFSET($E$336,1,H$8))&gt;=50,IF(H336&lt;&gt;0,H336-(OFFSET(H336,1,0)/100)*(SUM(H338:H342)+OFFSET($E$343,0,H$8)*(1-TaxRateM)),0),0))</f>
        <v>0</v>
      </c>
      <c r="I344" s="973">
        <f ca="1">IF(OR(AND(I$5=0,NoZeroCol=1),AND(I$5=-99,NoResCol=1)),0,IF(SUM(OFFSET($G$336,1,0):OFFSET($E$336,1,I$8))&gt;=50,IF(I336&lt;&gt;0,I336-(OFFSET(I336,1,0)/100)*(SUM(I338:I342)+OFFSET($E$343,0,I$8)*(1-TaxRateM)),0),0))</f>
        <v>0</v>
      </c>
      <c r="J344" s="973">
        <f ca="1">IF(OR(AND(J$5=0,NoZeroCol=1),AND(J$5=-99,NoResCol=1)),0,IF(SUM(OFFSET($G$336,1,0):OFFSET($E$336,1,J$8))&gt;=50,IF(J336&lt;&gt;0,J336-(OFFSET(J336,1,0)/100)*(SUM(J338:J342)+OFFSET($E$343,0,J$8)*(1-TaxRateM)),0),0))</f>
        <v>0</v>
      </c>
      <c r="K344" s="973">
        <f ca="1">IF(OR(AND(K$5=0,NoZeroCol=1),AND(K$5=-99,NoResCol=1)),0,IF(SUM(OFFSET($G$336,1,0):OFFSET($E$336,1,K$8))&gt;=50,IF(K336&lt;&gt;0,K336-(OFFSET(K336,1,0)/100)*(SUM(K338:K342)+OFFSET($E$343,0,K$8)*(1-TaxRateM)),0),0))</f>
        <v>0</v>
      </c>
      <c r="L344" s="973">
        <f ca="1">IF(OR(AND(L$5=0,NoZeroCol=1),AND(L$5=-99,NoResCol=1)),0,IF(SUM(OFFSET($G$336,1,0):OFFSET($E$336,1,L$8))&gt;=50,IF(L336&lt;&gt;0,L336-(OFFSET(L336,1,0)/100)*(SUM(L338:L342)+OFFSET($E$343,0,L$8)*(1-TaxRateM)),0),0))</f>
        <v>0</v>
      </c>
      <c r="M344" s="973">
        <f ca="1">IF(OR(AND(M$5=0,NoZeroCol=1),AND(M$5=-99,NoResCol=1)),0,IF(SUM(OFFSET($G$336,1,0):OFFSET($E$336,1,M$8))&gt;=50,IF(M336&lt;&gt;0,M336-(OFFSET(M336,1,0)/100)*(SUM(M338:M342)+OFFSET($E$343,0,M$8)*(1-TaxRateM)),0),0))</f>
        <v>0</v>
      </c>
      <c r="N344" s="413"/>
      <c r="O344" s="326"/>
      <c r="P344" s="324" t="s">
        <v>411</v>
      </c>
    </row>
    <row r="345" spans="1:16" ht="11.25" hidden="1" customHeight="1" x14ac:dyDescent="0.35">
      <c r="A345" s="406"/>
      <c r="B345" s="400" t="s">
        <v>440</v>
      </c>
      <c r="C345" s="401"/>
      <c r="D345" s="1166"/>
      <c r="E345" s="322" t="s">
        <v>441</v>
      </c>
      <c r="F345" s="990"/>
      <c r="G345" s="987"/>
      <c r="H345" s="987">
        <f t="shared" ref="H345:L345" ca="1" si="88">IF(GWtype=2,(H344/(1-TaxRateM))*TaxRateM,0)</f>
        <v>0</v>
      </c>
      <c r="I345" s="987">
        <f t="shared" ca="1" si="88"/>
        <v>0</v>
      </c>
      <c r="J345" s="987">
        <f t="shared" ca="1" si="88"/>
        <v>0</v>
      </c>
      <c r="K345" s="987">
        <f t="shared" ca="1" si="88"/>
        <v>0</v>
      </c>
      <c r="L345" s="987">
        <f t="shared" ca="1" si="88"/>
        <v>0</v>
      </c>
      <c r="M345" s="987">
        <f t="shared" ref="M345" ca="1" si="89">IF(GWtype=2,(M344/(1-TaxRateM))*TaxRateM,0)</f>
        <v>0</v>
      </c>
      <c r="N345" s="414"/>
      <c r="O345" s="326"/>
      <c r="P345" s="324" t="s">
        <v>411</v>
      </c>
    </row>
    <row r="346" spans="1:16" ht="11.25" hidden="1" customHeight="1" x14ac:dyDescent="0.35">
      <c r="A346" s="406"/>
      <c r="B346" s="404" t="s">
        <v>442</v>
      </c>
      <c r="C346" s="405"/>
      <c r="D346" s="1167"/>
      <c r="E346" s="397" t="s">
        <v>443</v>
      </c>
      <c r="F346" s="991"/>
      <c r="G346" s="979">
        <f t="shared" ref="G346:L346" ca="1" si="90">G344+OFFSET($E$345,0,G$8)</f>
        <v>0</v>
      </c>
      <c r="H346" s="979">
        <f t="shared" ca="1" si="90"/>
        <v>0</v>
      </c>
      <c r="I346" s="979">
        <f t="shared" ca="1" si="90"/>
        <v>0</v>
      </c>
      <c r="J346" s="979">
        <f t="shared" ca="1" si="90"/>
        <v>0</v>
      </c>
      <c r="K346" s="979">
        <f t="shared" ca="1" si="90"/>
        <v>0</v>
      </c>
      <c r="L346" s="979">
        <f t="shared" ca="1" si="90"/>
        <v>0</v>
      </c>
      <c r="M346" s="979">
        <f t="shared" ref="M346" ca="1" si="91">M344+OFFSET($E$345,0,M$8)</f>
        <v>0</v>
      </c>
      <c r="N346" s="414"/>
      <c r="O346" s="326"/>
      <c r="P346" s="324" t="s">
        <v>411</v>
      </c>
    </row>
    <row r="347" spans="1:16" ht="11.25" hidden="1" customHeight="1" x14ac:dyDescent="0.35">
      <c r="A347" s="336" t="s">
        <v>444</v>
      </c>
      <c r="B347" s="400"/>
      <c r="C347" s="415" t="s">
        <v>445</v>
      </c>
      <c r="D347" s="1168"/>
      <c r="E347" s="322" t="s">
        <v>446</v>
      </c>
      <c r="F347" s="990"/>
      <c r="G347" s="992">
        <f t="shared" ref="G347:M347" ca="1" si="92">SUMPRODUCT((MID($A$348:$A$384,6,2)="01")*(G$348:G$384))</f>
        <v>0</v>
      </c>
      <c r="H347" s="992">
        <f t="shared" ca="1" si="92"/>
        <v>0</v>
      </c>
      <c r="I347" s="992">
        <f t="shared" ca="1" si="92"/>
        <v>0</v>
      </c>
      <c r="J347" s="992">
        <f t="shared" ca="1" si="92"/>
        <v>0</v>
      </c>
      <c r="K347" s="992">
        <f t="shared" ca="1" si="92"/>
        <v>0</v>
      </c>
      <c r="L347" s="992">
        <f t="shared" ca="1" si="92"/>
        <v>0</v>
      </c>
      <c r="M347" s="992">
        <f t="shared" ca="1" si="92"/>
        <v>0</v>
      </c>
      <c r="N347" s="414"/>
      <c r="O347" s="326"/>
      <c r="P347" s="324" t="s">
        <v>411</v>
      </c>
    </row>
    <row r="348" spans="1:16" ht="11.25" hidden="1" customHeight="1" x14ac:dyDescent="0.35">
      <c r="A348" s="336" t="s">
        <v>444</v>
      </c>
      <c r="B348" s="400"/>
      <c r="C348" s="416"/>
      <c r="D348" s="1168"/>
      <c r="E348" s="329" t="s">
        <v>447</v>
      </c>
      <c r="F348" s="990"/>
      <c r="G348" s="992"/>
      <c r="H348" s="992"/>
      <c r="I348" s="992"/>
      <c r="J348" s="992"/>
      <c r="K348" s="992"/>
      <c r="L348" s="992"/>
      <c r="M348" s="992"/>
      <c r="N348" s="414"/>
      <c r="O348" s="326"/>
      <c r="P348" s="324" t="s">
        <v>448</v>
      </c>
    </row>
    <row r="349" spans="1:16" ht="16" hidden="1" customHeight="1" x14ac:dyDescent="0.35">
      <c r="A349" s="336" t="str">
        <f>"OV01-01"&amp;TEXT(IFRSAlloc01,"-00")</f>
        <v>OV01-01-00</v>
      </c>
      <c r="B349" s="400"/>
      <c r="C349" s="417" t="s">
        <v>449</v>
      </c>
      <c r="D349" s="1169"/>
      <c r="E349" s="418" t="s">
        <v>450</v>
      </c>
      <c r="F349" s="993"/>
      <c r="G349" s="994"/>
      <c r="H349" s="994"/>
      <c r="I349" s="994"/>
      <c r="J349" s="994"/>
      <c r="K349" s="994"/>
      <c r="L349" s="994"/>
      <c r="M349" s="994"/>
      <c r="N349" s="414"/>
      <c r="O349" s="326"/>
      <c r="P349" s="324" t="s">
        <v>427</v>
      </c>
    </row>
    <row r="350" spans="1:16" ht="16" hidden="1" customHeight="1" x14ac:dyDescent="0.35">
      <c r="A350" s="336" t="str">
        <f>"OV01-02"&amp;TEXT(IFRSAlloc01,"-00")</f>
        <v>OV01-02-00</v>
      </c>
      <c r="B350" s="400"/>
      <c r="C350" s="419" t="s">
        <v>395</v>
      </c>
      <c r="D350" s="1170">
        <v>0</v>
      </c>
      <c r="E350" s="420" t="s">
        <v>451</v>
      </c>
      <c r="F350" s="995"/>
      <c r="G350" s="996"/>
      <c r="H350" s="996"/>
      <c r="I350" s="996"/>
      <c r="J350" s="996"/>
      <c r="K350" s="996"/>
      <c r="L350" s="996"/>
      <c r="M350" s="996"/>
      <c r="N350" s="414"/>
      <c r="O350" s="326"/>
      <c r="P350" s="324" t="s">
        <v>427</v>
      </c>
    </row>
    <row r="351" spans="1:16" ht="11.25" hidden="1" customHeight="1" x14ac:dyDescent="0.35">
      <c r="A351" s="336" t="str">
        <f>"OV01-03"&amp;TEXT(IFRSAlloc01,"-00")</f>
        <v>OV01-03-00</v>
      </c>
      <c r="B351" s="400"/>
      <c r="C351" s="421" t="s">
        <v>452</v>
      </c>
      <c r="D351" s="1171"/>
      <c r="E351" s="422" t="s">
        <v>453</v>
      </c>
      <c r="F351" s="997"/>
      <c r="G351" s="998">
        <f t="shared" ref="G351:M351" ca="1" si="93">OFFSET(G351,0,-1)+OFFSET(G351,-2,0)+OFFSET(G351,-1,0)</f>
        <v>0</v>
      </c>
      <c r="H351" s="998">
        <f t="shared" ca="1" si="93"/>
        <v>0</v>
      </c>
      <c r="I351" s="998">
        <f t="shared" ca="1" si="93"/>
        <v>0</v>
      </c>
      <c r="J351" s="998">
        <f t="shared" ca="1" si="93"/>
        <v>0</v>
      </c>
      <c r="K351" s="998">
        <f t="shared" ca="1" si="93"/>
        <v>0</v>
      </c>
      <c r="L351" s="998">
        <f t="shared" ca="1" si="93"/>
        <v>0</v>
      </c>
      <c r="M351" s="998">
        <f t="shared" ca="1" si="93"/>
        <v>0</v>
      </c>
      <c r="N351" s="414"/>
      <c r="O351" s="326"/>
      <c r="P351" s="324" t="s">
        <v>427</v>
      </c>
    </row>
    <row r="352" spans="1:16" ht="16" hidden="1" customHeight="1" x14ac:dyDescent="0.35">
      <c r="A352" s="336" t="str">
        <f>"OV02-01"&amp;TEXT(IFRSAlloc02,"-00")</f>
        <v>OV02-01-00</v>
      </c>
      <c r="B352" s="400"/>
      <c r="C352" s="417" t="str">
        <f>$C$349</f>
        <v xml:space="preserve">Amount allocated on </v>
      </c>
      <c r="D352" s="1169"/>
      <c r="E352" s="418" t="s">
        <v>454</v>
      </c>
      <c r="F352" s="993"/>
      <c r="G352" s="994"/>
      <c r="H352" s="994"/>
      <c r="I352" s="994"/>
      <c r="J352" s="994"/>
      <c r="K352" s="994"/>
      <c r="L352" s="994"/>
      <c r="M352" s="994"/>
      <c r="N352" s="414"/>
      <c r="O352" s="326"/>
      <c r="P352" s="324" t="s">
        <v>455</v>
      </c>
    </row>
    <row r="353" spans="1:16" ht="16" hidden="1" customHeight="1" x14ac:dyDescent="0.35">
      <c r="A353" s="336" t="str">
        <f>"OV02-02"&amp;TEXT(IFRSAlloc02,"-00")</f>
        <v>OV02-02-00</v>
      </c>
      <c r="B353" s="400"/>
      <c r="C353" s="419" t="str">
        <f>$C$350</f>
        <v>Depreciation</v>
      </c>
      <c r="D353" s="1170">
        <v>0</v>
      </c>
      <c r="E353" s="420" t="s">
        <v>456</v>
      </c>
      <c r="F353" s="995"/>
      <c r="G353" s="996"/>
      <c r="H353" s="996"/>
      <c r="I353" s="996"/>
      <c r="J353" s="996"/>
      <c r="K353" s="996"/>
      <c r="L353" s="996"/>
      <c r="M353" s="996"/>
      <c r="N353" s="414"/>
      <c r="O353" s="326"/>
      <c r="P353" s="324" t="s">
        <v>455</v>
      </c>
    </row>
    <row r="354" spans="1:16" ht="11.25" hidden="1" customHeight="1" x14ac:dyDescent="0.35">
      <c r="A354" s="336" t="str">
        <f>"OV02-03"&amp;TEXT(IFRSAlloc02,"-00")</f>
        <v>OV02-03-00</v>
      </c>
      <c r="B354" s="400"/>
      <c r="C354" s="421" t="str">
        <f>$C$351</f>
        <v>Balance</v>
      </c>
      <c r="D354" s="1171"/>
      <c r="E354" s="422" t="s">
        <v>457</v>
      </c>
      <c r="F354" s="997"/>
      <c r="G354" s="998">
        <f t="shared" ref="G354:M354" ca="1" si="94">OFFSET(G354,0,-1)+OFFSET(G354,-2,0)+OFFSET(G354,-1,0)</f>
        <v>0</v>
      </c>
      <c r="H354" s="998">
        <f t="shared" ca="1" si="94"/>
        <v>0</v>
      </c>
      <c r="I354" s="998">
        <f t="shared" ca="1" si="94"/>
        <v>0</v>
      </c>
      <c r="J354" s="998">
        <f t="shared" ca="1" si="94"/>
        <v>0</v>
      </c>
      <c r="K354" s="998">
        <f t="shared" ca="1" si="94"/>
        <v>0</v>
      </c>
      <c r="L354" s="998">
        <f t="shared" ca="1" si="94"/>
        <v>0</v>
      </c>
      <c r="M354" s="998">
        <f t="shared" ca="1" si="94"/>
        <v>0</v>
      </c>
      <c r="N354" s="414"/>
      <c r="O354" s="326"/>
      <c r="P354" s="324" t="s">
        <v>455</v>
      </c>
    </row>
    <row r="355" spans="1:16" ht="16" hidden="1" customHeight="1" x14ac:dyDescent="0.35">
      <c r="A355" s="336" t="str">
        <f>"OV03-01"&amp;TEXT(IFRSAlloc03,"-00")</f>
        <v>OV03-01-00</v>
      </c>
      <c r="B355" s="400"/>
      <c r="C355" s="417" t="str">
        <f>$C$349</f>
        <v xml:space="preserve">Amount allocated on </v>
      </c>
      <c r="D355" s="1169"/>
      <c r="E355" s="418" t="s">
        <v>458</v>
      </c>
      <c r="F355" s="993"/>
      <c r="G355" s="994"/>
      <c r="H355" s="994"/>
      <c r="I355" s="994"/>
      <c r="J355" s="994"/>
      <c r="K355" s="994"/>
      <c r="L355" s="994"/>
      <c r="M355" s="994"/>
      <c r="N355" s="414"/>
      <c r="O355" s="326"/>
      <c r="P355" s="324" t="s">
        <v>455</v>
      </c>
    </row>
    <row r="356" spans="1:16" ht="16" hidden="1" customHeight="1" x14ac:dyDescent="0.35">
      <c r="A356" s="336" t="str">
        <f>"OV03-02"&amp;TEXT(IFRSAlloc03,"-00")</f>
        <v>OV03-02-00</v>
      </c>
      <c r="B356" s="400"/>
      <c r="C356" s="419" t="str">
        <f>$C$350</f>
        <v>Depreciation</v>
      </c>
      <c r="D356" s="1170">
        <v>0</v>
      </c>
      <c r="E356" s="420" t="s">
        <v>459</v>
      </c>
      <c r="F356" s="995"/>
      <c r="G356" s="996"/>
      <c r="H356" s="996"/>
      <c r="I356" s="996"/>
      <c r="J356" s="996"/>
      <c r="K356" s="996"/>
      <c r="L356" s="996"/>
      <c r="M356" s="996"/>
      <c r="N356" s="414"/>
      <c r="O356" s="326"/>
      <c r="P356" s="324" t="s">
        <v>455</v>
      </c>
    </row>
    <row r="357" spans="1:16" ht="11.25" hidden="1" customHeight="1" x14ac:dyDescent="0.35">
      <c r="A357" s="336" t="str">
        <f>"OV03-03"&amp;TEXT(IFRSAlloc03,"-00")</f>
        <v>OV03-03-00</v>
      </c>
      <c r="B357" s="400"/>
      <c r="C357" s="421" t="str">
        <f>$C$351</f>
        <v>Balance</v>
      </c>
      <c r="D357" s="1171"/>
      <c r="E357" s="422" t="s">
        <v>460</v>
      </c>
      <c r="F357" s="997"/>
      <c r="G357" s="998">
        <f t="shared" ref="G357:M357" ca="1" si="95">OFFSET(G357,0,-1)+OFFSET(G357,-2,0)+OFFSET(G357,-1,0)</f>
        <v>0</v>
      </c>
      <c r="H357" s="998">
        <f t="shared" ca="1" si="95"/>
        <v>0</v>
      </c>
      <c r="I357" s="998">
        <f t="shared" ca="1" si="95"/>
        <v>0</v>
      </c>
      <c r="J357" s="998">
        <f t="shared" ca="1" si="95"/>
        <v>0</v>
      </c>
      <c r="K357" s="998">
        <f t="shared" ca="1" si="95"/>
        <v>0</v>
      </c>
      <c r="L357" s="998">
        <f t="shared" ca="1" si="95"/>
        <v>0</v>
      </c>
      <c r="M357" s="998">
        <f t="shared" ca="1" si="95"/>
        <v>0</v>
      </c>
      <c r="N357" s="414"/>
      <c r="O357" s="326"/>
      <c r="P357" s="324" t="s">
        <v>455</v>
      </c>
    </row>
    <row r="358" spans="1:16" ht="16" hidden="1" customHeight="1" x14ac:dyDescent="0.35">
      <c r="A358" s="336" t="str">
        <f>"OV04-01"&amp;TEXT(IFRSAlloc04,"-00")</f>
        <v>OV04-01-00</v>
      </c>
      <c r="B358" s="400"/>
      <c r="C358" s="417" t="str">
        <f>$C$349</f>
        <v xml:space="preserve">Amount allocated on </v>
      </c>
      <c r="D358" s="1169"/>
      <c r="E358" s="418" t="s">
        <v>461</v>
      </c>
      <c r="F358" s="993"/>
      <c r="G358" s="994"/>
      <c r="H358" s="994"/>
      <c r="I358" s="994"/>
      <c r="J358" s="994"/>
      <c r="K358" s="994"/>
      <c r="L358" s="994"/>
      <c r="M358" s="994"/>
      <c r="N358" s="414"/>
      <c r="O358" s="326"/>
      <c r="P358" s="324" t="s">
        <v>455</v>
      </c>
    </row>
    <row r="359" spans="1:16" ht="16" hidden="1" customHeight="1" x14ac:dyDescent="0.35">
      <c r="A359" s="336" t="str">
        <f>"OV04-02"&amp;TEXT(IFRSAlloc04,"-00")</f>
        <v>OV04-02-00</v>
      </c>
      <c r="B359" s="400"/>
      <c r="C359" s="419" t="str">
        <f>$C$350</f>
        <v>Depreciation</v>
      </c>
      <c r="D359" s="1170">
        <v>0</v>
      </c>
      <c r="E359" s="420" t="s">
        <v>462</v>
      </c>
      <c r="F359" s="995"/>
      <c r="G359" s="996"/>
      <c r="H359" s="996"/>
      <c r="I359" s="996"/>
      <c r="J359" s="996"/>
      <c r="K359" s="996"/>
      <c r="L359" s="996"/>
      <c r="M359" s="996"/>
      <c r="N359" s="414"/>
      <c r="O359" s="326"/>
      <c r="P359" s="324" t="s">
        <v>455</v>
      </c>
    </row>
    <row r="360" spans="1:16" ht="11.25" hidden="1" customHeight="1" x14ac:dyDescent="0.35">
      <c r="A360" s="336" t="str">
        <f>"OV04-03"&amp;TEXT(IFRSAlloc04,"-00")</f>
        <v>OV04-03-00</v>
      </c>
      <c r="B360" s="400"/>
      <c r="C360" s="421" t="str">
        <f>$C$351</f>
        <v>Balance</v>
      </c>
      <c r="D360" s="1171"/>
      <c r="E360" s="422" t="s">
        <v>463</v>
      </c>
      <c r="F360" s="997"/>
      <c r="G360" s="998">
        <f t="shared" ref="G360:M360" ca="1" si="96">OFFSET(G360,0,-1)+OFFSET(G360,-2,0)+OFFSET(G360,-1,0)</f>
        <v>0</v>
      </c>
      <c r="H360" s="998">
        <f t="shared" ca="1" si="96"/>
        <v>0</v>
      </c>
      <c r="I360" s="998">
        <f t="shared" ca="1" si="96"/>
        <v>0</v>
      </c>
      <c r="J360" s="998">
        <f t="shared" ca="1" si="96"/>
        <v>0</v>
      </c>
      <c r="K360" s="998">
        <f t="shared" ca="1" si="96"/>
        <v>0</v>
      </c>
      <c r="L360" s="998">
        <f t="shared" ca="1" si="96"/>
        <v>0</v>
      </c>
      <c r="M360" s="998">
        <f t="shared" ca="1" si="96"/>
        <v>0</v>
      </c>
      <c r="N360" s="414"/>
      <c r="O360" s="326"/>
      <c r="P360" s="324" t="s">
        <v>455</v>
      </c>
    </row>
    <row r="361" spans="1:16" ht="16" hidden="1" customHeight="1" x14ac:dyDescent="0.35">
      <c r="A361" s="336" t="str">
        <f>"OV05-01"&amp;TEXT(IFRSAlloc05,"-00")</f>
        <v>OV05-01-00</v>
      </c>
      <c r="B361" s="400"/>
      <c r="C361" s="417" t="str">
        <f>$C$349</f>
        <v xml:space="preserve">Amount allocated on </v>
      </c>
      <c r="D361" s="1169"/>
      <c r="E361" s="418" t="s">
        <v>464</v>
      </c>
      <c r="F361" s="993"/>
      <c r="G361" s="994"/>
      <c r="H361" s="994"/>
      <c r="I361" s="994"/>
      <c r="J361" s="994"/>
      <c r="K361" s="994"/>
      <c r="L361" s="994"/>
      <c r="M361" s="994"/>
      <c r="N361" s="414"/>
      <c r="O361" s="326"/>
      <c r="P361" s="324" t="s">
        <v>455</v>
      </c>
    </row>
    <row r="362" spans="1:16" ht="16" hidden="1" customHeight="1" x14ac:dyDescent="0.35">
      <c r="A362" s="336" t="str">
        <f>"OV05-02"&amp;TEXT(IFRSAlloc05,"-00")</f>
        <v>OV05-02-00</v>
      </c>
      <c r="B362" s="400"/>
      <c r="C362" s="419" t="str">
        <f>$C$350</f>
        <v>Depreciation</v>
      </c>
      <c r="D362" s="1170">
        <v>0</v>
      </c>
      <c r="E362" s="420" t="s">
        <v>465</v>
      </c>
      <c r="F362" s="995"/>
      <c r="G362" s="996"/>
      <c r="H362" s="996"/>
      <c r="I362" s="996"/>
      <c r="J362" s="996"/>
      <c r="K362" s="996"/>
      <c r="L362" s="996"/>
      <c r="M362" s="996"/>
      <c r="N362" s="414"/>
      <c r="O362" s="326"/>
      <c r="P362" s="324" t="s">
        <v>455</v>
      </c>
    </row>
    <row r="363" spans="1:16" ht="11.25" hidden="1" customHeight="1" x14ac:dyDescent="0.35">
      <c r="A363" s="336" t="str">
        <f>"OV05-03"&amp;TEXT(IFRSAlloc05,"-00")</f>
        <v>OV05-03-00</v>
      </c>
      <c r="B363" s="400"/>
      <c r="C363" s="421" t="str">
        <f>$C$351</f>
        <v>Balance</v>
      </c>
      <c r="D363" s="1171"/>
      <c r="E363" s="422" t="s">
        <v>466</v>
      </c>
      <c r="F363" s="997"/>
      <c r="G363" s="998">
        <f t="shared" ref="G363:M363" ca="1" si="97">OFFSET(G363,0,-1)+OFFSET(G363,-2,0)+OFFSET(G363,-1,0)</f>
        <v>0</v>
      </c>
      <c r="H363" s="998">
        <f t="shared" ca="1" si="97"/>
        <v>0</v>
      </c>
      <c r="I363" s="998">
        <f t="shared" ca="1" si="97"/>
        <v>0</v>
      </c>
      <c r="J363" s="998">
        <f t="shared" ca="1" si="97"/>
        <v>0</v>
      </c>
      <c r="K363" s="998">
        <f t="shared" ca="1" si="97"/>
        <v>0</v>
      </c>
      <c r="L363" s="998">
        <f t="shared" ca="1" si="97"/>
        <v>0</v>
      </c>
      <c r="M363" s="998">
        <f t="shared" ca="1" si="97"/>
        <v>0</v>
      </c>
      <c r="N363" s="414"/>
      <c r="O363" s="326"/>
      <c r="P363" s="324" t="s">
        <v>455</v>
      </c>
    </row>
    <row r="364" spans="1:16" ht="16" hidden="1" customHeight="1" x14ac:dyDescent="0.35">
      <c r="A364" s="336" t="str">
        <f>"OV06-01"&amp;TEXT(IFRSAlloc06,"-00")</f>
        <v>OV06-01-00</v>
      </c>
      <c r="B364" s="400"/>
      <c r="C364" s="417" t="str">
        <f>$C$349</f>
        <v xml:space="preserve">Amount allocated on </v>
      </c>
      <c r="D364" s="1169"/>
      <c r="E364" s="418" t="s">
        <v>467</v>
      </c>
      <c r="F364" s="993"/>
      <c r="G364" s="994"/>
      <c r="H364" s="994"/>
      <c r="I364" s="994"/>
      <c r="J364" s="994"/>
      <c r="K364" s="994"/>
      <c r="L364" s="994"/>
      <c r="M364" s="994"/>
      <c r="N364" s="414"/>
      <c r="O364" s="326"/>
      <c r="P364" s="324" t="s">
        <v>455</v>
      </c>
    </row>
    <row r="365" spans="1:16" ht="16" hidden="1" customHeight="1" x14ac:dyDescent="0.35">
      <c r="A365" s="336" t="str">
        <f>"OV06-02"&amp;TEXT(IFRSAlloc06,"-00")</f>
        <v>OV06-02-00</v>
      </c>
      <c r="B365" s="400"/>
      <c r="C365" s="419" t="str">
        <f>$C$350</f>
        <v>Depreciation</v>
      </c>
      <c r="D365" s="1170">
        <v>0</v>
      </c>
      <c r="E365" s="420" t="s">
        <v>468</v>
      </c>
      <c r="F365" s="995"/>
      <c r="G365" s="996"/>
      <c r="H365" s="996"/>
      <c r="I365" s="996"/>
      <c r="J365" s="996"/>
      <c r="K365" s="996"/>
      <c r="L365" s="996"/>
      <c r="M365" s="996"/>
      <c r="N365" s="414"/>
      <c r="O365" s="326"/>
      <c r="P365" s="324" t="s">
        <v>455</v>
      </c>
    </row>
    <row r="366" spans="1:16" ht="11.25" hidden="1" customHeight="1" x14ac:dyDescent="0.35">
      <c r="A366" s="336" t="str">
        <f>"OV06-03"&amp;TEXT(IFRSAlloc06,"-00")</f>
        <v>OV06-03-00</v>
      </c>
      <c r="B366" s="400"/>
      <c r="C366" s="421" t="str">
        <f>$C$351</f>
        <v>Balance</v>
      </c>
      <c r="D366" s="1171"/>
      <c r="E366" s="422" t="s">
        <v>469</v>
      </c>
      <c r="F366" s="997"/>
      <c r="G366" s="998">
        <f t="shared" ref="G366:M366" ca="1" si="98">OFFSET(G366,0,-1)+OFFSET(G366,-2,0)+OFFSET(G366,-1,0)</f>
        <v>0</v>
      </c>
      <c r="H366" s="998">
        <f t="shared" ca="1" si="98"/>
        <v>0</v>
      </c>
      <c r="I366" s="998">
        <f t="shared" ca="1" si="98"/>
        <v>0</v>
      </c>
      <c r="J366" s="998">
        <f t="shared" ca="1" si="98"/>
        <v>0</v>
      </c>
      <c r="K366" s="998">
        <f t="shared" ca="1" si="98"/>
        <v>0</v>
      </c>
      <c r="L366" s="998">
        <f t="shared" ca="1" si="98"/>
        <v>0</v>
      </c>
      <c r="M366" s="998">
        <f t="shared" ca="1" si="98"/>
        <v>0</v>
      </c>
      <c r="N366" s="414"/>
      <c r="O366" s="326"/>
      <c r="P366" s="324" t="s">
        <v>455</v>
      </c>
    </row>
    <row r="367" spans="1:16" ht="16" hidden="1" customHeight="1" x14ac:dyDescent="0.35">
      <c r="A367" s="336" t="str">
        <f>"OV07-01"&amp;TEXT(IFRSAlloc07,"-00")</f>
        <v>OV07-01-00</v>
      </c>
      <c r="B367" s="400"/>
      <c r="C367" s="417" t="str">
        <f>$C$349</f>
        <v xml:space="preserve">Amount allocated on </v>
      </c>
      <c r="D367" s="1169"/>
      <c r="E367" s="418" t="s">
        <v>470</v>
      </c>
      <c r="F367" s="993"/>
      <c r="G367" s="994"/>
      <c r="H367" s="994"/>
      <c r="I367" s="994"/>
      <c r="J367" s="994"/>
      <c r="K367" s="994"/>
      <c r="L367" s="994"/>
      <c r="M367" s="994"/>
      <c r="N367" s="414"/>
      <c r="O367" s="326"/>
      <c r="P367" s="324" t="s">
        <v>455</v>
      </c>
    </row>
    <row r="368" spans="1:16" ht="16" hidden="1" customHeight="1" x14ac:dyDescent="0.35">
      <c r="A368" s="336" t="str">
        <f>"OV07-02"&amp;TEXT(IFRSAlloc07,"-00")</f>
        <v>OV07-02-00</v>
      </c>
      <c r="B368" s="400"/>
      <c r="C368" s="419" t="str">
        <f>$C$350</f>
        <v>Depreciation</v>
      </c>
      <c r="D368" s="1170">
        <v>0</v>
      </c>
      <c r="E368" s="420" t="s">
        <v>471</v>
      </c>
      <c r="F368" s="995"/>
      <c r="G368" s="996"/>
      <c r="H368" s="996"/>
      <c r="I368" s="996"/>
      <c r="J368" s="996"/>
      <c r="K368" s="996"/>
      <c r="L368" s="996"/>
      <c r="M368" s="996"/>
      <c r="N368" s="414"/>
      <c r="O368" s="326"/>
      <c r="P368" s="324" t="s">
        <v>455</v>
      </c>
    </row>
    <row r="369" spans="1:16" ht="11.25" hidden="1" customHeight="1" x14ac:dyDescent="0.35">
      <c r="A369" s="336" t="str">
        <f>"OV07-03"&amp;TEXT(IFRSAlloc07,"-00")</f>
        <v>OV07-03-00</v>
      </c>
      <c r="B369" s="400"/>
      <c r="C369" s="421" t="str">
        <f>$C$351</f>
        <v>Balance</v>
      </c>
      <c r="D369" s="1171"/>
      <c r="E369" s="422" t="s">
        <v>472</v>
      </c>
      <c r="F369" s="997"/>
      <c r="G369" s="998">
        <f t="shared" ref="G369:M369" ca="1" si="99">OFFSET(G369,0,-1)+OFFSET(G369,-2,0)+OFFSET(G369,-1,0)</f>
        <v>0</v>
      </c>
      <c r="H369" s="998">
        <f t="shared" ca="1" si="99"/>
        <v>0</v>
      </c>
      <c r="I369" s="998">
        <f t="shared" ca="1" si="99"/>
        <v>0</v>
      </c>
      <c r="J369" s="998">
        <f t="shared" ca="1" si="99"/>
        <v>0</v>
      </c>
      <c r="K369" s="998">
        <f t="shared" ca="1" si="99"/>
        <v>0</v>
      </c>
      <c r="L369" s="998">
        <f t="shared" ca="1" si="99"/>
        <v>0</v>
      </c>
      <c r="M369" s="998">
        <f t="shared" ca="1" si="99"/>
        <v>0</v>
      </c>
      <c r="N369" s="414"/>
      <c r="O369" s="326"/>
      <c r="P369" s="324" t="s">
        <v>455</v>
      </c>
    </row>
    <row r="370" spans="1:16" ht="16" hidden="1" customHeight="1" x14ac:dyDescent="0.35">
      <c r="A370" s="336" t="str">
        <f>"OV08-01"&amp;TEXT(IFRSAlloc08,"-00")</f>
        <v>OV08-01-00</v>
      </c>
      <c r="B370" s="400"/>
      <c r="C370" s="417" t="str">
        <f>$C$349</f>
        <v xml:space="preserve">Amount allocated on </v>
      </c>
      <c r="D370" s="1169"/>
      <c r="E370" s="418" t="s">
        <v>473</v>
      </c>
      <c r="F370" s="993"/>
      <c r="G370" s="994"/>
      <c r="H370" s="994"/>
      <c r="I370" s="994"/>
      <c r="J370" s="994"/>
      <c r="K370" s="994"/>
      <c r="L370" s="994"/>
      <c r="M370" s="994"/>
      <c r="N370" s="414"/>
      <c r="O370" s="326"/>
      <c r="P370" s="324" t="s">
        <v>455</v>
      </c>
    </row>
    <row r="371" spans="1:16" ht="16" hidden="1" customHeight="1" x14ac:dyDescent="0.35">
      <c r="A371" s="336" t="str">
        <f>"OV08-02"&amp;TEXT(IFRSAlloc08,"-00")</f>
        <v>OV08-02-00</v>
      </c>
      <c r="B371" s="400"/>
      <c r="C371" s="419" t="str">
        <f>$C$350</f>
        <v>Depreciation</v>
      </c>
      <c r="D371" s="1170">
        <v>0</v>
      </c>
      <c r="E371" s="420" t="s">
        <v>474</v>
      </c>
      <c r="F371" s="995"/>
      <c r="G371" s="996"/>
      <c r="H371" s="996"/>
      <c r="I371" s="996"/>
      <c r="J371" s="996"/>
      <c r="K371" s="996"/>
      <c r="L371" s="996"/>
      <c r="M371" s="996"/>
      <c r="N371" s="414"/>
      <c r="O371" s="326"/>
      <c r="P371" s="324" t="s">
        <v>455</v>
      </c>
    </row>
    <row r="372" spans="1:16" ht="11.25" hidden="1" customHeight="1" x14ac:dyDescent="0.35">
      <c r="A372" s="336" t="str">
        <f>"OV08-03"&amp;TEXT(IFRSAlloc08,"-00")</f>
        <v>OV08-03-00</v>
      </c>
      <c r="B372" s="400"/>
      <c r="C372" s="421" t="str">
        <f>$C$351</f>
        <v>Balance</v>
      </c>
      <c r="D372" s="1171"/>
      <c r="E372" s="422" t="s">
        <v>475</v>
      </c>
      <c r="F372" s="997"/>
      <c r="G372" s="998">
        <f t="shared" ref="G372:M372" ca="1" si="100">OFFSET(G372,0,-1)+OFFSET(G372,-2,0)+OFFSET(G372,-1,0)</f>
        <v>0</v>
      </c>
      <c r="H372" s="998">
        <f t="shared" ca="1" si="100"/>
        <v>0</v>
      </c>
      <c r="I372" s="998">
        <f t="shared" ca="1" si="100"/>
        <v>0</v>
      </c>
      <c r="J372" s="998">
        <f t="shared" ca="1" si="100"/>
        <v>0</v>
      </c>
      <c r="K372" s="998">
        <f t="shared" ca="1" si="100"/>
        <v>0</v>
      </c>
      <c r="L372" s="998">
        <f t="shared" ca="1" si="100"/>
        <v>0</v>
      </c>
      <c r="M372" s="998">
        <f t="shared" ca="1" si="100"/>
        <v>0</v>
      </c>
      <c r="N372" s="414"/>
      <c r="O372" s="326"/>
      <c r="P372" s="324" t="s">
        <v>455</v>
      </c>
    </row>
    <row r="373" spans="1:16" ht="16" hidden="1" customHeight="1" x14ac:dyDescent="0.35">
      <c r="A373" s="336" t="str">
        <f>"OV09-01"&amp;TEXT(IFRSAlloc09,"-00")</f>
        <v>OV09-01-00</v>
      </c>
      <c r="B373" s="400"/>
      <c r="C373" s="417" t="str">
        <f>$C$349</f>
        <v xml:space="preserve">Amount allocated on </v>
      </c>
      <c r="D373" s="1169"/>
      <c r="E373" s="418" t="s">
        <v>476</v>
      </c>
      <c r="F373" s="993"/>
      <c r="G373" s="994"/>
      <c r="H373" s="994"/>
      <c r="I373" s="994"/>
      <c r="J373" s="994"/>
      <c r="K373" s="994"/>
      <c r="L373" s="994"/>
      <c r="M373" s="994"/>
      <c r="N373" s="414"/>
      <c r="O373" s="326"/>
      <c r="P373" s="324" t="s">
        <v>455</v>
      </c>
    </row>
    <row r="374" spans="1:16" ht="16" hidden="1" customHeight="1" x14ac:dyDescent="0.35">
      <c r="A374" s="336" t="str">
        <f>"OV09-02"&amp;TEXT(IFRSAlloc09,"-00")</f>
        <v>OV09-02-00</v>
      </c>
      <c r="B374" s="400"/>
      <c r="C374" s="419" t="str">
        <f>$C$350</f>
        <v>Depreciation</v>
      </c>
      <c r="D374" s="1170">
        <v>0</v>
      </c>
      <c r="E374" s="420" t="s">
        <v>477</v>
      </c>
      <c r="F374" s="995"/>
      <c r="G374" s="996"/>
      <c r="H374" s="996"/>
      <c r="I374" s="996"/>
      <c r="J374" s="996"/>
      <c r="K374" s="996"/>
      <c r="L374" s="996"/>
      <c r="M374" s="996"/>
      <c r="N374" s="414"/>
      <c r="O374" s="326"/>
      <c r="P374" s="324" t="s">
        <v>455</v>
      </c>
    </row>
    <row r="375" spans="1:16" ht="11.25" hidden="1" customHeight="1" x14ac:dyDescent="0.35">
      <c r="A375" s="336" t="str">
        <f>"OV09-03"&amp;TEXT(IFRSAlloc09,"-00")</f>
        <v>OV09-03-00</v>
      </c>
      <c r="B375" s="400"/>
      <c r="C375" s="421" t="str">
        <f>$C$351</f>
        <v>Balance</v>
      </c>
      <c r="D375" s="1171"/>
      <c r="E375" s="422" t="s">
        <v>478</v>
      </c>
      <c r="F375" s="997"/>
      <c r="G375" s="998">
        <f t="shared" ref="G375:M375" ca="1" si="101">OFFSET(G375,0,-1)+OFFSET(G375,-2,0)+OFFSET(G375,-1,0)</f>
        <v>0</v>
      </c>
      <c r="H375" s="998">
        <f t="shared" ca="1" si="101"/>
        <v>0</v>
      </c>
      <c r="I375" s="998">
        <f t="shared" ca="1" si="101"/>
        <v>0</v>
      </c>
      <c r="J375" s="998">
        <f t="shared" ca="1" si="101"/>
        <v>0</v>
      </c>
      <c r="K375" s="998">
        <f t="shared" ca="1" si="101"/>
        <v>0</v>
      </c>
      <c r="L375" s="998">
        <f t="shared" ca="1" si="101"/>
        <v>0</v>
      </c>
      <c r="M375" s="998">
        <f t="shared" ca="1" si="101"/>
        <v>0</v>
      </c>
      <c r="N375" s="414"/>
      <c r="O375" s="326"/>
      <c r="P375" s="324" t="s">
        <v>455</v>
      </c>
    </row>
    <row r="376" spans="1:16" ht="16" hidden="1" customHeight="1" x14ac:dyDescent="0.35">
      <c r="A376" s="336" t="str">
        <f>"OV10-01"&amp;TEXT(IFRSAlloc10,"-00")</f>
        <v>OV10-01-00</v>
      </c>
      <c r="B376" s="400"/>
      <c r="C376" s="417" t="str">
        <f>$C$349</f>
        <v xml:space="preserve">Amount allocated on </v>
      </c>
      <c r="D376" s="1169"/>
      <c r="E376" s="418" t="s">
        <v>479</v>
      </c>
      <c r="F376" s="993"/>
      <c r="G376" s="994"/>
      <c r="H376" s="994"/>
      <c r="I376" s="994"/>
      <c r="J376" s="994"/>
      <c r="K376" s="994"/>
      <c r="L376" s="994"/>
      <c r="M376" s="994"/>
      <c r="N376" s="414"/>
      <c r="O376" s="326"/>
      <c r="P376" s="324" t="s">
        <v>455</v>
      </c>
    </row>
    <row r="377" spans="1:16" ht="16" hidden="1" customHeight="1" x14ac:dyDescent="0.35">
      <c r="A377" s="336" t="str">
        <f>"OV10-02"&amp;TEXT(IFRSAlloc10,"-00")</f>
        <v>OV10-02-00</v>
      </c>
      <c r="B377" s="400"/>
      <c r="C377" s="419" t="str">
        <f>$C$350</f>
        <v>Depreciation</v>
      </c>
      <c r="D377" s="1170">
        <v>0</v>
      </c>
      <c r="E377" s="420" t="s">
        <v>480</v>
      </c>
      <c r="F377" s="995"/>
      <c r="G377" s="996"/>
      <c r="H377" s="996"/>
      <c r="I377" s="996"/>
      <c r="J377" s="996"/>
      <c r="K377" s="996"/>
      <c r="L377" s="996"/>
      <c r="M377" s="996"/>
      <c r="N377" s="414"/>
      <c r="O377" s="326"/>
      <c r="P377" s="324" t="s">
        <v>455</v>
      </c>
    </row>
    <row r="378" spans="1:16" ht="11.25" hidden="1" customHeight="1" x14ac:dyDescent="0.35">
      <c r="A378" s="336" t="str">
        <f>"OV10-03"&amp;TEXT(IFRSAlloc10,"-00")</f>
        <v>OV10-03-00</v>
      </c>
      <c r="B378" s="400"/>
      <c r="C378" s="421" t="str">
        <f>$C$351</f>
        <v>Balance</v>
      </c>
      <c r="D378" s="1171"/>
      <c r="E378" s="422" t="s">
        <v>481</v>
      </c>
      <c r="F378" s="997"/>
      <c r="G378" s="998">
        <f t="shared" ref="G378:M378" ca="1" si="102">OFFSET(G378,0,-1)+OFFSET(G378,-2,0)+OFFSET(G378,-1,0)</f>
        <v>0</v>
      </c>
      <c r="H378" s="998">
        <f t="shared" ca="1" si="102"/>
        <v>0</v>
      </c>
      <c r="I378" s="998">
        <f t="shared" ca="1" si="102"/>
        <v>0</v>
      </c>
      <c r="J378" s="998">
        <f t="shared" ca="1" si="102"/>
        <v>0</v>
      </c>
      <c r="K378" s="998">
        <f t="shared" ca="1" si="102"/>
        <v>0</v>
      </c>
      <c r="L378" s="998">
        <f t="shared" ca="1" si="102"/>
        <v>0</v>
      </c>
      <c r="M378" s="998">
        <f t="shared" ca="1" si="102"/>
        <v>0</v>
      </c>
      <c r="N378" s="414"/>
      <c r="O378" s="326"/>
      <c r="P378" s="324" t="s">
        <v>455</v>
      </c>
    </row>
    <row r="379" spans="1:16" ht="16" hidden="1" customHeight="1" x14ac:dyDescent="0.35">
      <c r="A379" s="336" t="str">
        <f>"OV11-01"&amp;TEXT(IFRSAlloc11,"-00")</f>
        <v>OV11-01-00</v>
      </c>
      <c r="B379" s="400"/>
      <c r="C379" s="417" t="str">
        <f>$C$349</f>
        <v xml:space="preserve">Amount allocated on </v>
      </c>
      <c r="D379" s="1169"/>
      <c r="E379" s="418" t="s">
        <v>482</v>
      </c>
      <c r="F379" s="993"/>
      <c r="G379" s="994"/>
      <c r="H379" s="994"/>
      <c r="I379" s="994"/>
      <c r="J379" s="994"/>
      <c r="K379" s="994"/>
      <c r="L379" s="994"/>
      <c r="M379" s="994"/>
      <c r="N379" s="414"/>
      <c r="O379" s="326"/>
      <c r="P379" s="324" t="s">
        <v>455</v>
      </c>
    </row>
    <row r="380" spans="1:16" ht="16" hidden="1" customHeight="1" x14ac:dyDescent="0.35">
      <c r="A380" s="336" t="str">
        <f>"OV11-02"&amp;TEXT(IFRSAlloc11,"-00")</f>
        <v>OV11-02-00</v>
      </c>
      <c r="B380" s="400"/>
      <c r="C380" s="419" t="str">
        <f>$C$350</f>
        <v>Depreciation</v>
      </c>
      <c r="D380" s="1170">
        <v>0</v>
      </c>
      <c r="E380" s="420" t="s">
        <v>483</v>
      </c>
      <c r="F380" s="995"/>
      <c r="G380" s="996"/>
      <c r="H380" s="996"/>
      <c r="I380" s="996"/>
      <c r="J380" s="996"/>
      <c r="K380" s="996"/>
      <c r="L380" s="996"/>
      <c r="M380" s="996"/>
      <c r="N380" s="414"/>
      <c r="O380" s="326"/>
      <c r="P380" s="324" t="s">
        <v>455</v>
      </c>
    </row>
    <row r="381" spans="1:16" ht="11.25" hidden="1" customHeight="1" x14ac:dyDescent="0.35">
      <c r="A381" s="336" t="str">
        <f>"OV11-03"&amp;TEXT(IFRSAlloc11,"-00")</f>
        <v>OV11-03-00</v>
      </c>
      <c r="B381" s="400"/>
      <c r="C381" s="421" t="str">
        <f>$C$351</f>
        <v>Balance</v>
      </c>
      <c r="D381" s="1171"/>
      <c r="E381" s="422" t="s">
        <v>484</v>
      </c>
      <c r="F381" s="997"/>
      <c r="G381" s="998">
        <f t="shared" ref="G381:M381" ca="1" si="103">OFFSET(G381,0,-1)+OFFSET(G381,-2,0)+OFFSET(G381,-1,0)</f>
        <v>0</v>
      </c>
      <c r="H381" s="998">
        <f t="shared" ca="1" si="103"/>
        <v>0</v>
      </c>
      <c r="I381" s="998">
        <f t="shared" ca="1" si="103"/>
        <v>0</v>
      </c>
      <c r="J381" s="998">
        <f t="shared" ca="1" si="103"/>
        <v>0</v>
      </c>
      <c r="K381" s="998">
        <f t="shared" ca="1" si="103"/>
        <v>0</v>
      </c>
      <c r="L381" s="998">
        <f t="shared" ca="1" si="103"/>
        <v>0</v>
      </c>
      <c r="M381" s="998">
        <f t="shared" ca="1" si="103"/>
        <v>0</v>
      </c>
      <c r="N381" s="414"/>
      <c r="O381" s="326"/>
      <c r="P381" s="324" t="s">
        <v>455</v>
      </c>
    </row>
    <row r="382" spans="1:16" ht="16" hidden="1" customHeight="1" x14ac:dyDescent="0.35">
      <c r="A382" s="336" t="str">
        <f>"OV12-01"&amp;TEXT(IFRSAlloc12,"-00")</f>
        <v>OV12-01-00</v>
      </c>
      <c r="B382" s="400"/>
      <c r="C382" s="417" t="str">
        <f>$C$349</f>
        <v xml:space="preserve">Amount allocated on </v>
      </c>
      <c r="D382" s="1169"/>
      <c r="E382" s="418" t="s">
        <v>485</v>
      </c>
      <c r="F382" s="993"/>
      <c r="G382" s="994"/>
      <c r="H382" s="994"/>
      <c r="I382" s="994"/>
      <c r="J382" s="994"/>
      <c r="K382" s="994"/>
      <c r="L382" s="994"/>
      <c r="M382" s="994"/>
      <c r="N382" s="414"/>
      <c r="O382" s="326"/>
      <c r="P382" s="324" t="s">
        <v>455</v>
      </c>
    </row>
    <row r="383" spans="1:16" ht="16" hidden="1" customHeight="1" x14ac:dyDescent="0.35">
      <c r="A383" s="336" t="str">
        <f>"OV12-02"&amp;TEXT(IFRSAlloc12,"-00")</f>
        <v>OV12-02-00</v>
      </c>
      <c r="B383" s="400"/>
      <c r="C383" s="419" t="str">
        <f>$C$350</f>
        <v>Depreciation</v>
      </c>
      <c r="D383" s="1170">
        <v>0</v>
      </c>
      <c r="E383" s="420" t="s">
        <v>486</v>
      </c>
      <c r="F383" s="995"/>
      <c r="G383" s="996"/>
      <c r="H383" s="996"/>
      <c r="I383" s="996"/>
      <c r="J383" s="996"/>
      <c r="K383" s="996"/>
      <c r="L383" s="996"/>
      <c r="M383" s="996"/>
      <c r="N383" s="414"/>
      <c r="O383" s="326"/>
      <c r="P383" s="324" t="s">
        <v>455</v>
      </c>
    </row>
    <row r="384" spans="1:16" ht="11.25" hidden="1" customHeight="1" x14ac:dyDescent="0.35">
      <c r="A384" s="336" t="str">
        <f>"OV12-03"&amp;TEXT(IFRSAlloc12,"-00")</f>
        <v>OV12-03-00</v>
      </c>
      <c r="B384" s="400"/>
      <c r="C384" s="421" t="str">
        <f>$C$351</f>
        <v>Balance</v>
      </c>
      <c r="D384" s="1171"/>
      <c r="E384" s="422" t="s">
        <v>487</v>
      </c>
      <c r="F384" s="997"/>
      <c r="G384" s="998">
        <f t="shared" ref="G384:M384" ca="1" si="104">OFFSET(G384,0,-1)+OFFSET(G384,-2,0)+OFFSET(G384,-1,0)</f>
        <v>0</v>
      </c>
      <c r="H384" s="998">
        <f t="shared" ca="1" si="104"/>
        <v>0</v>
      </c>
      <c r="I384" s="998">
        <f t="shared" ca="1" si="104"/>
        <v>0</v>
      </c>
      <c r="J384" s="998">
        <f t="shared" ca="1" si="104"/>
        <v>0</v>
      </c>
      <c r="K384" s="998">
        <f t="shared" ca="1" si="104"/>
        <v>0</v>
      </c>
      <c r="L384" s="998">
        <f t="shared" ca="1" si="104"/>
        <v>0</v>
      </c>
      <c r="M384" s="998">
        <f t="shared" ca="1" si="104"/>
        <v>0</v>
      </c>
      <c r="N384" s="414"/>
      <c r="O384" s="326"/>
      <c r="P384" s="324" t="s">
        <v>455</v>
      </c>
    </row>
    <row r="385" spans="1:16" ht="11.25" hidden="1" customHeight="1" x14ac:dyDescent="0.35">
      <c r="A385" s="336" t="s">
        <v>488</v>
      </c>
      <c r="B385" s="400"/>
      <c r="C385" s="416" t="s">
        <v>489</v>
      </c>
      <c r="D385" s="1168"/>
      <c r="E385" s="322" t="s">
        <v>490</v>
      </c>
      <c r="F385" s="990"/>
      <c r="G385" s="992">
        <f t="shared" ref="G385:L385" ca="1" si="105">G386+G389+G392+G395+G398+G401+G404+G407+G410+G413+G416+G419</f>
        <v>0</v>
      </c>
      <c r="H385" s="992">
        <f t="shared" ca="1" si="105"/>
        <v>0</v>
      </c>
      <c r="I385" s="992">
        <f t="shared" ca="1" si="105"/>
        <v>0</v>
      </c>
      <c r="J385" s="992">
        <f t="shared" ca="1" si="105"/>
        <v>0</v>
      </c>
      <c r="K385" s="992">
        <f t="shared" ca="1" si="105"/>
        <v>0</v>
      </c>
      <c r="L385" s="992">
        <f t="shared" ca="1" si="105"/>
        <v>0</v>
      </c>
      <c r="M385" s="992">
        <f t="shared" ref="M385" ca="1" si="106">M386+M389+M392+M395+M398+M401+M404+M407+M410+M413+M416+M419</f>
        <v>0</v>
      </c>
      <c r="N385" s="414"/>
      <c r="O385" s="326"/>
      <c r="P385" s="324" t="s">
        <v>411</v>
      </c>
    </row>
    <row r="386" spans="1:16" ht="11.25" hidden="1" customHeight="1" x14ac:dyDescent="0.35">
      <c r="A386" s="336" t="str">
        <f>"TL01-01"&amp;TEXT(IFRSAlloc01,"-00")</f>
        <v>TL01-01-00</v>
      </c>
      <c r="B386" s="400"/>
      <c r="C386" s="417" t="str">
        <f>$C$349&amp;IF(IFRSAlloc01&gt;0,INDEX(IFRSallocDD,IFRSAlloc01),"")</f>
        <v xml:space="preserve">Amount allocated on </v>
      </c>
      <c r="D386" s="1169"/>
      <c r="E386" s="418" t="s">
        <v>491</v>
      </c>
      <c r="F386" s="993"/>
      <c r="G386" s="999">
        <f t="shared" ref="G386:L386" ca="1" si="107">IF(OFFSET($E$344,0,G$8)&lt;&gt;0,(OFFSET($E349,0,G$8)/OFFSET($E$344,0,G$8))*OFFSET($E$345,0,G$8),0)</f>
        <v>0</v>
      </c>
      <c r="H386" s="999">
        <f t="shared" ca="1" si="107"/>
        <v>0</v>
      </c>
      <c r="I386" s="999">
        <f t="shared" ca="1" si="107"/>
        <v>0</v>
      </c>
      <c r="J386" s="999">
        <f t="shared" ca="1" si="107"/>
        <v>0</v>
      </c>
      <c r="K386" s="999">
        <f t="shared" ca="1" si="107"/>
        <v>0</v>
      </c>
      <c r="L386" s="999">
        <f t="shared" ca="1" si="107"/>
        <v>0</v>
      </c>
      <c r="M386" s="999">
        <f t="shared" ref="M386" ca="1" si="108">IF(OFFSET($E$344,0,M$8)&lt;&gt;0,(OFFSET($E349,0,M$8)/OFFSET($E$344,0,M$8))*OFFSET($E$345,0,M$8),0)</f>
        <v>0</v>
      </c>
      <c r="N386" s="414"/>
      <c r="O386" s="326"/>
      <c r="P386" s="324" t="s">
        <v>427</v>
      </c>
    </row>
    <row r="387" spans="1:16" ht="11.25" hidden="1" customHeight="1" x14ac:dyDescent="0.35">
      <c r="A387" s="336" t="str">
        <f>"TL01-02"&amp;TEXT(IFRSAlloc01,"-00")</f>
        <v>TL01-02-00</v>
      </c>
      <c r="B387" s="400"/>
      <c r="C387" s="423" t="str">
        <f>$C$350</f>
        <v>Depreciation</v>
      </c>
      <c r="D387" s="1166"/>
      <c r="E387" s="322" t="s">
        <v>492</v>
      </c>
      <c r="F387" s="990"/>
      <c r="G387" s="975">
        <f ca="1">IF(SUM(OFFSET($E349,0,$G$8):OFFSET($E349,0,G$8))&lt;&gt;0,(OFFSET($E350,0,G$8)/SUM(OFFSET($E349,0,$G$8):OFFSET($E349,0,G$8)))*SUM($G386:G386),0)</f>
        <v>0</v>
      </c>
      <c r="H387" s="975">
        <f ca="1">IF(SUM(OFFSET($E349,0,$G$8):OFFSET($E349,0,H$8))&lt;&gt;0,(OFFSET($E350,0,H$8)/SUM(OFFSET($E349,0,$G$8):OFFSET($E349,0,H$8)))*SUM($G386:H386),0)</f>
        <v>0</v>
      </c>
      <c r="I387" s="975">
        <f ca="1">IF(SUM(OFFSET($E349,0,$G$8):OFFSET($E349,0,I$8))&lt;&gt;0,(OFFSET($E350,0,I$8)/SUM(OFFSET($E349,0,$G$8):OFFSET($E349,0,I$8)))*SUM($G386:I386),0)</f>
        <v>0</v>
      </c>
      <c r="J387" s="975">
        <f ca="1">IF(SUM(OFFSET($E349,0,$G$8):OFFSET($E349,0,J$8))&lt;&gt;0,(OFFSET($E350,0,J$8)/SUM(OFFSET($E349,0,$G$8):OFFSET($E349,0,J$8)))*SUM($G386:J386),0)</f>
        <v>0</v>
      </c>
      <c r="K387" s="975">
        <f ca="1">IF(SUM(OFFSET($E349,0,$G$8):OFFSET($E349,0,K$8))&lt;&gt;0,(OFFSET($E350,0,K$8)/SUM(OFFSET($E349,0,$G$8):OFFSET($E349,0,K$8)))*SUM($G386:K386),0)</f>
        <v>0</v>
      </c>
      <c r="L387" s="975">
        <f ca="1">IF(SUM(OFFSET($E349,0,$G$8):OFFSET($E349,0,L$8))&lt;&gt;0,(OFFSET($E350,0,L$8)/SUM(OFFSET($E349,0,$G$8):OFFSET($E349,0,L$8)))*SUM($G386:L386),0)</f>
        <v>0</v>
      </c>
      <c r="M387" s="975">
        <f ca="1">IF(SUM(OFFSET($E349,0,$G$8):OFFSET($E349,0,M$8))&lt;&gt;0,(OFFSET($E350,0,M$8)/SUM(OFFSET($E349,0,$G$8):OFFSET($E349,0,M$8)))*SUM($G386:M386),0)</f>
        <v>0</v>
      </c>
      <c r="N387" s="414"/>
      <c r="O387" s="326"/>
      <c r="P387" s="324" t="s">
        <v>427</v>
      </c>
    </row>
    <row r="388" spans="1:16" ht="11.25" hidden="1" customHeight="1" x14ac:dyDescent="0.35">
      <c r="A388" s="336" t="str">
        <f>"TL01-03"&amp;TEXT(IFRSAlloc01,"-00")</f>
        <v>TL01-03-00</v>
      </c>
      <c r="B388" s="400"/>
      <c r="C388" s="421" t="str">
        <f>$C$351</f>
        <v>Balance</v>
      </c>
      <c r="D388" s="1171"/>
      <c r="E388" s="422" t="s">
        <v>493</v>
      </c>
      <c r="F388" s="997"/>
      <c r="G388" s="998">
        <f t="shared" ref="G388:L388" ca="1" si="109">G386+G387+OFFSET(G388,0,-1)</f>
        <v>0</v>
      </c>
      <c r="H388" s="998">
        <f t="shared" ca="1" si="109"/>
        <v>0</v>
      </c>
      <c r="I388" s="998">
        <f t="shared" ca="1" si="109"/>
        <v>0</v>
      </c>
      <c r="J388" s="998">
        <f t="shared" ca="1" si="109"/>
        <v>0</v>
      </c>
      <c r="K388" s="998">
        <f t="shared" ca="1" si="109"/>
        <v>0</v>
      </c>
      <c r="L388" s="998">
        <f t="shared" ca="1" si="109"/>
        <v>0</v>
      </c>
      <c r="M388" s="998">
        <f t="shared" ref="M388" ca="1" si="110">M386+M387+OFFSET(M388,0,-1)</f>
        <v>0</v>
      </c>
      <c r="N388" s="414"/>
      <c r="O388" s="326"/>
      <c r="P388" s="324" t="s">
        <v>427</v>
      </c>
    </row>
    <row r="389" spans="1:16" ht="11.25" hidden="1" customHeight="1" x14ac:dyDescent="0.35">
      <c r="A389" s="336" t="str">
        <f>"TL02-01"&amp;TEXT(IFRSAlloc02,"-00")</f>
        <v>TL02-01-00</v>
      </c>
      <c r="B389" s="400"/>
      <c r="C389" s="417" t="str">
        <f>$C$349&amp;IF(IFRSAlloc02&gt;0,INDEX(IFRSallocDD,IFRSAlloc02),"")</f>
        <v xml:space="preserve">Amount allocated on </v>
      </c>
      <c r="D389" s="1166"/>
      <c r="E389" s="418" t="s">
        <v>494</v>
      </c>
      <c r="F389" s="990"/>
      <c r="G389" s="999">
        <f t="shared" ref="G389:L389" ca="1" si="111">IF(OFFSET($E$344,0,G$8)&lt;&gt;0,(OFFSET($E352,0,G$8)/OFFSET($E$344,0,G$8))*OFFSET($E$345,0,G$8),0)</f>
        <v>0</v>
      </c>
      <c r="H389" s="999">
        <f t="shared" ca="1" si="111"/>
        <v>0</v>
      </c>
      <c r="I389" s="999">
        <f t="shared" ca="1" si="111"/>
        <v>0</v>
      </c>
      <c r="J389" s="999">
        <f t="shared" ca="1" si="111"/>
        <v>0</v>
      </c>
      <c r="K389" s="999">
        <f t="shared" ca="1" si="111"/>
        <v>0</v>
      </c>
      <c r="L389" s="999">
        <f t="shared" ca="1" si="111"/>
        <v>0</v>
      </c>
      <c r="M389" s="999">
        <f t="shared" ref="M389" ca="1" si="112">IF(OFFSET($E$344,0,M$8)&lt;&gt;0,(OFFSET($E352,0,M$8)/OFFSET($E$344,0,M$8))*OFFSET($E$345,0,M$8),0)</f>
        <v>0</v>
      </c>
      <c r="N389" s="414"/>
      <c r="O389" s="326"/>
      <c r="P389" s="324" t="s">
        <v>455</v>
      </c>
    </row>
    <row r="390" spans="1:16" ht="11.25" hidden="1" customHeight="1" x14ac:dyDescent="0.35">
      <c r="A390" s="336" t="str">
        <f>"TL02-02"&amp;TEXT(IFRSAlloc02,"-00")</f>
        <v>TL02-02-00</v>
      </c>
      <c r="B390" s="400"/>
      <c r="C390" s="423" t="str">
        <f>$C$350</f>
        <v>Depreciation</v>
      </c>
      <c r="D390" s="1166"/>
      <c r="E390" s="322" t="s">
        <v>495</v>
      </c>
      <c r="F390" s="990"/>
      <c r="G390" s="975">
        <f ca="1">IF(SUM(OFFSET($E352,0,$G$8):OFFSET($E352,0,G$8))&lt;&gt;0,(OFFSET($E353,0,G$8)/SUM(OFFSET($E352,0,$G$8):OFFSET($E352,0,G$8)))*SUM($G389:G389),0)</f>
        <v>0</v>
      </c>
      <c r="H390" s="975">
        <f ca="1">IF(SUM(OFFSET($E352,0,$G$8):OFFSET($E352,0,H$8))&lt;&gt;0,(OFFSET($E353,0,H$8)/SUM(OFFSET($E352,0,$G$8):OFFSET($E352,0,H$8)))*SUM($G389:H389),0)</f>
        <v>0</v>
      </c>
      <c r="I390" s="975">
        <f ca="1">IF(SUM(OFFSET($E352,0,$G$8):OFFSET($E352,0,I$8))&lt;&gt;0,(OFFSET($E353,0,I$8)/SUM(OFFSET($E352,0,$G$8):OFFSET($E352,0,I$8)))*SUM($G389:I389),0)</f>
        <v>0</v>
      </c>
      <c r="J390" s="975">
        <f ca="1">IF(SUM(OFFSET($E352,0,$G$8):OFFSET($E352,0,J$8))&lt;&gt;0,(OFFSET($E353,0,J$8)/SUM(OFFSET($E352,0,$G$8):OFFSET($E352,0,J$8)))*SUM($G389:J389),0)</f>
        <v>0</v>
      </c>
      <c r="K390" s="975">
        <f ca="1">IF(SUM(OFFSET($E352,0,$G$8):OFFSET($E352,0,K$8))&lt;&gt;0,(OFFSET($E353,0,K$8)/SUM(OFFSET($E352,0,$G$8):OFFSET($E352,0,K$8)))*SUM($G389:K389),0)</f>
        <v>0</v>
      </c>
      <c r="L390" s="975">
        <f ca="1">IF(SUM(OFFSET($E352,0,$G$8):OFFSET($E352,0,L$8))&lt;&gt;0,(OFFSET($E353,0,L$8)/SUM(OFFSET($E352,0,$G$8):OFFSET($E352,0,L$8)))*SUM($G389:L389),0)</f>
        <v>0</v>
      </c>
      <c r="M390" s="975">
        <f ca="1">IF(SUM(OFFSET($E352,0,$G$8):OFFSET($E352,0,M$8))&lt;&gt;0,(OFFSET($E353,0,M$8)/SUM(OFFSET($E352,0,$G$8):OFFSET($E352,0,M$8)))*SUM($G389:M389),0)</f>
        <v>0</v>
      </c>
      <c r="N390" s="414"/>
      <c r="O390" s="326"/>
      <c r="P390" s="324" t="s">
        <v>455</v>
      </c>
    </row>
    <row r="391" spans="1:16" ht="11.25" hidden="1" customHeight="1" x14ac:dyDescent="0.35">
      <c r="A391" s="336" t="str">
        <f>"TL02-03"&amp;TEXT(IFRSAlloc02,"-00")</f>
        <v>TL02-03-00</v>
      </c>
      <c r="B391" s="400"/>
      <c r="C391" s="421" t="str">
        <f>$C$351</f>
        <v>Balance</v>
      </c>
      <c r="D391" s="1171"/>
      <c r="E391" s="422" t="s">
        <v>496</v>
      </c>
      <c r="F391" s="997"/>
      <c r="G391" s="998">
        <f t="shared" ref="G391:L391" ca="1" si="113">G389+G390+OFFSET(G391,0,-1)</f>
        <v>0</v>
      </c>
      <c r="H391" s="998">
        <f t="shared" ca="1" si="113"/>
        <v>0</v>
      </c>
      <c r="I391" s="998">
        <f t="shared" ca="1" si="113"/>
        <v>0</v>
      </c>
      <c r="J391" s="998">
        <f t="shared" ca="1" si="113"/>
        <v>0</v>
      </c>
      <c r="K391" s="998">
        <f t="shared" ca="1" si="113"/>
        <v>0</v>
      </c>
      <c r="L391" s="998">
        <f t="shared" ca="1" si="113"/>
        <v>0</v>
      </c>
      <c r="M391" s="998">
        <f t="shared" ref="M391" ca="1" si="114">M389+M390+OFFSET(M391,0,-1)</f>
        <v>0</v>
      </c>
      <c r="N391" s="414"/>
      <c r="O391" s="326"/>
      <c r="P391" s="324" t="s">
        <v>455</v>
      </c>
    </row>
    <row r="392" spans="1:16" ht="11.25" hidden="1" customHeight="1" x14ac:dyDescent="0.35">
      <c r="A392" s="336" t="str">
        <f>"TL03-01"&amp;TEXT(IFRSAlloc03,"-00")</f>
        <v>TL03-01-00</v>
      </c>
      <c r="B392" s="400"/>
      <c r="C392" s="417" t="str">
        <f>$C$349&amp;IF(IFRSAlloc03&gt;0,INDEX(IFRSallocDD,IFRSAlloc03),"")</f>
        <v xml:space="preserve">Amount allocated on </v>
      </c>
      <c r="D392" s="1169"/>
      <c r="E392" s="418" t="s">
        <v>497</v>
      </c>
      <c r="F392" s="993"/>
      <c r="G392" s="999">
        <f t="shared" ref="G392:L392" ca="1" si="115">IF(OFFSET($E$344,0,G$8)&lt;&gt;0,(OFFSET($E355,0,G$8)/OFFSET($E$344,0,G$8))*OFFSET($E$345,0,G$8),0)</f>
        <v>0</v>
      </c>
      <c r="H392" s="999">
        <f t="shared" ca="1" si="115"/>
        <v>0</v>
      </c>
      <c r="I392" s="999">
        <f t="shared" ca="1" si="115"/>
        <v>0</v>
      </c>
      <c r="J392" s="999">
        <f t="shared" ca="1" si="115"/>
        <v>0</v>
      </c>
      <c r="K392" s="999">
        <f t="shared" ca="1" si="115"/>
        <v>0</v>
      </c>
      <c r="L392" s="999">
        <f t="shared" ca="1" si="115"/>
        <v>0</v>
      </c>
      <c r="M392" s="999">
        <f t="shared" ref="M392" ca="1" si="116">IF(OFFSET($E$344,0,M$8)&lt;&gt;0,(OFFSET($E355,0,M$8)/OFFSET($E$344,0,M$8))*OFFSET($E$345,0,M$8),0)</f>
        <v>0</v>
      </c>
      <c r="N392" s="414"/>
      <c r="O392" s="326"/>
      <c r="P392" s="324" t="s">
        <v>455</v>
      </c>
    </row>
    <row r="393" spans="1:16" ht="11.25" hidden="1" customHeight="1" x14ac:dyDescent="0.35">
      <c r="A393" s="336" t="str">
        <f>"TL03-02"&amp;TEXT(IFRSAlloc03,"-00")</f>
        <v>TL03-02-00</v>
      </c>
      <c r="B393" s="400"/>
      <c r="C393" s="423" t="str">
        <f>$C$350</f>
        <v>Depreciation</v>
      </c>
      <c r="D393" s="1166"/>
      <c r="E393" s="322" t="s">
        <v>498</v>
      </c>
      <c r="F393" s="990"/>
      <c r="G393" s="975">
        <f ca="1">IF(SUM(OFFSET($E355,0,$G$8):OFFSET($E355,0,G$8))&lt;&gt;0,(OFFSET($E356,0,G$8)/SUM(OFFSET($E355,0,$G$8):OFFSET($E355,0,G$8)))*SUM($G392:G392),0)</f>
        <v>0</v>
      </c>
      <c r="H393" s="975">
        <f ca="1">IF(SUM(OFFSET($E355,0,$G$8):OFFSET($E355,0,H$8))&lt;&gt;0,(OFFSET($E356,0,H$8)/SUM(OFFSET($E355,0,$G$8):OFFSET($E355,0,H$8)))*SUM($G392:H392),0)</f>
        <v>0</v>
      </c>
      <c r="I393" s="975">
        <f ca="1">IF(SUM(OFFSET($E355,0,$G$8):OFFSET($E355,0,I$8))&lt;&gt;0,(OFFSET($E356,0,I$8)/SUM(OFFSET($E355,0,$G$8):OFFSET($E355,0,I$8)))*SUM($G392:I392),0)</f>
        <v>0</v>
      </c>
      <c r="J393" s="975">
        <f ca="1">IF(SUM(OFFSET($E355,0,$G$8):OFFSET($E355,0,J$8))&lt;&gt;0,(OFFSET($E356,0,J$8)/SUM(OFFSET($E355,0,$G$8):OFFSET($E355,0,J$8)))*SUM($G392:J392),0)</f>
        <v>0</v>
      </c>
      <c r="K393" s="975">
        <f ca="1">IF(SUM(OFFSET($E355,0,$G$8):OFFSET($E355,0,K$8))&lt;&gt;0,(OFFSET($E356,0,K$8)/SUM(OFFSET($E355,0,$G$8):OFFSET($E355,0,K$8)))*SUM($G392:K392),0)</f>
        <v>0</v>
      </c>
      <c r="L393" s="975">
        <f ca="1">IF(SUM(OFFSET($E355,0,$G$8):OFFSET($E355,0,L$8))&lt;&gt;0,(OFFSET($E356,0,L$8)/SUM(OFFSET($E355,0,$G$8):OFFSET($E355,0,L$8)))*SUM($G392:L392),0)</f>
        <v>0</v>
      </c>
      <c r="M393" s="975">
        <f ca="1">IF(SUM(OFFSET($E355,0,$G$8):OFFSET($E355,0,M$8))&lt;&gt;0,(OFFSET($E356,0,M$8)/SUM(OFFSET($E355,0,$G$8):OFFSET($E355,0,M$8)))*SUM($G392:M392),0)</f>
        <v>0</v>
      </c>
      <c r="N393" s="414"/>
      <c r="O393" s="326"/>
      <c r="P393" s="324" t="s">
        <v>455</v>
      </c>
    </row>
    <row r="394" spans="1:16" ht="11.25" hidden="1" customHeight="1" x14ac:dyDescent="0.35">
      <c r="A394" s="336" t="str">
        <f>"TL03-03"&amp;TEXT(IFRSAlloc03,"-00")</f>
        <v>TL03-03-00</v>
      </c>
      <c r="B394" s="400"/>
      <c r="C394" s="421" t="str">
        <f>$C$351</f>
        <v>Balance</v>
      </c>
      <c r="D394" s="1171"/>
      <c r="E394" s="422" t="s">
        <v>499</v>
      </c>
      <c r="F394" s="997"/>
      <c r="G394" s="998">
        <f t="shared" ref="G394:L394" ca="1" si="117">G392+G393+OFFSET(G394,0,-1)</f>
        <v>0</v>
      </c>
      <c r="H394" s="998">
        <f t="shared" ca="1" si="117"/>
        <v>0</v>
      </c>
      <c r="I394" s="998">
        <f t="shared" ca="1" si="117"/>
        <v>0</v>
      </c>
      <c r="J394" s="998">
        <f t="shared" ca="1" si="117"/>
        <v>0</v>
      </c>
      <c r="K394" s="998">
        <f t="shared" ca="1" si="117"/>
        <v>0</v>
      </c>
      <c r="L394" s="998">
        <f t="shared" ca="1" si="117"/>
        <v>0</v>
      </c>
      <c r="M394" s="998">
        <f t="shared" ref="M394" ca="1" si="118">M392+M393+OFFSET(M394,0,-1)</f>
        <v>0</v>
      </c>
      <c r="N394" s="414"/>
      <c r="O394" s="326"/>
      <c r="P394" s="324" t="s">
        <v>455</v>
      </c>
    </row>
    <row r="395" spans="1:16" ht="11.25" hidden="1" customHeight="1" x14ac:dyDescent="0.35">
      <c r="A395" s="336" t="str">
        <f>"TL04-01"&amp;TEXT(IFRSAlloc04,"-00")</f>
        <v>TL04-01-00</v>
      </c>
      <c r="B395" s="400"/>
      <c r="C395" s="417" t="str">
        <f>$C$349&amp;IF(IFRSAlloc04&gt;0,INDEX(IFRSallocDD,IFRSAlloc04),"")</f>
        <v xml:space="preserve">Amount allocated on </v>
      </c>
      <c r="D395" s="1169"/>
      <c r="E395" s="418" t="s">
        <v>500</v>
      </c>
      <c r="F395" s="993"/>
      <c r="G395" s="999">
        <f t="shared" ref="G395:L395" ca="1" si="119">IF(OFFSET($E$344,0,G$8)&lt;&gt;0,(OFFSET($E358,0,G$8)/OFFSET($E$344,0,G$8))*OFFSET($E$345,0,G$8),0)</f>
        <v>0</v>
      </c>
      <c r="H395" s="999">
        <f t="shared" ca="1" si="119"/>
        <v>0</v>
      </c>
      <c r="I395" s="999">
        <f t="shared" ca="1" si="119"/>
        <v>0</v>
      </c>
      <c r="J395" s="999">
        <f t="shared" ca="1" si="119"/>
        <v>0</v>
      </c>
      <c r="K395" s="999">
        <f t="shared" ca="1" si="119"/>
        <v>0</v>
      </c>
      <c r="L395" s="999">
        <f t="shared" ca="1" si="119"/>
        <v>0</v>
      </c>
      <c r="M395" s="999">
        <f t="shared" ref="M395" ca="1" si="120">IF(OFFSET($E$344,0,M$8)&lt;&gt;0,(OFFSET($E358,0,M$8)/OFFSET($E$344,0,M$8))*OFFSET($E$345,0,M$8),0)</f>
        <v>0</v>
      </c>
      <c r="N395" s="414"/>
      <c r="O395" s="326"/>
      <c r="P395" s="324" t="s">
        <v>455</v>
      </c>
    </row>
    <row r="396" spans="1:16" ht="11.25" hidden="1" customHeight="1" x14ac:dyDescent="0.35">
      <c r="A396" s="336" t="str">
        <f>"TL04-02"&amp;TEXT(IFRSAlloc04,"-00")</f>
        <v>TL04-02-00</v>
      </c>
      <c r="B396" s="400"/>
      <c r="C396" s="423" t="str">
        <f>$C$350</f>
        <v>Depreciation</v>
      </c>
      <c r="D396" s="1166"/>
      <c r="E396" s="322" t="s">
        <v>501</v>
      </c>
      <c r="F396" s="990"/>
      <c r="G396" s="975">
        <f ca="1">IF(SUM(OFFSET($E358,0,$G$8):OFFSET($E358,0,G$8))&lt;&gt;0,(OFFSET($E359,0,G$8)/SUM(OFFSET($E358,0,$G$8):OFFSET($E358,0,G$8)))*SUM($G395:G395),0)</f>
        <v>0</v>
      </c>
      <c r="H396" s="975">
        <f ca="1">IF(SUM(OFFSET($E358,0,$G$8):OFFSET($E358,0,H$8))&lt;&gt;0,(OFFSET($E359,0,H$8)/SUM(OFFSET($E358,0,$G$8):OFFSET($E358,0,H$8)))*SUM($G395:H395),0)</f>
        <v>0</v>
      </c>
      <c r="I396" s="975">
        <f ca="1">IF(SUM(OFFSET($E358,0,$G$8):OFFSET($E358,0,I$8))&lt;&gt;0,(OFFSET($E359,0,I$8)/SUM(OFFSET($E358,0,$G$8):OFFSET($E358,0,I$8)))*SUM($G395:I395),0)</f>
        <v>0</v>
      </c>
      <c r="J396" s="975">
        <f ca="1">IF(SUM(OFFSET($E358,0,$G$8):OFFSET($E358,0,J$8))&lt;&gt;0,(OFFSET($E359,0,J$8)/SUM(OFFSET($E358,0,$G$8):OFFSET($E358,0,J$8)))*SUM($G395:J395),0)</f>
        <v>0</v>
      </c>
      <c r="K396" s="975">
        <f ca="1">IF(SUM(OFFSET($E358,0,$G$8):OFFSET($E358,0,K$8))&lt;&gt;0,(OFFSET($E359,0,K$8)/SUM(OFFSET($E358,0,$G$8):OFFSET($E358,0,K$8)))*SUM($G395:K395),0)</f>
        <v>0</v>
      </c>
      <c r="L396" s="975">
        <f ca="1">IF(SUM(OFFSET($E358,0,$G$8):OFFSET($E358,0,L$8))&lt;&gt;0,(OFFSET($E359,0,L$8)/SUM(OFFSET($E358,0,$G$8):OFFSET($E358,0,L$8)))*SUM($G395:L395),0)</f>
        <v>0</v>
      </c>
      <c r="M396" s="975">
        <f ca="1">IF(SUM(OFFSET($E358,0,$G$8):OFFSET($E358,0,M$8))&lt;&gt;0,(OFFSET($E359,0,M$8)/SUM(OFFSET($E358,0,$G$8):OFFSET($E358,0,M$8)))*SUM($G395:M395),0)</f>
        <v>0</v>
      </c>
      <c r="N396" s="414"/>
      <c r="O396" s="326"/>
      <c r="P396" s="324" t="s">
        <v>455</v>
      </c>
    </row>
    <row r="397" spans="1:16" ht="11.25" hidden="1" customHeight="1" x14ac:dyDescent="0.35">
      <c r="A397" s="336" t="str">
        <f>"TL04-03"&amp;TEXT(IFRSAlloc04,"-00")</f>
        <v>TL04-03-00</v>
      </c>
      <c r="B397" s="400"/>
      <c r="C397" s="421" t="str">
        <f>$C$351</f>
        <v>Balance</v>
      </c>
      <c r="D397" s="1171"/>
      <c r="E397" s="422" t="s">
        <v>502</v>
      </c>
      <c r="F397" s="997"/>
      <c r="G397" s="998">
        <f t="shared" ref="G397:L397" ca="1" si="121">G395+G396+OFFSET(G397,0,-1)</f>
        <v>0</v>
      </c>
      <c r="H397" s="998">
        <f t="shared" ca="1" si="121"/>
        <v>0</v>
      </c>
      <c r="I397" s="998">
        <f t="shared" ca="1" si="121"/>
        <v>0</v>
      </c>
      <c r="J397" s="998">
        <f t="shared" ca="1" si="121"/>
        <v>0</v>
      </c>
      <c r="K397" s="998">
        <f t="shared" ca="1" si="121"/>
        <v>0</v>
      </c>
      <c r="L397" s="998">
        <f t="shared" ca="1" si="121"/>
        <v>0</v>
      </c>
      <c r="M397" s="998">
        <f t="shared" ref="M397" ca="1" si="122">M395+M396+OFFSET(M397,0,-1)</f>
        <v>0</v>
      </c>
      <c r="N397" s="414"/>
      <c r="O397" s="326"/>
      <c r="P397" s="324" t="s">
        <v>455</v>
      </c>
    </row>
    <row r="398" spans="1:16" ht="11.25" hidden="1" customHeight="1" x14ac:dyDescent="0.35">
      <c r="A398" s="336" t="str">
        <f>"TL05-01"&amp;TEXT(IFRSAlloc05,"-00")</f>
        <v>TL05-01-00</v>
      </c>
      <c r="B398" s="400"/>
      <c r="C398" s="417" t="str">
        <f>$C$349&amp;IF(IFRSAlloc05&gt;0,INDEX(IFRSallocDD,IFRSAlloc05),"")</f>
        <v xml:space="preserve">Amount allocated on </v>
      </c>
      <c r="D398" s="1169"/>
      <c r="E398" s="418" t="s">
        <v>503</v>
      </c>
      <c r="F398" s="993"/>
      <c r="G398" s="999">
        <f t="shared" ref="G398:L398" ca="1" si="123">IF(OFFSET($E$344,0,G$8)&lt;&gt;0,(OFFSET($E361,0,G$8)/OFFSET($E$344,0,G$8))*OFFSET($E$345,0,G$8),0)</f>
        <v>0</v>
      </c>
      <c r="H398" s="999">
        <f t="shared" ca="1" si="123"/>
        <v>0</v>
      </c>
      <c r="I398" s="999">
        <f t="shared" ca="1" si="123"/>
        <v>0</v>
      </c>
      <c r="J398" s="999">
        <f t="shared" ca="1" si="123"/>
        <v>0</v>
      </c>
      <c r="K398" s="999">
        <f t="shared" ca="1" si="123"/>
        <v>0</v>
      </c>
      <c r="L398" s="999">
        <f t="shared" ca="1" si="123"/>
        <v>0</v>
      </c>
      <c r="M398" s="999">
        <f t="shared" ref="M398" ca="1" si="124">IF(OFFSET($E$344,0,M$8)&lt;&gt;0,(OFFSET($E361,0,M$8)/OFFSET($E$344,0,M$8))*OFFSET($E$345,0,M$8),0)</f>
        <v>0</v>
      </c>
      <c r="N398" s="414"/>
      <c r="O398" s="326"/>
      <c r="P398" s="324" t="s">
        <v>455</v>
      </c>
    </row>
    <row r="399" spans="1:16" ht="11.25" hidden="1" customHeight="1" x14ac:dyDescent="0.35">
      <c r="A399" s="336" t="str">
        <f>"TL05-02"&amp;TEXT(IFRSAlloc05,"-00")</f>
        <v>TL05-02-00</v>
      </c>
      <c r="B399" s="400"/>
      <c r="C399" s="423" t="str">
        <f>$C$350</f>
        <v>Depreciation</v>
      </c>
      <c r="D399" s="1166"/>
      <c r="E399" s="322" t="s">
        <v>504</v>
      </c>
      <c r="F399" s="990"/>
      <c r="G399" s="975">
        <f ca="1">IF(SUM(OFFSET($E361,0,$G$8):OFFSET($E361,0,G$8))&lt;&gt;0,(OFFSET($E362,0,G$8)/SUM(OFFSET($E361,0,$G$8):OFFSET($E361,0,G$8)))*SUM($G398:G398),0)</f>
        <v>0</v>
      </c>
      <c r="H399" s="975">
        <f ca="1">IF(SUM(OFFSET($E361,0,$G$8):OFFSET($E361,0,H$8))&lt;&gt;0,(OFFSET($E362,0,H$8)/SUM(OFFSET($E361,0,$G$8):OFFSET($E361,0,H$8)))*SUM($G398:H398),0)</f>
        <v>0</v>
      </c>
      <c r="I399" s="975">
        <f ca="1">IF(SUM(OFFSET($E361,0,$G$8):OFFSET($E361,0,I$8))&lt;&gt;0,(OFFSET($E362,0,I$8)/SUM(OFFSET($E361,0,$G$8):OFFSET($E361,0,I$8)))*SUM($G398:I398),0)</f>
        <v>0</v>
      </c>
      <c r="J399" s="975">
        <f ca="1">IF(SUM(OFFSET($E361,0,$G$8):OFFSET($E361,0,J$8))&lt;&gt;0,(OFFSET($E362,0,J$8)/SUM(OFFSET($E361,0,$G$8):OFFSET($E361,0,J$8)))*SUM($G398:J398),0)</f>
        <v>0</v>
      </c>
      <c r="K399" s="975">
        <f ca="1">IF(SUM(OFFSET($E361,0,$G$8):OFFSET($E361,0,K$8))&lt;&gt;0,(OFFSET($E362,0,K$8)/SUM(OFFSET($E361,0,$G$8):OFFSET($E361,0,K$8)))*SUM($G398:K398),0)</f>
        <v>0</v>
      </c>
      <c r="L399" s="975">
        <f ca="1">IF(SUM(OFFSET($E361,0,$G$8):OFFSET($E361,0,L$8))&lt;&gt;0,(OFFSET($E362,0,L$8)/SUM(OFFSET($E361,0,$G$8):OFFSET($E361,0,L$8)))*SUM($G398:L398),0)</f>
        <v>0</v>
      </c>
      <c r="M399" s="975">
        <f ca="1">IF(SUM(OFFSET($E361,0,$G$8):OFFSET($E361,0,M$8))&lt;&gt;0,(OFFSET($E362,0,M$8)/SUM(OFFSET($E361,0,$G$8):OFFSET($E361,0,M$8)))*SUM($G398:M398),0)</f>
        <v>0</v>
      </c>
      <c r="N399" s="414"/>
      <c r="O399" s="326"/>
      <c r="P399" s="324" t="s">
        <v>455</v>
      </c>
    </row>
    <row r="400" spans="1:16" ht="11.25" hidden="1" customHeight="1" x14ac:dyDescent="0.35">
      <c r="A400" s="336" t="str">
        <f>"TL05-03"&amp;TEXT(IFRSAlloc05,"-00")</f>
        <v>TL05-03-00</v>
      </c>
      <c r="B400" s="400"/>
      <c r="C400" s="421" t="str">
        <f>$C$351</f>
        <v>Balance</v>
      </c>
      <c r="D400" s="1171"/>
      <c r="E400" s="422" t="s">
        <v>505</v>
      </c>
      <c r="F400" s="997"/>
      <c r="G400" s="998">
        <f t="shared" ref="G400:L400" ca="1" si="125">G398+G399+OFFSET(G400,0,-1)</f>
        <v>0</v>
      </c>
      <c r="H400" s="998">
        <f t="shared" ca="1" si="125"/>
        <v>0</v>
      </c>
      <c r="I400" s="998">
        <f t="shared" ca="1" si="125"/>
        <v>0</v>
      </c>
      <c r="J400" s="998">
        <f t="shared" ca="1" si="125"/>
        <v>0</v>
      </c>
      <c r="K400" s="998">
        <f t="shared" ca="1" si="125"/>
        <v>0</v>
      </c>
      <c r="L400" s="998">
        <f t="shared" ca="1" si="125"/>
        <v>0</v>
      </c>
      <c r="M400" s="998">
        <f t="shared" ref="M400" ca="1" si="126">M398+M399+OFFSET(M400,0,-1)</f>
        <v>0</v>
      </c>
      <c r="N400" s="414"/>
      <c r="O400" s="326"/>
      <c r="P400" s="324" t="s">
        <v>455</v>
      </c>
    </row>
    <row r="401" spans="1:16" ht="11.25" hidden="1" customHeight="1" x14ac:dyDescent="0.35">
      <c r="A401" s="336" t="str">
        <f>"TL06-01"&amp;TEXT(IFRSAlloc06,"-00")</f>
        <v>TL06-01-00</v>
      </c>
      <c r="B401" s="400"/>
      <c r="C401" s="417" t="str">
        <f>$C$349&amp;IF(IFRSAlloc06&gt;0,INDEX(IFRSallocDD,IFRSAlloc06),"")</f>
        <v xml:space="preserve">Amount allocated on </v>
      </c>
      <c r="D401" s="1169"/>
      <c r="E401" s="418" t="s">
        <v>506</v>
      </c>
      <c r="F401" s="993"/>
      <c r="G401" s="999">
        <f t="shared" ref="G401:L401" ca="1" si="127">IF(OFFSET($E$344,0,G$8)&lt;&gt;0,(OFFSET($E364,0,G$8)/OFFSET($E$344,0,G$8))*OFFSET($E$345,0,G$8),0)</f>
        <v>0</v>
      </c>
      <c r="H401" s="999">
        <f t="shared" ca="1" si="127"/>
        <v>0</v>
      </c>
      <c r="I401" s="999">
        <f t="shared" ca="1" si="127"/>
        <v>0</v>
      </c>
      <c r="J401" s="999">
        <f t="shared" ca="1" si="127"/>
        <v>0</v>
      </c>
      <c r="K401" s="999">
        <f t="shared" ca="1" si="127"/>
        <v>0</v>
      </c>
      <c r="L401" s="999">
        <f t="shared" ca="1" si="127"/>
        <v>0</v>
      </c>
      <c r="M401" s="999">
        <f t="shared" ref="M401" ca="1" si="128">IF(OFFSET($E$344,0,M$8)&lt;&gt;0,(OFFSET($E364,0,M$8)/OFFSET($E$344,0,M$8))*OFFSET($E$345,0,M$8),0)</f>
        <v>0</v>
      </c>
      <c r="N401" s="414"/>
      <c r="O401" s="326"/>
      <c r="P401" s="324" t="s">
        <v>455</v>
      </c>
    </row>
    <row r="402" spans="1:16" ht="11.25" hidden="1" customHeight="1" x14ac:dyDescent="0.35">
      <c r="A402" s="336" t="str">
        <f>"TL06-02"&amp;TEXT(IFRSAlloc06,"-00")</f>
        <v>TL06-02-00</v>
      </c>
      <c r="B402" s="400"/>
      <c r="C402" s="423" t="str">
        <f>$C$350</f>
        <v>Depreciation</v>
      </c>
      <c r="D402" s="1166"/>
      <c r="E402" s="322" t="s">
        <v>507</v>
      </c>
      <c r="F402" s="990"/>
      <c r="G402" s="975">
        <f ca="1">IF(SUM(OFFSET($E364,0,$G$8):OFFSET($E364,0,G$8))&lt;&gt;0,(OFFSET($E365,0,G$8)/SUM(OFFSET($E364,0,$G$8):OFFSET($E364,0,G$8)))*SUM($G401:G401),0)</f>
        <v>0</v>
      </c>
      <c r="H402" s="975">
        <f ca="1">IF(SUM(OFFSET($E364,0,$G$8):OFFSET($E364,0,H$8))&lt;&gt;0,(OFFSET($E365,0,H$8)/SUM(OFFSET($E364,0,$G$8):OFFSET($E364,0,H$8)))*SUM($G401:H401),0)</f>
        <v>0</v>
      </c>
      <c r="I402" s="975">
        <f ca="1">IF(SUM(OFFSET($E364,0,$G$8):OFFSET($E364,0,I$8))&lt;&gt;0,(OFFSET($E365,0,I$8)/SUM(OFFSET($E364,0,$G$8):OFFSET($E364,0,I$8)))*SUM($G401:I401),0)</f>
        <v>0</v>
      </c>
      <c r="J402" s="975">
        <f ca="1">IF(SUM(OFFSET($E364,0,$G$8):OFFSET($E364,0,J$8))&lt;&gt;0,(OFFSET($E365,0,J$8)/SUM(OFFSET($E364,0,$G$8):OFFSET($E364,0,J$8)))*SUM($G401:J401),0)</f>
        <v>0</v>
      </c>
      <c r="K402" s="975">
        <f ca="1">IF(SUM(OFFSET($E364,0,$G$8):OFFSET($E364,0,K$8))&lt;&gt;0,(OFFSET($E365,0,K$8)/SUM(OFFSET($E364,0,$G$8):OFFSET($E364,0,K$8)))*SUM($G401:K401),0)</f>
        <v>0</v>
      </c>
      <c r="L402" s="975">
        <f ca="1">IF(SUM(OFFSET($E364,0,$G$8):OFFSET($E364,0,L$8))&lt;&gt;0,(OFFSET($E365,0,L$8)/SUM(OFFSET($E364,0,$G$8):OFFSET($E364,0,L$8)))*SUM($G401:L401),0)</f>
        <v>0</v>
      </c>
      <c r="M402" s="975">
        <f ca="1">IF(SUM(OFFSET($E364,0,$G$8):OFFSET($E364,0,M$8))&lt;&gt;0,(OFFSET($E365,0,M$8)/SUM(OFFSET($E364,0,$G$8):OFFSET($E364,0,M$8)))*SUM($G401:M401),0)</f>
        <v>0</v>
      </c>
      <c r="N402" s="414"/>
      <c r="O402" s="326"/>
      <c r="P402" s="324" t="s">
        <v>455</v>
      </c>
    </row>
    <row r="403" spans="1:16" ht="11.25" hidden="1" customHeight="1" x14ac:dyDescent="0.35">
      <c r="A403" s="336" t="str">
        <f>"TL06-03"&amp;TEXT(IFRSAlloc06,"-00")</f>
        <v>TL06-03-00</v>
      </c>
      <c r="B403" s="400"/>
      <c r="C403" s="421" t="str">
        <f>$C$351</f>
        <v>Balance</v>
      </c>
      <c r="D403" s="1171"/>
      <c r="E403" s="422" t="s">
        <v>508</v>
      </c>
      <c r="F403" s="997"/>
      <c r="G403" s="998">
        <f t="shared" ref="G403:L403" ca="1" si="129">G401+G402+OFFSET(G403,0,-1)</f>
        <v>0</v>
      </c>
      <c r="H403" s="998">
        <f t="shared" ca="1" si="129"/>
        <v>0</v>
      </c>
      <c r="I403" s="998">
        <f t="shared" ca="1" si="129"/>
        <v>0</v>
      </c>
      <c r="J403" s="998">
        <f t="shared" ca="1" si="129"/>
        <v>0</v>
      </c>
      <c r="K403" s="998">
        <f t="shared" ca="1" si="129"/>
        <v>0</v>
      </c>
      <c r="L403" s="998">
        <f t="shared" ca="1" si="129"/>
        <v>0</v>
      </c>
      <c r="M403" s="998">
        <f t="shared" ref="M403" ca="1" si="130">M401+M402+OFFSET(M403,0,-1)</f>
        <v>0</v>
      </c>
      <c r="N403" s="414"/>
      <c r="O403" s="326"/>
      <c r="P403" s="324" t="s">
        <v>455</v>
      </c>
    </row>
    <row r="404" spans="1:16" ht="11.25" hidden="1" customHeight="1" x14ac:dyDescent="0.35">
      <c r="A404" s="336" t="str">
        <f>"TL07-01"&amp;TEXT(IFRSAlloc07,"-00")</f>
        <v>TL07-01-00</v>
      </c>
      <c r="B404" s="400"/>
      <c r="C404" s="417" t="str">
        <f>$C$349&amp;IF(IFRSAlloc07&gt;0,INDEX(IFRSallocDD,IFRSAlloc07),"")</f>
        <v xml:space="preserve">Amount allocated on </v>
      </c>
      <c r="D404" s="1169"/>
      <c r="E404" s="418" t="s">
        <v>509</v>
      </c>
      <c r="F404" s="993"/>
      <c r="G404" s="999">
        <f t="shared" ref="G404:L404" ca="1" si="131">IF(OFFSET($E$344,0,G$8)&lt;&gt;0,(OFFSET($E367,0,G$8)/OFFSET($E$344,0,G$8))*OFFSET($E$345,0,G$8),0)</f>
        <v>0</v>
      </c>
      <c r="H404" s="999">
        <f t="shared" ca="1" si="131"/>
        <v>0</v>
      </c>
      <c r="I404" s="999">
        <f t="shared" ca="1" si="131"/>
        <v>0</v>
      </c>
      <c r="J404" s="999">
        <f t="shared" ca="1" si="131"/>
        <v>0</v>
      </c>
      <c r="K404" s="999">
        <f t="shared" ca="1" si="131"/>
        <v>0</v>
      </c>
      <c r="L404" s="999">
        <f t="shared" ca="1" si="131"/>
        <v>0</v>
      </c>
      <c r="M404" s="999">
        <f t="shared" ref="M404" ca="1" si="132">IF(OFFSET($E$344,0,M$8)&lt;&gt;0,(OFFSET($E367,0,M$8)/OFFSET($E$344,0,M$8))*OFFSET($E$345,0,M$8),0)</f>
        <v>0</v>
      </c>
      <c r="N404" s="414"/>
      <c r="O404" s="326"/>
      <c r="P404" s="324" t="s">
        <v>455</v>
      </c>
    </row>
    <row r="405" spans="1:16" ht="11.25" hidden="1" customHeight="1" x14ac:dyDescent="0.35">
      <c r="A405" s="336" t="str">
        <f>"TL07-02"&amp;TEXT(IFRSAlloc07,"-00")</f>
        <v>TL07-02-00</v>
      </c>
      <c r="B405" s="400"/>
      <c r="C405" s="423" t="str">
        <f>$C$350</f>
        <v>Depreciation</v>
      </c>
      <c r="D405" s="1166"/>
      <c r="E405" s="322" t="s">
        <v>510</v>
      </c>
      <c r="F405" s="990"/>
      <c r="G405" s="975">
        <f ca="1">IF(SUM(OFFSET($E367,0,$G$8):OFFSET($E367,0,G$8))&lt;&gt;0,(OFFSET($E368,0,G$8)/SUM(OFFSET($E367,0,$G$8):OFFSET($E367,0,G$8)))*SUM($G404:G404),0)</f>
        <v>0</v>
      </c>
      <c r="H405" s="975">
        <f ca="1">IF(SUM(OFFSET($E367,0,$G$8):OFFSET($E367,0,H$8))&lt;&gt;0,(OFFSET($E368,0,H$8)/SUM(OFFSET($E367,0,$G$8):OFFSET($E367,0,H$8)))*SUM($G404:H404),0)</f>
        <v>0</v>
      </c>
      <c r="I405" s="975">
        <f ca="1">IF(SUM(OFFSET($E367,0,$G$8):OFFSET($E367,0,I$8))&lt;&gt;0,(OFFSET($E368,0,I$8)/SUM(OFFSET($E367,0,$G$8):OFFSET($E367,0,I$8)))*SUM($G404:I404),0)</f>
        <v>0</v>
      </c>
      <c r="J405" s="975">
        <f ca="1">IF(SUM(OFFSET($E367,0,$G$8):OFFSET($E367,0,J$8))&lt;&gt;0,(OFFSET($E368,0,J$8)/SUM(OFFSET($E367,0,$G$8):OFFSET($E367,0,J$8)))*SUM($G404:J404),0)</f>
        <v>0</v>
      </c>
      <c r="K405" s="975">
        <f ca="1">IF(SUM(OFFSET($E367,0,$G$8):OFFSET($E367,0,K$8))&lt;&gt;0,(OFFSET($E368,0,K$8)/SUM(OFFSET($E367,0,$G$8):OFFSET($E367,0,K$8)))*SUM($G404:K404),0)</f>
        <v>0</v>
      </c>
      <c r="L405" s="975">
        <f ca="1">IF(SUM(OFFSET($E367,0,$G$8):OFFSET($E367,0,L$8))&lt;&gt;0,(OFFSET($E368,0,L$8)/SUM(OFFSET($E367,0,$G$8):OFFSET($E367,0,L$8)))*SUM($G404:L404),0)</f>
        <v>0</v>
      </c>
      <c r="M405" s="975">
        <f ca="1">IF(SUM(OFFSET($E367,0,$G$8):OFFSET($E367,0,M$8))&lt;&gt;0,(OFFSET($E368,0,M$8)/SUM(OFFSET($E367,0,$G$8):OFFSET($E367,0,M$8)))*SUM($G404:M404),0)</f>
        <v>0</v>
      </c>
      <c r="N405" s="414"/>
      <c r="O405" s="326"/>
      <c r="P405" s="324" t="s">
        <v>455</v>
      </c>
    </row>
    <row r="406" spans="1:16" ht="11.25" hidden="1" customHeight="1" x14ac:dyDescent="0.35">
      <c r="A406" s="336" t="str">
        <f>"TL07-03"&amp;TEXT(IFRSAlloc07,"-00")</f>
        <v>TL07-03-00</v>
      </c>
      <c r="B406" s="400"/>
      <c r="C406" s="421" t="str">
        <f>$C$351</f>
        <v>Balance</v>
      </c>
      <c r="D406" s="1171"/>
      <c r="E406" s="422" t="s">
        <v>511</v>
      </c>
      <c r="F406" s="997"/>
      <c r="G406" s="998">
        <f t="shared" ref="G406:L406" ca="1" si="133">G404+G405+OFFSET(G406,0,-1)</f>
        <v>0</v>
      </c>
      <c r="H406" s="998">
        <f t="shared" ca="1" si="133"/>
        <v>0</v>
      </c>
      <c r="I406" s="998">
        <f t="shared" ca="1" si="133"/>
        <v>0</v>
      </c>
      <c r="J406" s="998">
        <f t="shared" ca="1" si="133"/>
        <v>0</v>
      </c>
      <c r="K406" s="998">
        <f t="shared" ca="1" si="133"/>
        <v>0</v>
      </c>
      <c r="L406" s="998">
        <f t="shared" ca="1" si="133"/>
        <v>0</v>
      </c>
      <c r="M406" s="998">
        <f t="shared" ref="M406" ca="1" si="134">M404+M405+OFFSET(M406,0,-1)</f>
        <v>0</v>
      </c>
      <c r="N406" s="414"/>
      <c r="O406" s="326"/>
      <c r="P406" s="324" t="s">
        <v>455</v>
      </c>
    </row>
    <row r="407" spans="1:16" ht="11.25" hidden="1" customHeight="1" x14ac:dyDescent="0.35">
      <c r="A407" s="336" t="str">
        <f>"TL08-01"&amp;TEXT(IFRSAlloc08,"-00")</f>
        <v>TL08-01-00</v>
      </c>
      <c r="B407" s="400"/>
      <c r="C407" s="417" t="str">
        <f>$C$349&amp;IF(IFRSAlloc08&gt;0,INDEX(IFRSallocDD,IFRSAlloc08),"")</f>
        <v xml:space="preserve">Amount allocated on </v>
      </c>
      <c r="D407" s="1169"/>
      <c r="E407" s="418" t="s">
        <v>512</v>
      </c>
      <c r="F407" s="993"/>
      <c r="G407" s="999">
        <f t="shared" ref="G407:L407" ca="1" si="135">IF(OFFSET($E$344,0,G$8)&lt;&gt;0,(OFFSET($E370,0,G$8)/OFFSET($E$344,0,G$8))*OFFSET($E$345,0,G$8),0)</f>
        <v>0</v>
      </c>
      <c r="H407" s="999">
        <f t="shared" ca="1" si="135"/>
        <v>0</v>
      </c>
      <c r="I407" s="999">
        <f t="shared" ca="1" si="135"/>
        <v>0</v>
      </c>
      <c r="J407" s="999">
        <f t="shared" ca="1" si="135"/>
        <v>0</v>
      </c>
      <c r="K407" s="999">
        <f t="shared" ca="1" si="135"/>
        <v>0</v>
      </c>
      <c r="L407" s="999">
        <f t="shared" ca="1" si="135"/>
        <v>0</v>
      </c>
      <c r="M407" s="999">
        <f t="shared" ref="M407" ca="1" si="136">IF(OFFSET($E$344,0,M$8)&lt;&gt;0,(OFFSET($E370,0,M$8)/OFFSET($E$344,0,M$8))*OFFSET($E$345,0,M$8),0)</f>
        <v>0</v>
      </c>
      <c r="N407" s="414"/>
      <c r="O407" s="326"/>
      <c r="P407" s="324" t="s">
        <v>455</v>
      </c>
    </row>
    <row r="408" spans="1:16" ht="11.25" hidden="1" customHeight="1" x14ac:dyDescent="0.35">
      <c r="A408" s="336" t="str">
        <f>"TL08-02"&amp;TEXT(IFRSAlloc08,"-00")</f>
        <v>TL08-02-00</v>
      </c>
      <c r="B408" s="400"/>
      <c r="C408" s="423" t="str">
        <f>$C$350</f>
        <v>Depreciation</v>
      </c>
      <c r="D408" s="1166"/>
      <c r="E408" s="322" t="s">
        <v>513</v>
      </c>
      <c r="F408" s="990"/>
      <c r="G408" s="975">
        <f ca="1">IF(SUM(OFFSET($E370,0,$G$8):OFFSET($E370,0,G$8))&lt;&gt;0,(OFFSET($E371,0,G$8)/SUM(OFFSET($E370,0,$G$8):OFFSET($E370,0,G$8)))*SUM($G407:G407),0)</f>
        <v>0</v>
      </c>
      <c r="H408" s="975">
        <f ca="1">IF(SUM(OFFSET($E370,0,$G$8):OFFSET($E370,0,H$8))&lt;&gt;0,(OFFSET($E371,0,H$8)/SUM(OFFSET($E370,0,$G$8):OFFSET($E370,0,H$8)))*SUM($G407:H407),0)</f>
        <v>0</v>
      </c>
      <c r="I408" s="975">
        <f ca="1">IF(SUM(OFFSET($E370,0,$G$8):OFFSET($E370,0,I$8))&lt;&gt;0,(OFFSET($E371,0,I$8)/SUM(OFFSET($E370,0,$G$8):OFFSET($E370,0,I$8)))*SUM($G407:I407),0)</f>
        <v>0</v>
      </c>
      <c r="J408" s="975">
        <f ca="1">IF(SUM(OFFSET($E370,0,$G$8):OFFSET($E370,0,J$8))&lt;&gt;0,(OFFSET($E371,0,J$8)/SUM(OFFSET($E370,0,$G$8):OFFSET($E370,0,J$8)))*SUM($G407:J407),0)</f>
        <v>0</v>
      </c>
      <c r="K408" s="975">
        <f ca="1">IF(SUM(OFFSET($E370,0,$G$8):OFFSET($E370,0,K$8))&lt;&gt;0,(OFFSET($E371,0,K$8)/SUM(OFFSET($E370,0,$G$8):OFFSET($E370,0,K$8)))*SUM($G407:K407),0)</f>
        <v>0</v>
      </c>
      <c r="L408" s="975">
        <f ca="1">IF(SUM(OFFSET($E370,0,$G$8):OFFSET($E370,0,L$8))&lt;&gt;0,(OFFSET($E371,0,L$8)/SUM(OFFSET($E370,0,$G$8):OFFSET($E370,0,L$8)))*SUM($G407:L407),0)</f>
        <v>0</v>
      </c>
      <c r="M408" s="975">
        <f ca="1">IF(SUM(OFFSET($E370,0,$G$8):OFFSET($E370,0,M$8))&lt;&gt;0,(OFFSET($E371,0,M$8)/SUM(OFFSET($E370,0,$G$8):OFFSET($E370,0,M$8)))*SUM($G407:M407),0)</f>
        <v>0</v>
      </c>
      <c r="N408" s="414"/>
      <c r="O408" s="326"/>
      <c r="P408" s="324" t="s">
        <v>455</v>
      </c>
    </row>
    <row r="409" spans="1:16" ht="11.25" hidden="1" customHeight="1" x14ac:dyDescent="0.35">
      <c r="A409" s="336" t="str">
        <f>"TL08-03"&amp;TEXT(IFRSAlloc08,"-00")</f>
        <v>TL08-03-00</v>
      </c>
      <c r="B409" s="400"/>
      <c r="C409" s="421" t="str">
        <f>$C$351</f>
        <v>Balance</v>
      </c>
      <c r="D409" s="1171"/>
      <c r="E409" s="422" t="s">
        <v>514</v>
      </c>
      <c r="F409" s="997"/>
      <c r="G409" s="998">
        <f t="shared" ref="G409:L409" ca="1" si="137">G407+G408+OFFSET(G409,0,-1)</f>
        <v>0</v>
      </c>
      <c r="H409" s="998">
        <f t="shared" ca="1" si="137"/>
        <v>0</v>
      </c>
      <c r="I409" s="998">
        <f t="shared" ca="1" si="137"/>
        <v>0</v>
      </c>
      <c r="J409" s="998">
        <f t="shared" ca="1" si="137"/>
        <v>0</v>
      </c>
      <c r="K409" s="998">
        <f t="shared" ca="1" si="137"/>
        <v>0</v>
      </c>
      <c r="L409" s="998">
        <f t="shared" ca="1" si="137"/>
        <v>0</v>
      </c>
      <c r="M409" s="998">
        <f t="shared" ref="M409" ca="1" si="138">M407+M408+OFFSET(M409,0,-1)</f>
        <v>0</v>
      </c>
      <c r="N409" s="414"/>
      <c r="O409" s="326"/>
      <c r="P409" s="324" t="s">
        <v>455</v>
      </c>
    </row>
    <row r="410" spans="1:16" ht="11.25" hidden="1" customHeight="1" x14ac:dyDescent="0.35">
      <c r="A410" s="336" t="str">
        <f>"TL09-01"&amp;TEXT(IFRSAlloc09,"-00")</f>
        <v>TL09-01-00</v>
      </c>
      <c r="B410" s="400"/>
      <c r="C410" s="417" t="str">
        <f>$C$349&amp;IF(IFRSAlloc09&gt;0,INDEX(IFRSallocDD,IFRSAlloc09),"")</f>
        <v xml:space="preserve">Amount allocated on </v>
      </c>
      <c r="D410" s="1169"/>
      <c r="E410" s="418" t="s">
        <v>515</v>
      </c>
      <c r="F410" s="993"/>
      <c r="G410" s="999">
        <f t="shared" ref="G410:L410" ca="1" si="139">IF(OFFSET($E$344,0,G$8)&lt;&gt;0,(OFFSET($E373,0,G$8)/OFFSET($E$344,0,G$8))*OFFSET($E$345,0,G$8),0)</f>
        <v>0</v>
      </c>
      <c r="H410" s="999">
        <f t="shared" ca="1" si="139"/>
        <v>0</v>
      </c>
      <c r="I410" s="999">
        <f t="shared" ca="1" si="139"/>
        <v>0</v>
      </c>
      <c r="J410" s="999">
        <f t="shared" ca="1" si="139"/>
        <v>0</v>
      </c>
      <c r="K410" s="999">
        <f t="shared" ca="1" si="139"/>
        <v>0</v>
      </c>
      <c r="L410" s="999">
        <f t="shared" ca="1" si="139"/>
        <v>0</v>
      </c>
      <c r="M410" s="999">
        <f t="shared" ref="M410" ca="1" si="140">IF(OFFSET($E$344,0,M$8)&lt;&gt;0,(OFFSET($E373,0,M$8)/OFFSET($E$344,0,M$8))*OFFSET($E$345,0,M$8),0)</f>
        <v>0</v>
      </c>
      <c r="N410" s="414"/>
      <c r="O410" s="326"/>
      <c r="P410" s="324" t="s">
        <v>455</v>
      </c>
    </row>
    <row r="411" spans="1:16" ht="11.25" hidden="1" customHeight="1" x14ac:dyDescent="0.35">
      <c r="A411" s="336" t="str">
        <f>"TL09-02"&amp;TEXT(IFRSAlloc09,"-00")</f>
        <v>TL09-02-00</v>
      </c>
      <c r="B411" s="400"/>
      <c r="C411" s="423" t="str">
        <f>$C$350</f>
        <v>Depreciation</v>
      </c>
      <c r="D411" s="1166"/>
      <c r="E411" s="322" t="s">
        <v>516</v>
      </c>
      <c r="F411" s="990"/>
      <c r="G411" s="975">
        <f ca="1">IF(SUM(OFFSET($E373,0,$G$8):OFFSET($E373,0,G$8))&lt;&gt;0,(OFFSET($E374,0,G$8)/SUM(OFFSET($E373,0,$G$8):OFFSET($E373,0,G$8)))*SUM($G410:G410),0)</f>
        <v>0</v>
      </c>
      <c r="H411" s="975">
        <f ca="1">IF(SUM(OFFSET($E373,0,$G$8):OFFSET($E373,0,H$8))&lt;&gt;0,(OFFSET($E374,0,H$8)/SUM(OFFSET($E373,0,$G$8):OFFSET($E373,0,H$8)))*SUM($G410:H410),0)</f>
        <v>0</v>
      </c>
      <c r="I411" s="975">
        <f ca="1">IF(SUM(OFFSET($E373,0,$G$8):OFFSET($E373,0,I$8))&lt;&gt;0,(OFFSET($E374,0,I$8)/SUM(OFFSET($E373,0,$G$8):OFFSET($E373,0,I$8)))*SUM($G410:I410),0)</f>
        <v>0</v>
      </c>
      <c r="J411" s="975">
        <f ca="1">IF(SUM(OFFSET($E373,0,$G$8):OFFSET($E373,0,J$8))&lt;&gt;0,(OFFSET($E374,0,J$8)/SUM(OFFSET($E373,0,$G$8):OFFSET($E373,0,J$8)))*SUM($G410:J410),0)</f>
        <v>0</v>
      </c>
      <c r="K411" s="975">
        <f ca="1">IF(SUM(OFFSET($E373,0,$G$8):OFFSET($E373,0,K$8))&lt;&gt;0,(OFFSET($E374,0,K$8)/SUM(OFFSET($E373,0,$G$8):OFFSET($E373,0,K$8)))*SUM($G410:K410),0)</f>
        <v>0</v>
      </c>
      <c r="L411" s="975">
        <f ca="1">IF(SUM(OFFSET($E373,0,$G$8):OFFSET($E373,0,L$8))&lt;&gt;0,(OFFSET($E374,0,L$8)/SUM(OFFSET($E373,0,$G$8):OFFSET($E373,0,L$8)))*SUM($G410:L410),0)</f>
        <v>0</v>
      </c>
      <c r="M411" s="975">
        <f ca="1">IF(SUM(OFFSET($E373,0,$G$8):OFFSET($E373,0,M$8))&lt;&gt;0,(OFFSET($E374,0,M$8)/SUM(OFFSET($E373,0,$G$8):OFFSET($E373,0,M$8)))*SUM($G410:M410),0)</f>
        <v>0</v>
      </c>
      <c r="N411" s="414"/>
      <c r="O411" s="326"/>
      <c r="P411" s="324" t="s">
        <v>455</v>
      </c>
    </row>
    <row r="412" spans="1:16" ht="11.25" hidden="1" customHeight="1" x14ac:dyDescent="0.35">
      <c r="A412" s="336" t="str">
        <f>"TL09-03"&amp;TEXT(IFRSAlloc09,"-00")</f>
        <v>TL09-03-00</v>
      </c>
      <c r="B412" s="400"/>
      <c r="C412" s="421" t="str">
        <f>$C$351</f>
        <v>Balance</v>
      </c>
      <c r="D412" s="1171"/>
      <c r="E412" s="422" t="s">
        <v>517</v>
      </c>
      <c r="F412" s="997"/>
      <c r="G412" s="998">
        <f t="shared" ref="G412:L412" ca="1" si="141">G410+G411+OFFSET(G412,0,-1)</f>
        <v>0</v>
      </c>
      <c r="H412" s="998">
        <f t="shared" ca="1" si="141"/>
        <v>0</v>
      </c>
      <c r="I412" s="998">
        <f t="shared" ca="1" si="141"/>
        <v>0</v>
      </c>
      <c r="J412" s="998">
        <f t="shared" ca="1" si="141"/>
        <v>0</v>
      </c>
      <c r="K412" s="998">
        <f t="shared" ca="1" si="141"/>
        <v>0</v>
      </c>
      <c r="L412" s="998">
        <f t="shared" ca="1" si="141"/>
        <v>0</v>
      </c>
      <c r="M412" s="998">
        <f t="shared" ref="M412" ca="1" si="142">M410+M411+OFFSET(M412,0,-1)</f>
        <v>0</v>
      </c>
      <c r="N412" s="414"/>
      <c r="O412" s="326"/>
      <c r="P412" s="324" t="s">
        <v>455</v>
      </c>
    </row>
    <row r="413" spans="1:16" ht="11.25" hidden="1" customHeight="1" x14ac:dyDescent="0.35">
      <c r="A413" s="336" t="str">
        <f>"TL10-01"&amp;TEXT(IFRSAlloc10,"-00")</f>
        <v>TL10-01-00</v>
      </c>
      <c r="B413" s="400"/>
      <c r="C413" s="417" t="str">
        <f>$C$349&amp;IF(IFRSAlloc10&gt;0,INDEX(IFRSallocDD,IFRSAlloc10),"")</f>
        <v xml:space="preserve">Amount allocated on </v>
      </c>
      <c r="D413" s="1169"/>
      <c r="E413" s="418" t="s">
        <v>518</v>
      </c>
      <c r="F413" s="993"/>
      <c r="G413" s="999">
        <f t="shared" ref="G413:L413" ca="1" si="143">IF(OFFSET($E$344,0,G$8)&lt;&gt;0,(OFFSET($E376,0,G$8)/OFFSET($E$344,0,G$8))*OFFSET($E$345,0,G$8),0)</f>
        <v>0</v>
      </c>
      <c r="H413" s="999">
        <f t="shared" ca="1" si="143"/>
        <v>0</v>
      </c>
      <c r="I413" s="999">
        <f t="shared" ca="1" si="143"/>
        <v>0</v>
      </c>
      <c r="J413" s="999">
        <f t="shared" ca="1" si="143"/>
        <v>0</v>
      </c>
      <c r="K413" s="999">
        <f t="shared" ca="1" si="143"/>
        <v>0</v>
      </c>
      <c r="L413" s="999">
        <f t="shared" ca="1" si="143"/>
        <v>0</v>
      </c>
      <c r="M413" s="999">
        <f t="shared" ref="M413" ca="1" si="144">IF(OFFSET($E$344,0,M$8)&lt;&gt;0,(OFFSET($E376,0,M$8)/OFFSET($E$344,0,M$8))*OFFSET($E$345,0,M$8),0)</f>
        <v>0</v>
      </c>
      <c r="N413" s="414"/>
      <c r="O413" s="326"/>
      <c r="P413" s="324" t="s">
        <v>455</v>
      </c>
    </row>
    <row r="414" spans="1:16" ht="11.25" hidden="1" customHeight="1" x14ac:dyDescent="0.35">
      <c r="A414" s="336" t="str">
        <f>"TL10-02"&amp;TEXT(IFRSAlloc10,"-00")</f>
        <v>TL10-02-00</v>
      </c>
      <c r="B414" s="400"/>
      <c r="C414" s="423" t="str">
        <f>$C$350</f>
        <v>Depreciation</v>
      </c>
      <c r="D414" s="1166"/>
      <c r="E414" s="322" t="s">
        <v>519</v>
      </c>
      <c r="F414" s="990"/>
      <c r="G414" s="975">
        <f ca="1">IF(SUM(OFFSET($E376,0,$G$8):OFFSET($E376,0,G$8))&lt;&gt;0,(OFFSET($E377,0,G$8)/SUM(OFFSET($E376,0,$G$8):OFFSET($E376,0,G$8)))*SUM($G413:G413),0)</f>
        <v>0</v>
      </c>
      <c r="H414" s="975">
        <f ca="1">IF(SUM(OFFSET($E376,0,$G$8):OFFSET($E376,0,H$8))&lt;&gt;0,(OFFSET($E377,0,H$8)/SUM(OFFSET($E376,0,$G$8):OFFSET($E376,0,H$8)))*SUM($G413:H413),0)</f>
        <v>0</v>
      </c>
      <c r="I414" s="975">
        <f ca="1">IF(SUM(OFFSET($E376,0,$G$8):OFFSET($E376,0,I$8))&lt;&gt;0,(OFFSET($E377,0,I$8)/SUM(OFFSET($E376,0,$G$8):OFFSET($E376,0,I$8)))*SUM($G413:I413),0)</f>
        <v>0</v>
      </c>
      <c r="J414" s="975">
        <f ca="1">IF(SUM(OFFSET($E376,0,$G$8):OFFSET($E376,0,J$8))&lt;&gt;0,(OFFSET($E377,0,J$8)/SUM(OFFSET($E376,0,$G$8):OFFSET($E376,0,J$8)))*SUM($G413:J413),0)</f>
        <v>0</v>
      </c>
      <c r="K414" s="975">
        <f ca="1">IF(SUM(OFFSET($E376,0,$G$8):OFFSET($E376,0,K$8))&lt;&gt;0,(OFFSET($E377,0,K$8)/SUM(OFFSET($E376,0,$G$8):OFFSET($E376,0,K$8)))*SUM($G413:K413),0)</f>
        <v>0</v>
      </c>
      <c r="L414" s="975">
        <f ca="1">IF(SUM(OFFSET($E376,0,$G$8):OFFSET($E376,0,L$8))&lt;&gt;0,(OFFSET($E377,0,L$8)/SUM(OFFSET($E376,0,$G$8):OFFSET($E376,0,L$8)))*SUM($G413:L413),0)</f>
        <v>0</v>
      </c>
      <c r="M414" s="975">
        <f ca="1">IF(SUM(OFFSET($E376,0,$G$8):OFFSET($E376,0,M$8))&lt;&gt;0,(OFFSET($E377,0,M$8)/SUM(OFFSET($E376,0,$G$8):OFFSET($E376,0,M$8)))*SUM($G413:M413),0)</f>
        <v>0</v>
      </c>
      <c r="N414" s="414"/>
      <c r="O414" s="326"/>
      <c r="P414" s="324" t="s">
        <v>455</v>
      </c>
    </row>
    <row r="415" spans="1:16" ht="11.25" hidden="1" customHeight="1" x14ac:dyDescent="0.35">
      <c r="A415" s="336" t="str">
        <f>"TL10-03"&amp;TEXT(IFRSAlloc10,"-00")</f>
        <v>TL10-03-00</v>
      </c>
      <c r="B415" s="400"/>
      <c r="C415" s="421" t="str">
        <f>$C$351</f>
        <v>Balance</v>
      </c>
      <c r="D415" s="1171"/>
      <c r="E415" s="422" t="s">
        <v>520</v>
      </c>
      <c r="F415" s="997"/>
      <c r="G415" s="998">
        <f t="shared" ref="G415:L415" ca="1" si="145">G413+G414+OFFSET(G415,0,-1)</f>
        <v>0</v>
      </c>
      <c r="H415" s="998">
        <f t="shared" ca="1" si="145"/>
        <v>0</v>
      </c>
      <c r="I415" s="998">
        <f t="shared" ca="1" si="145"/>
        <v>0</v>
      </c>
      <c r="J415" s="998">
        <f t="shared" ca="1" si="145"/>
        <v>0</v>
      </c>
      <c r="K415" s="998">
        <f t="shared" ca="1" si="145"/>
        <v>0</v>
      </c>
      <c r="L415" s="998">
        <f t="shared" ca="1" si="145"/>
        <v>0</v>
      </c>
      <c r="M415" s="998">
        <f t="shared" ref="M415" ca="1" si="146">M413+M414+OFFSET(M415,0,-1)</f>
        <v>0</v>
      </c>
      <c r="N415" s="414"/>
      <c r="O415" s="326"/>
      <c r="P415" s="324" t="s">
        <v>455</v>
      </c>
    </row>
    <row r="416" spans="1:16" ht="11.25" hidden="1" customHeight="1" x14ac:dyDescent="0.35">
      <c r="A416" s="336" t="str">
        <f>"TL11-01"&amp;TEXT(IFRSAlloc11,"-00")</f>
        <v>TL11-01-00</v>
      </c>
      <c r="B416" s="400"/>
      <c r="C416" s="417" t="str">
        <f>$C$349&amp;IF(IFRSAlloc11&gt;0,INDEX(IFRSallocDD,IFRSAlloc11),"")</f>
        <v xml:space="preserve">Amount allocated on </v>
      </c>
      <c r="D416" s="1169"/>
      <c r="E416" s="418" t="s">
        <v>521</v>
      </c>
      <c r="F416" s="993"/>
      <c r="G416" s="999">
        <f t="shared" ref="G416:L416" ca="1" si="147">IF(OFFSET($E$344,0,G$8)&lt;&gt;0,(OFFSET($E379,0,G$8)/OFFSET($E$344,0,G$8))*OFFSET($E$345,0,G$8),0)</f>
        <v>0</v>
      </c>
      <c r="H416" s="999">
        <f t="shared" ca="1" si="147"/>
        <v>0</v>
      </c>
      <c r="I416" s="999">
        <f t="shared" ca="1" si="147"/>
        <v>0</v>
      </c>
      <c r="J416" s="999">
        <f t="shared" ca="1" si="147"/>
        <v>0</v>
      </c>
      <c r="K416" s="999">
        <f t="shared" ca="1" si="147"/>
        <v>0</v>
      </c>
      <c r="L416" s="999">
        <f t="shared" ca="1" si="147"/>
        <v>0</v>
      </c>
      <c r="M416" s="999">
        <f t="shared" ref="M416" ca="1" si="148">IF(OFFSET($E$344,0,M$8)&lt;&gt;0,(OFFSET($E379,0,M$8)/OFFSET($E$344,0,M$8))*OFFSET($E$345,0,M$8),0)</f>
        <v>0</v>
      </c>
      <c r="N416" s="414"/>
      <c r="O416" s="326"/>
      <c r="P416" s="324" t="s">
        <v>455</v>
      </c>
    </row>
    <row r="417" spans="1:16" ht="11.25" hidden="1" customHeight="1" x14ac:dyDescent="0.35">
      <c r="A417" s="336" t="str">
        <f>"TL11-02"&amp;TEXT(IFRSAlloc11,"-00")</f>
        <v>TL11-02-00</v>
      </c>
      <c r="B417" s="400"/>
      <c r="C417" s="423" t="str">
        <f>$C$350</f>
        <v>Depreciation</v>
      </c>
      <c r="D417" s="1166"/>
      <c r="E417" s="322" t="s">
        <v>522</v>
      </c>
      <c r="F417" s="990"/>
      <c r="G417" s="975">
        <f ca="1">IF(SUM(OFFSET($E379,0,$G$8):OFFSET($E379,0,G$8))&lt;&gt;0,(OFFSET($E380,0,G$8)/SUM(OFFSET($E379,0,$G$8):OFFSET($E379,0,G$8)))*SUM($G416:G416),0)</f>
        <v>0</v>
      </c>
      <c r="H417" s="975">
        <f ca="1">IF(SUM(OFFSET($E379,0,$G$8):OFFSET($E379,0,H$8))&lt;&gt;0,(OFFSET($E380,0,H$8)/SUM(OFFSET($E379,0,$G$8):OFFSET($E379,0,H$8)))*SUM($G416:H416),0)</f>
        <v>0</v>
      </c>
      <c r="I417" s="975">
        <f ca="1">IF(SUM(OFFSET($E379,0,$G$8):OFFSET($E379,0,I$8))&lt;&gt;0,(OFFSET($E380,0,I$8)/SUM(OFFSET($E379,0,$G$8):OFFSET($E379,0,I$8)))*SUM($G416:I416),0)</f>
        <v>0</v>
      </c>
      <c r="J417" s="975">
        <f ca="1">IF(SUM(OFFSET($E379,0,$G$8):OFFSET($E379,0,J$8))&lt;&gt;0,(OFFSET($E380,0,J$8)/SUM(OFFSET($E379,0,$G$8):OFFSET($E379,0,J$8)))*SUM($G416:J416),0)</f>
        <v>0</v>
      </c>
      <c r="K417" s="975">
        <f ca="1">IF(SUM(OFFSET($E379,0,$G$8):OFFSET($E379,0,K$8))&lt;&gt;0,(OFFSET($E380,0,K$8)/SUM(OFFSET($E379,0,$G$8):OFFSET($E379,0,K$8)))*SUM($G416:K416),0)</f>
        <v>0</v>
      </c>
      <c r="L417" s="975">
        <f ca="1">IF(SUM(OFFSET($E379,0,$G$8):OFFSET($E379,0,L$8))&lt;&gt;0,(OFFSET($E380,0,L$8)/SUM(OFFSET($E379,0,$G$8):OFFSET($E379,0,L$8)))*SUM($G416:L416),0)</f>
        <v>0</v>
      </c>
      <c r="M417" s="975">
        <f ca="1">IF(SUM(OFFSET($E379,0,$G$8):OFFSET($E379,0,M$8))&lt;&gt;0,(OFFSET($E380,0,M$8)/SUM(OFFSET($E379,0,$G$8):OFFSET($E379,0,M$8)))*SUM($G416:M416),0)</f>
        <v>0</v>
      </c>
      <c r="N417" s="414"/>
      <c r="O417" s="326"/>
      <c r="P417" s="324" t="s">
        <v>455</v>
      </c>
    </row>
    <row r="418" spans="1:16" ht="11.25" hidden="1" customHeight="1" x14ac:dyDescent="0.35">
      <c r="A418" s="336" t="str">
        <f>"TL11-03"&amp;TEXT(IFRSAlloc11,"-00")</f>
        <v>TL11-03-00</v>
      </c>
      <c r="B418" s="400"/>
      <c r="C418" s="421" t="str">
        <f>$C$351</f>
        <v>Balance</v>
      </c>
      <c r="D418" s="1171"/>
      <c r="E418" s="422" t="s">
        <v>523</v>
      </c>
      <c r="F418" s="997"/>
      <c r="G418" s="998">
        <f t="shared" ref="G418:L418" ca="1" si="149">G416+G417+OFFSET(G418,0,-1)</f>
        <v>0</v>
      </c>
      <c r="H418" s="998">
        <f t="shared" ca="1" si="149"/>
        <v>0</v>
      </c>
      <c r="I418" s="998">
        <f t="shared" ca="1" si="149"/>
        <v>0</v>
      </c>
      <c r="J418" s="998">
        <f t="shared" ca="1" si="149"/>
        <v>0</v>
      </c>
      <c r="K418" s="998">
        <f t="shared" ca="1" si="149"/>
        <v>0</v>
      </c>
      <c r="L418" s="998">
        <f t="shared" ca="1" si="149"/>
        <v>0</v>
      </c>
      <c r="M418" s="998">
        <f t="shared" ref="M418" ca="1" si="150">M416+M417+OFFSET(M418,0,-1)</f>
        <v>0</v>
      </c>
      <c r="N418" s="414"/>
      <c r="O418" s="326"/>
      <c r="P418" s="324" t="s">
        <v>455</v>
      </c>
    </row>
    <row r="419" spans="1:16" ht="11.25" hidden="1" customHeight="1" x14ac:dyDescent="0.35">
      <c r="A419" s="336" t="str">
        <f>"TL12-01"&amp;TEXT(IFRSAlloc12,"-00")</f>
        <v>TL12-01-00</v>
      </c>
      <c r="B419" s="400"/>
      <c r="C419" s="417" t="str">
        <f>$C$349&amp;IF(IFRSAlloc12&gt;0,INDEX(IFRSallocDD,IFRSAlloc12),"")</f>
        <v xml:space="preserve">Amount allocated on </v>
      </c>
      <c r="D419" s="1169"/>
      <c r="E419" s="418" t="s">
        <v>524</v>
      </c>
      <c r="F419" s="993"/>
      <c r="G419" s="999">
        <f t="shared" ref="G419:L419" ca="1" si="151">IF(OFFSET($E$344,0,G$8)&lt;&gt;0,(OFFSET($E382,0,G$8)/OFFSET($E$344,0,G$8))*OFFSET($E$345,0,G$8),0)</f>
        <v>0</v>
      </c>
      <c r="H419" s="999">
        <f t="shared" ca="1" si="151"/>
        <v>0</v>
      </c>
      <c r="I419" s="999">
        <f t="shared" ca="1" si="151"/>
        <v>0</v>
      </c>
      <c r="J419" s="999">
        <f t="shared" ca="1" si="151"/>
        <v>0</v>
      </c>
      <c r="K419" s="999">
        <f t="shared" ca="1" si="151"/>
        <v>0</v>
      </c>
      <c r="L419" s="999">
        <f t="shared" ca="1" si="151"/>
        <v>0</v>
      </c>
      <c r="M419" s="999">
        <f t="shared" ref="M419" ca="1" si="152">IF(OFFSET($E$344,0,M$8)&lt;&gt;0,(OFFSET($E382,0,M$8)/OFFSET($E$344,0,M$8))*OFFSET($E$345,0,M$8),0)</f>
        <v>0</v>
      </c>
      <c r="N419" s="414"/>
      <c r="O419" s="326"/>
      <c r="P419" s="324" t="s">
        <v>455</v>
      </c>
    </row>
    <row r="420" spans="1:16" ht="11.25" hidden="1" customHeight="1" x14ac:dyDescent="0.35">
      <c r="A420" s="336" t="str">
        <f>"TL12-02"&amp;TEXT(IFRSAlloc12,"-00")</f>
        <v>TL12-02-00</v>
      </c>
      <c r="B420" s="400"/>
      <c r="C420" s="423" t="str">
        <f>$C$350</f>
        <v>Depreciation</v>
      </c>
      <c r="D420" s="1166"/>
      <c r="E420" s="322" t="s">
        <v>525</v>
      </c>
      <c r="F420" s="990"/>
      <c r="G420" s="975">
        <f ca="1">IF(SUM(OFFSET($E382,0,$G$8):OFFSET($E382,0,G$8))&lt;&gt;0,(OFFSET($E383,0,G$8)/SUM(OFFSET($E382,0,$G$8):OFFSET($E382,0,G$8)))*SUM($G419:G419),0)</f>
        <v>0</v>
      </c>
      <c r="H420" s="975">
        <f ca="1">IF(SUM(OFFSET($E382,0,$G$8):OFFSET($E382,0,H$8))&lt;&gt;0,(OFFSET($E383,0,H$8)/SUM(OFFSET($E382,0,$G$8):OFFSET($E382,0,H$8)))*SUM($G419:H419),0)</f>
        <v>0</v>
      </c>
      <c r="I420" s="975">
        <f ca="1">IF(SUM(OFFSET($E382,0,$G$8):OFFSET($E382,0,I$8))&lt;&gt;0,(OFFSET($E383,0,I$8)/SUM(OFFSET($E382,0,$G$8):OFFSET($E382,0,I$8)))*SUM($G419:I419),0)</f>
        <v>0</v>
      </c>
      <c r="J420" s="975">
        <f ca="1">IF(SUM(OFFSET($E382,0,$G$8):OFFSET($E382,0,J$8))&lt;&gt;0,(OFFSET($E383,0,J$8)/SUM(OFFSET($E382,0,$G$8):OFFSET($E382,0,J$8)))*SUM($G419:J419),0)</f>
        <v>0</v>
      </c>
      <c r="K420" s="975">
        <f ca="1">IF(SUM(OFFSET($E382,0,$G$8):OFFSET($E382,0,K$8))&lt;&gt;0,(OFFSET($E383,0,K$8)/SUM(OFFSET($E382,0,$G$8):OFFSET($E382,0,K$8)))*SUM($G419:K419),0)</f>
        <v>0</v>
      </c>
      <c r="L420" s="975">
        <f ca="1">IF(SUM(OFFSET($E382,0,$G$8):OFFSET($E382,0,L$8))&lt;&gt;0,(OFFSET($E383,0,L$8)/SUM(OFFSET($E382,0,$G$8):OFFSET($E382,0,L$8)))*SUM($G419:L419),0)</f>
        <v>0</v>
      </c>
      <c r="M420" s="975">
        <f ca="1">IF(SUM(OFFSET($E382,0,$G$8):OFFSET($E382,0,M$8))&lt;&gt;0,(OFFSET($E383,0,M$8)/SUM(OFFSET($E382,0,$G$8):OFFSET($E382,0,M$8)))*SUM($G419:M419),0)</f>
        <v>0</v>
      </c>
      <c r="N420" s="414"/>
      <c r="O420" s="326"/>
      <c r="P420" s="324" t="s">
        <v>455</v>
      </c>
    </row>
    <row r="421" spans="1:16" ht="11.25" hidden="1" customHeight="1" x14ac:dyDescent="0.35">
      <c r="A421" s="336" t="str">
        <f>"TL12-03"&amp;TEXT(IFRSAlloc12,"-00")</f>
        <v>TL12-03-00</v>
      </c>
      <c r="B421" s="400"/>
      <c r="C421" s="421" t="str">
        <f>$C$351</f>
        <v>Balance</v>
      </c>
      <c r="D421" s="1171"/>
      <c r="E421" s="422" t="s">
        <v>526</v>
      </c>
      <c r="F421" s="997"/>
      <c r="G421" s="998">
        <f t="shared" ref="G421:L421" ca="1" si="153">G419+G420+OFFSET(G421,0,-1)</f>
        <v>0</v>
      </c>
      <c r="H421" s="998">
        <f t="shared" ca="1" si="153"/>
        <v>0</v>
      </c>
      <c r="I421" s="998">
        <f t="shared" ca="1" si="153"/>
        <v>0</v>
      </c>
      <c r="J421" s="998">
        <f t="shared" ca="1" si="153"/>
        <v>0</v>
      </c>
      <c r="K421" s="998">
        <f t="shared" ca="1" si="153"/>
        <v>0</v>
      </c>
      <c r="L421" s="998">
        <f t="shared" ca="1" si="153"/>
        <v>0</v>
      </c>
      <c r="M421" s="998">
        <f t="shared" ref="M421" ca="1" si="154">M419+M420+OFFSET(M421,0,-1)</f>
        <v>0</v>
      </c>
      <c r="N421" s="414"/>
      <c r="O421" s="326"/>
      <c r="P421" s="324" t="s">
        <v>455</v>
      </c>
    </row>
    <row r="422" spans="1:16" ht="11.25" hidden="1" customHeight="1" x14ac:dyDescent="0.35">
      <c r="A422" s="336"/>
      <c r="B422" s="400"/>
      <c r="C422" s="424" t="s">
        <v>527</v>
      </c>
      <c r="D422" s="1172"/>
      <c r="E422" s="425" t="s">
        <v>528</v>
      </c>
      <c r="F422" s="997"/>
      <c r="G422" s="1000">
        <f t="shared" ref="G422:L422" ca="1" si="155">G347+G385</f>
        <v>0</v>
      </c>
      <c r="H422" s="1000">
        <f t="shared" ca="1" si="155"/>
        <v>0</v>
      </c>
      <c r="I422" s="1000">
        <f t="shared" ca="1" si="155"/>
        <v>0</v>
      </c>
      <c r="J422" s="1000">
        <f t="shared" ca="1" si="155"/>
        <v>0</v>
      </c>
      <c r="K422" s="1000">
        <f t="shared" ca="1" si="155"/>
        <v>0</v>
      </c>
      <c r="L422" s="1000">
        <f t="shared" ca="1" si="155"/>
        <v>0</v>
      </c>
      <c r="M422" s="1000">
        <f t="shared" ref="M422" ca="1" si="156">M347+M385</f>
        <v>0</v>
      </c>
      <c r="N422" s="414"/>
      <c r="O422" s="326"/>
      <c r="P422" s="324" t="s">
        <v>411</v>
      </c>
    </row>
    <row r="423" spans="1:16" ht="11.25" hidden="1" customHeight="1" x14ac:dyDescent="0.35">
      <c r="A423" s="406"/>
      <c r="B423" s="410" t="s">
        <v>529</v>
      </c>
      <c r="C423" s="399"/>
      <c r="D423" s="1162"/>
      <c r="E423" s="385" t="s">
        <v>530</v>
      </c>
      <c r="F423" s="981"/>
      <c r="G423" s="973">
        <f t="shared" ref="G423:L423" ca="1" si="157">IF(G344&lt;&gt;0,IF(GWtype=2,ROUND(G344-G347,0),G344),0)</f>
        <v>0</v>
      </c>
      <c r="H423" s="973">
        <f t="shared" ca="1" si="157"/>
        <v>0</v>
      </c>
      <c r="I423" s="973">
        <f t="shared" ca="1" si="157"/>
        <v>0</v>
      </c>
      <c r="J423" s="973">
        <f t="shared" ca="1" si="157"/>
        <v>0</v>
      </c>
      <c r="K423" s="973">
        <f t="shared" ca="1" si="157"/>
        <v>0</v>
      </c>
      <c r="L423" s="973">
        <f t="shared" ca="1" si="157"/>
        <v>0</v>
      </c>
      <c r="M423" s="973">
        <f t="shared" ref="M423" ca="1" si="158">IF(M344&lt;&gt;0,IF(GWtype=2,ROUND(M344-M347,0),M344),0)</f>
        <v>0</v>
      </c>
      <c r="N423" s="413"/>
      <c r="O423" s="326"/>
      <c r="P423" s="324" t="s">
        <v>411</v>
      </c>
    </row>
    <row r="424" spans="1:16" ht="11.25" hidden="1" customHeight="1" x14ac:dyDescent="0.35">
      <c r="A424" s="406"/>
      <c r="B424" s="400" t="s">
        <v>531</v>
      </c>
      <c r="C424" s="401"/>
      <c r="D424" s="1166"/>
      <c r="E424" s="329" t="s">
        <v>532</v>
      </c>
      <c r="F424" s="990"/>
      <c r="G424" s="975">
        <f t="shared" ref="G424:L424" ca="1" si="159">IF(AND(G423&lt;0,NOT(BadwillOK)),0,G423)+OFFSET(G424,0,-1)</f>
        <v>0</v>
      </c>
      <c r="H424" s="975">
        <f t="shared" ca="1" si="159"/>
        <v>0</v>
      </c>
      <c r="I424" s="975">
        <f t="shared" ca="1" si="159"/>
        <v>0</v>
      </c>
      <c r="J424" s="975">
        <f t="shared" ca="1" si="159"/>
        <v>0</v>
      </c>
      <c r="K424" s="975">
        <f t="shared" ca="1" si="159"/>
        <v>0</v>
      </c>
      <c r="L424" s="975">
        <f t="shared" ca="1" si="159"/>
        <v>0</v>
      </c>
      <c r="M424" s="975">
        <f t="shared" ref="M424" ca="1" si="160">IF(AND(M423&lt;0,NOT(BadwillOK)),0,M423)+OFFSET(M424,0,-1)</f>
        <v>0</v>
      </c>
      <c r="N424" s="414"/>
      <c r="O424" s="326"/>
      <c r="P424" s="324" t="s">
        <v>533</v>
      </c>
    </row>
    <row r="425" spans="1:16" ht="12" hidden="1" customHeight="1" x14ac:dyDescent="0.35">
      <c r="A425" s="406"/>
      <c r="B425" s="402" t="s">
        <v>395</v>
      </c>
      <c r="C425" s="403"/>
      <c r="D425" s="1163"/>
      <c r="E425" s="390" t="s">
        <v>534</v>
      </c>
      <c r="F425" s="982"/>
      <c r="G425" s="977"/>
      <c r="H425" s="977">
        <f ca="1">IF(OR(H$1=FinMonth,H$16=LastPeriod),IF(GWTime&gt;0,IF(ABS(OFFSET(H426,0,-1)+H344)&gt;0.01,(-H424/GWTime)*(MIN(GWTime*12,SUM($G$17:H$17))-IF(SUM($G425:OFFSET(H425,0,-1))=0,0,SUM($G$17:OFFSET(H$17,0,H$1017))))/12,0),0),0)</f>
        <v>0</v>
      </c>
      <c r="I425" s="977">
        <f ca="1">IF(OR(I$1=FinMonth,I$16=LastPeriod),IF(GWTime&gt;0,IF(ABS(OFFSET(I426,0,-1)+I344)&gt;0.01,(-I424/GWTime)*(MIN(GWTime*12,SUM($G$17:I$17))-IF(SUM($G425:OFFSET(I425,0,-1))=0,0,SUM($G$17:OFFSET(I$17,0,I$1017))))/12,0),0),0)</f>
        <v>0</v>
      </c>
      <c r="J425" s="977">
        <f ca="1">IF(OR(J$1=FinMonth,J$16=LastPeriod),IF(GWTime&gt;0,IF(ABS(OFFSET(J426,0,-1)+J344)&gt;0.01,(-J424/GWTime)*(MIN(GWTime*12,SUM($G$17:J$17))-IF(SUM($G425:OFFSET(J425,0,-1))=0,0,SUM($G$17:OFFSET(J$17,0,J$1017))))/12,0),0),0)</f>
        <v>0</v>
      </c>
      <c r="K425" s="977">
        <f ca="1">IF(OR(K$1=FinMonth,K$16=LastPeriod),IF(GWTime&gt;0,IF(ABS(OFFSET(K426,0,-1)+K344)&gt;0.01,(-K424/GWTime)*(MIN(GWTime*12,SUM($G$17:K$17))-IF(SUM($G425:OFFSET(K425,0,-1))=0,0,SUM($G$17:OFFSET(K$17,0,K$1017))))/12,0),0),0)</f>
        <v>0</v>
      </c>
      <c r="L425" s="977">
        <f ca="1">IF(OR(L$1=FinMonth,L$16=LastPeriod),IF(GWTime&gt;0,IF(ABS(OFFSET(L426,0,-1)+L344)&gt;0.01,(-L424/GWTime)*(MIN(GWTime*12,SUM($G$17:L$17))-IF(SUM($G425:OFFSET(L425,0,-1))=0,0,SUM($G$17:OFFSET(L$17,0,L$1017))))/12,0),0),0)</f>
        <v>0</v>
      </c>
      <c r="M425" s="977">
        <f ca="1">IF(OR(M$1=FinMonth,M$16=LastPeriod),IF(GWTime&gt;0,IF(ABS(OFFSET(M426,0,-1)+M344)&gt;0.01,(-M424/GWTime)*(MIN(GWTime*12,SUM($G$17:M$17))-IF(SUM($G425:OFFSET(M425,0,-1))=0,0,SUM($G$17:OFFSET(M$17,0,M$1017))))/12,0),0),0)</f>
        <v>0</v>
      </c>
      <c r="N425" s="971"/>
      <c r="O425" s="326"/>
      <c r="P425" s="324" t="s">
        <v>427</v>
      </c>
    </row>
    <row r="426" spans="1:16" ht="12" hidden="1" customHeight="1" x14ac:dyDescent="0.35">
      <c r="A426" s="406"/>
      <c r="B426" s="404" t="s">
        <v>529</v>
      </c>
      <c r="C426" s="405"/>
      <c r="D426" s="1167"/>
      <c r="E426" s="342" t="s">
        <v>535</v>
      </c>
      <c r="F426" s="991"/>
      <c r="G426" s="979">
        <f ca="1">G423</f>
        <v>0</v>
      </c>
      <c r="H426" s="979">
        <f t="shared" ref="H426:M426" ca="1" si="161">OFFSET(H426,0,-1)+H423+H425</f>
        <v>0</v>
      </c>
      <c r="I426" s="979">
        <f t="shared" ca="1" si="161"/>
        <v>0</v>
      </c>
      <c r="J426" s="979">
        <f t="shared" ca="1" si="161"/>
        <v>0</v>
      </c>
      <c r="K426" s="979">
        <f t="shared" ca="1" si="161"/>
        <v>0</v>
      </c>
      <c r="L426" s="979">
        <f t="shared" ca="1" si="161"/>
        <v>0</v>
      </c>
      <c r="M426" s="979">
        <f t="shared" ca="1" si="161"/>
        <v>0</v>
      </c>
      <c r="N426" s="426"/>
      <c r="O426" s="326"/>
      <c r="P426" s="324" t="s">
        <v>406</v>
      </c>
    </row>
    <row r="427" spans="1:16" ht="12" hidden="1" customHeight="1" x14ac:dyDescent="0.35">
      <c r="A427" s="406"/>
      <c r="B427" s="400" t="s">
        <v>536</v>
      </c>
      <c r="C427" s="401"/>
      <c r="D427" s="1166"/>
      <c r="E427" s="329" t="s">
        <v>537</v>
      </c>
      <c r="F427" s="990"/>
      <c r="G427" s="975">
        <f t="shared" ref="G427:M427" si="162">G$825</f>
        <v>0</v>
      </c>
      <c r="H427" s="975">
        <f t="shared" si="162"/>
        <v>0</v>
      </c>
      <c r="I427" s="975">
        <f t="shared" si="162"/>
        <v>0</v>
      </c>
      <c r="J427" s="975">
        <f t="shared" si="162"/>
        <v>0</v>
      </c>
      <c r="K427" s="975">
        <f t="shared" si="162"/>
        <v>0</v>
      </c>
      <c r="L427" s="975">
        <f t="shared" si="162"/>
        <v>0</v>
      </c>
      <c r="M427" s="975">
        <f t="shared" si="162"/>
        <v>0</v>
      </c>
      <c r="N427" s="414"/>
      <c r="O427" s="326"/>
      <c r="P427" s="324" t="s">
        <v>448</v>
      </c>
    </row>
    <row r="428" spans="1:16" ht="12" hidden="1" customHeight="1" x14ac:dyDescent="0.35">
      <c r="A428" s="406"/>
      <c r="B428" s="427" t="s">
        <v>538</v>
      </c>
      <c r="C428" s="399"/>
      <c r="D428" s="1162"/>
      <c r="E428" s="385" t="s">
        <v>539</v>
      </c>
      <c r="F428" s="981"/>
      <c r="G428" s="973"/>
      <c r="H428" s="973"/>
      <c r="I428" s="973"/>
      <c r="J428" s="973"/>
      <c r="K428" s="973"/>
      <c r="L428" s="973"/>
      <c r="M428" s="973"/>
      <c r="N428" s="413"/>
      <c r="O428" s="326"/>
      <c r="P428" s="324" t="s">
        <v>411</v>
      </c>
    </row>
    <row r="429" spans="1:16" ht="12" hidden="1" customHeight="1" x14ac:dyDescent="0.35">
      <c r="A429" s="406"/>
      <c r="B429" s="400" t="s">
        <v>540</v>
      </c>
      <c r="C429" s="401"/>
      <c r="D429" s="1166"/>
      <c r="E429" s="329" t="s">
        <v>541</v>
      </c>
      <c r="F429" s="990">
        <f>0</f>
        <v>0</v>
      </c>
      <c r="G429" s="975">
        <f>0</f>
        <v>0</v>
      </c>
      <c r="H429" s="975">
        <f>0</f>
        <v>0</v>
      </c>
      <c r="I429" s="975">
        <f>0</f>
        <v>0</v>
      </c>
      <c r="J429" s="975">
        <f>0</f>
        <v>0</v>
      </c>
      <c r="K429" s="975">
        <f>0</f>
        <v>0</v>
      </c>
      <c r="L429" s="975">
        <f>0</f>
        <v>0</v>
      </c>
      <c r="M429" s="975">
        <f>0</f>
        <v>0</v>
      </c>
      <c r="N429" s="414">
        <f>0</f>
        <v>0</v>
      </c>
      <c r="O429" s="326"/>
      <c r="P429" s="324" t="s">
        <v>411</v>
      </c>
    </row>
    <row r="430" spans="1:16" ht="12" hidden="1" customHeight="1" x14ac:dyDescent="0.35">
      <c r="A430" s="406"/>
      <c r="B430" s="400" t="s">
        <v>542</v>
      </c>
      <c r="C430" s="401"/>
      <c r="D430" s="1166"/>
      <c r="E430" s="329" t="s">
        <v>543</v>
      </c>
      <c r="F430" s="990"/>
      <c r="G430" s="975">
        <f ca="1">IF(LoanEnterOrProFin&lt;2,IF(AND(OFFSET(G336,1,0)&lt;&gt;0,SUM($G$336:$N$336)&lt;&gt;0),AcqDebtAmount*G$336/SUM($G$336:$N$336),0),G433)</f>
        <v>0</v>
      </c>
      <c r="H430" s="975">
        <f t="shared" ref="H430:M430" ca="1" si="163">IF(LoanEnterOrProFin&lt;2,0,H433)+OFFSET(H430,0,-1)+IF(AND(OFFSET(H336,1,0)&lt;&gt;0,SUM($G$336:$N$336)&lt;&gt;0),AcqDebtAmount*H$336/SUM($G$336:$N$336),0)+H431+IF(LoanEnterOrProFin&lt;2,0,H$1237)</f>
        <v>0</v>
      </c>
      <c r="I430" s="975">
        <f t="shared" ca="1" si="163"/>
        <v>0</v>
      </c>
      <c r="J430" s="975">
        <f t="shared" ca="1" si="163"/>
        <v>0</v>
      </c>
      <c r="K430" s="975">
        <f t="shared" ca="1" si="163"/>
        <v>0</v>
      </c>
      <c r="L430" s="975">
        <f t="shared" ca="1" si="163"/>
        <v>0</v>
      </c>
      <c r="M430" s="975">
        <f t="shared" ca="1" si="163"/>
        <v>0</v>
      </c>
      <c r="N430" s="414">
        <f ca="1">OFFSET(N430,0,-1)</f>
        <v>0</v>
      </c>
      <c r="O430" s="326"/>
      <c r="P430" s="324" t="s">
        <v>411</v>
      </c>
    </row>
    <row r="431" spans="1:16" ht="12" hidden="1" customHeight="1" x14ac:dyDescent="0.35">
      <c r="A431" s="406"/>
      <c r="B431" s="400" t="s">
        <v>544</v>
      </c>
      <c r="C431" s="401"/>
      <c r="D431" s="1166"/>
      <c r="E431" s="329" t="s">
        <v>545</v>
      </c>
      <c r="F431" s="990"/>
      <c r="G431" s="975">
        <f>IF(LoanEnterOrProFin&lt;2,0,G434)</f>
        <v>0</v>
      </c>
      <c r="H431" s="975">
        <f ca="1">IF(LoanEnterOrProFin&lt;2,IF(AND(AcqDebtTime&gt;0,SUM($G$336:H$336)&lt;&gt;0),-MIN((AcqDebtAmount/AcqDebtTime)*(H$17/12)*SUM($G$336:H$336)/SUM($G$336:$N$336),OFFSET(H430,0,-1)),0),H434)</f>
        <v>0</v>
      </c>
      <c r="I431" s="975">
        <f ca="1">IF(LoanEnterOrProFin&lt;2,IF(AND(AcqDebtTime&gt;0,SUM($G$336:I$336)&lt;&gt;0),-MIN((AcqDebtAmount/AcqDebtTime)*(I$17/12)*SUM($G$336:I$336)/SUM($G$336:$N$336),OFFSET(I430,0,-1)),0),I434)</f>
        <v>0</v>
      </c>
      <c r="J431" s="975">
        <f ca="1">IF(LoanEnterOrProFin&lt;2,IF(AND(AcqDebtTime&gt;0,SUM($G$336:J$336)&lt;&gt;0),-MIN((AcqDebtAmount/AcqDebtTime)*(J$17/12)*SUM($G$336:J$336)/SUM($G$336:$N$336),OFFSET(J430,0,-1)),0),J434)</f>
        <v>0</v>
      </c>
      <c r="K431" s="975">
        <f ca="1">IF(LoanEnterOrProFin&lt;2,IF(AND(AcqDebtTime&gt;0,SUM($G$336:K$336)&lt;&gt;0),-MIN((AcqDebtAmount/AcqDebtTime)*(K$17/12)*SUM($G$336:K$336)/SUM($G$336:$N$336),OFFSET(K430,0,-1)),0),K434)</f>
        <v>0</v>
      </c>
      <c r="L431" s="975">
        <f ca="1">IF(LoanEnterOrProFin&lt;2,IF(AND(AcqDebtTime&gt;0,SUM($G$336:L$336)&lt;&gt;0),-MIN((AcqDebtAmount/AcqDebtTime)*(L$17/12)*SUM($G$336:L$336)/SUM($G$336:$N$336),OFFSET(L430,0,-1)),0),L434)</f>
        <v>0</v>
      </c>
      <c r="M431" s="975">
        <f ca="1">IF(LoanEnterOrProFin&lt;2,IF(AND(AcqDebtTime&gt;0,SUM($G$336:M$336)&lt;&gt;0),-MIN((AcqDebtAmount/AcqDebtTime)*(M$17/12)*SUM($G$336:M$336)/SUM($G$336:$N$336),OFFSET(M430,0,-1)),0),M434)</f>
        <v>0</v>
      </c>
      <c r="N431" s="414"/>
      <c r="O431" s="326"/>
      <c r="P431" s="324" t="s">
        <v>427</v>
      </c>
    </row>
    <row r="432" spans="1:16" ht="12" hidden="1" customHeight="1" x14ac:dyDescent="0.35">
      <c r="A432" s="406"/>
      <c r="B432" s="402" t="s">
        <v>546</v>
      </c>
      <c r="C432" s="403"/>
      <c r="D432" s="1163"/>
      <c r="E432" s="390" t="s">
        <v>547</v>
      </c>
      <c r="F432" s="982"/>
      <c r="G432" s="977">
        <f ca="1">IF(LoanEnterOrProFin&lt;2,0,G435)+IF(OFFSET(G336,1,0)&lt;&gt;0,-AcqEquityCosts,0)</f>
        <v>0</v>
      </c>
      <c r="H432" s="977">
        <f t="shared" ref="H432:M432" ca="1" si="164">IF(LoanEnterOrProFin&lt;2,-((H430+OFFSET(H430,0,-1))/2)*((AcqDebtRate/100)*(H$17/12)),H435)+IF(AND(OFFSET(H430,0,-1)=0,OFFSET(H336,1,0)&lt;&gt;0),-AcqEquityCosts,0)</f>
        <v>0</v>
      </c>
      <c r="I432" s="977">
        <f t="shared" ca="1" si="164"/>
        <v>0</v>
      </c>
      <c r="J432" s="977">
        <f t="shared" ca="1" si="164"/>
        <v>0</v>
      </c>
      <c r="K432" s="977">
        <f t="shared" ca="1" si="164"/>
        <v>0</v>
      </c>
      <c r="L432" s="977">
        <f t="shared" ca="1" si="164"/>
        <v>0</v>
      </c>
      <c r="M432" s="977">
        <f t="shared" ca="1" si="164"/>
        <v>0</v>
      </c>
      <c r="N432" s="971"/>
      <c r="O432" s="326"/>
      <c r="P432" s="324" t="s">
        <v>427</v>
      </c>
    </row>
    <row r="433" spans="1:16" ht="12" hidden="1" customHeight="1" x14ac:dyDescent="0.35">
      <c r="A433" s="406"/>
      <c r="B433" s="428" t="s">
        <v>542</v>
      </c>
      <c r="C433" s="428"/>
      <c r="D433" s="429"/>
      <c r="E433" s="385" t="s">
        <v>548</v>
      </c>
      <c r="F433" s="430"/>
      <c r="G433" s="431"/>
      <c r="H433" s="431"/>
      <c r="I433" s="431"/>
      <c r="J433" s="431"/>
      <c r="K433" s="431"/>
      <c r="L433" s="431"/>
      <c r="M433" s="431"/>
      <c r="N433" s="431"/>
      <c r="O433" s="386"/>
      <c r="P433" s="324" t="s">
        <v>448</v>
      </c>
    </row>
    <row r="434" spans="1:16" ht="12" hidden="1" customHeight="1" x14ac:dyDescent="0.35">
      <c r="A434" s="406"/>
      <c r="B434" s="432" t="s">
        <v>544</v>
      </c>
      <c r="C434" s="432"/>
      <c r="D434" s="433"/>
      <c r="E434" s="329" t="s">
        <v>549</v>
      </c>
      <c r="F434" s="434"/>
      <c r="G434" s="407"/>
      <c r="H434" s="407"/>
      <c r="I434" s="407"/>
      <c r="J434" s="407"/>
      <c r="K434" s="407"/>
      <c r="L434" s="407"/>
      <c r="M434" s="407"/>
      <c r="N434" s="407"/>
      <c r="O434" s="386"/>
      <c r="P434" s="324" t="s">
        <v>448</v>
      </c>
    </row>
    <row r="435" spans="1:16" ht="12" hidden="1" customHeight="1" x14ac:dyDescent="0.35">
      <c r="A435" s="406"/>
      <c r="B435" s="432" t="s">
        <v>546</v>
      </c>
      <c r="C435" s="432"/>
      <c r="D435" s="433"/>
      <c r="E435" s="329" t="s">
        <v>550</v>
      </c>
      <c r="F435" s="434"/>
      <c r="G435" s="407"/>
      <c r="H435" s="407"/>
      <c r="I435" s="407"/>
      <c r="J435" s="407"/>
      <c r="K435" s="407"/>
      <c r="L435" s="407"/>
      <c r="M435" s="407"/>
      <c r="N435" s="407"/>
      <c r="O435" s="386"/>
      <c r="P435" s="324" t="s">
        <v>448</v>
      </c>
    </row>
    <row r="436" spans="1:16" ht="3.75" customHeight="1" x14ac:dyDescent="0.35">
      <c r="A436" s="406"/>
      <c r="B436" s="329"/>
      <c r="C436" s="396"/>
      <c r="D436" s="396"/>
      <c r="E436" s="322" t="s">
        <v>39</v>
      </c>
      <c r="F436" s="435"/>
      <c r="G436" s="436"/>
      <c r="H436" s="436"/>
      <c r="I436" s="436"/>
      <c r="J436" s="436"/>
      <c r="K436" s="436"/>
      <c r="L436" s="436"/>
      <c r="M436" s="436"/>
      <c r="N436" s="436"/>
      <c r="O436" s="326"/>
      <c r="P436" s="324" t="s">
        <v>66</v>
      </c>
    </row>
    <row r="437" spans="1:16" ht="12" customHeight="1" x14ac:dyDescent="0.35">
      <c r="A437" s="235"/>
      <c r="B437" s="437" t="s">
        <v>551</v>
      </c>
      <c r="C437" s="396"/>
      <c r="D437" s="396"/>
      <c r="E437" s="329" t="s">
        <v>552</v>
      </c>
      <c r="F437" s="322"/>
      <c r="G437" s="438"/>
      <c r="H437" s="438"/>
      <c r="I437" s="438"/>
      <c r="J437" s="438"/>
      <c r="K437" s="438"/>
      <c r="L437" s="438"/>
      <c r="M437" s="438"/>
      <c r="N437" s="438"/>
      <c r="O437" s="326"/>
      <c r="P437" s="324" t="s">
        <v>54</v>
      </c>
    </row>
    <row r="438" spans="1:16" ht="12" customHeight="1" x14ac:dyDescent="0.35">
      <c r="A438" s="235"/>
      <c r="B438" s="439"/>
      <c r="C438" s="396"/>
      <c r="D438" s="396"/>
      <c r="E438" s="329" t="s">
        <v>553</v>
      </c>
      <c r="F438" s="322"/>
      <c r="G438" s="438"/>
      <c r="H438" s="438"/>
      <c r="I438" s="438"/>
      <c r="J438" s="438"/>
      <c r="K438" s="438"/>
      <c r="L438" s="438"/>
      <c r="M438" s="438"/>
      <c r="N438" s="438"/>
      <c r="O438" s="326"/>
      <c r="P438" s="324" t="s">
        <v>54</v>
      </c>
    </row>
    <row r="439" spans="1:16" ht="16" customHeight="1" x14ac:dyDescent="0.35">
      <c r="A439" s="235"/>
      <c r="B439" s="355" t="s">
        <v>554</v>
      </c>
      <c r="C439" s="235"/>
      <c r="D439" s="235"/>
      <c r="E439" s="329" t="s">
        <v>555</v>
      </c>
      <c r="F439" s="322"/>
      <c r="G439" s="235"/>
      <c r="H439" s="235"/>
      <c r="I439" s="235"/>
      <c r="J439" s="235"/>
      <c r="K439" s="235"/>
      <c r="L439" s="235"/>
      <c r="M439" s="235"/>
      <c r="N439" s="235"/>
      <c r="O439" s="326"/>
      <c r="P439" s="324" t="s">
        <v>66</v>
      </c>
    </row>
    <row r="440" spans="1:16" ht="11.25" customHeight="1" x14ac:dyDescent="0.35">
      <c r="A440" s="406"/>
      <c r="B440" s="339" t="str">
        <f>IF(PrintMode=0,"      ","")&amp;IF(Figures&gt;1,Figures&amp;" ","")&amp;Currency</f>
        <v xml:space="preserve">      Euro</v>
      </c>
      <c r="C440" s="440"/>
      <c r="D440" s="1097"/>
      <c r="E440" s="342" t="s">
        <v>556</v>
      </c>
      <c r="F440" s="946" t="str">
        <f t="shared" ref="F440:M440" si="165">F$1&amp;"/"&amp;F$3</f>
        <v>8/2019</v>
      </c>
      <c r="G440" s="947" t="str">
        <f t="shared" si="165"/>
        <v>9/2019</v>
      </c>
      <c r="H440" s="948" t="str">
        <f t="shared" si="165"/>
        <v>12/2019</v>
      </c>
      <c r="I440" s="948" t="str">
        <f t="shared" si="165"/>
        <v>12/2020</v>
      </c>
      <c r="J440" s="948" t="str">
        <f t="shared" si="165"/>
        <v>12/2021</v>
      </c>
      <c r="K440" s="948" t="str">
        <f t="shared" si="165"/>
        <v>12/2022</v>
      </c>
      <c r="L440" s="948" t="str">
        <f t="shared" si="165"/>
        <v>12/2023</v>
      </c>
      <c r="M440" s="948" t="str">
        <f t="shared" si="165"/>
        <v>12/2024</v>
      </c>
      <c r="N440" s="943" t="str">
        <f ca="1">N$16</f>
        <v>Residual</v>
      </c>
      <c r="O440" s="326"/>
      <c r="P440" s="324" t="s">
        <v>66</v>
      </c>
    </row>
    <row r="441" spans="1:16" ht="11.25" customHeight="1" x14ac:dyDescent="0.35">
      <c r="A441" s="235"/>
      <c r="B441" s="346" t="s">
        <v>59</v>
      </c>
      <c r="C441" s="347"/>
      <c r="D441" s="1098"/>
      <c r="E441" s="397" t="s">
        <v>557</v>
      </c>
      <c r="F441" s="949">
        <f>F$17</f>
        <v>12</v>
      </c>
      <c r="G441" s="950"/>
      <c r="H441" s="950">
        <f t="shared" ref="H441:N441" si="166">H$17</f>
        <v>4</v>
      </c>
      <c r="I441" s="950">
        <f t="shared" si="166"/>
        <v>12</v>
      </c>
      <c r="J441" s="950">
        <f t="shared" si="166"/>
        <v>12</v>
      </c>
      <c r="K441" s="950">
        <f t="shared" si="166"/>
        <v>12</v>
      </c>
      <c r="L441" s="950">
        <f t="shared" si="166"/>
        <v>12</v>
      </c>
      <c r="M441" s="950">
        <f t="shared" si="166"/>
        <v>12</v>
      </c>
      <c r="N441" s="944" t="str">
        <f t="shared" ca="1" si="166"/>
        <v>(12/2024)</v>
      </c>
      <c r="O441" s="326"/>
      <c r="P441" s="324" t="s">
        <v>71</v>
      </c>
    </row>
    <row r="442" spans="1:16" ht="11.25" customHeight="1" x14ac:dyDescent="0.35">
      <c r="A442" s="235"/>
      <c r="B442" s="441" t="s">
        <v>558</v>
      </c>
      <c r="C442" s="396"/>
      <c r="D442" s="1148"/>
      <c r="E442" s="322" t="s">
        <v>559</v>
      </c>
      <c r="F442" s="1013"/>
      <c r="G442" s="1014"/>
      <c r="H442" s="1014"/>
      <c r="I442" s="1014"/>
      <c r="J442" s="1014"/>
      <c r="K442" s="1014"/>
      <c r="L442" s="1014"/>
      <c r="M442" s="1014"/>
      <c r="N442" s="1001"/>
      <c r="O442" s="326"/>
      <c r="P442" s="324" t="s">
        <v>71</v>
      </c>
    </row>
    <row r="443" spans="1:16" ht="11.25" customHeight="1" x14ac:dyDescent="0.35">
      <c r="A443" s="235"/>
      <c r="B443" s="450"/>
      <c r="C443" s="443" t="s">
        <v>1698</v>
      </c>
      <c r="D443" s="1149"/>
      <c r="E443" s="444" t="s">
        <v>560</v>
      </c>
      <c r="F443" s="1015"/>
      <c r="G443" s="1016"/>
      <c r="H443" s="1015">
        <v>11461080.606711309</v>
      </c>
      <c r="I443" s="1015">
        <v>43193887.481145039</v>
      </c>
      <c r="J443" s="1015">
        <v>52912512.164402664</v>
      </c>
      <c r="K443" s="1015">
        <v>64817827.401393265</v>
      </c>
      <c r="L443" s="1015">
        <v>79401838.566706747</v>
      </c>
      <c r="M443" s="1015">
        <v>97267252.244215772</v>
      </c>
      <c r="N443" s="1002"/>
      <c r="O443" s="326" t="str">
        <f t="shared" ref="O443:O452" si="167">IF(MID(P443,7,1)="D","  ","")</f>
        <v/>
      </c>
      <c r="P443" s="324" t="s">
        <v>71</v>
      </c>
    </row>
    <row r="444" spans="1:16" ht="11.25" customHeight="1" x14ac:dyDescent="0.35">
      <c r="A444" s="235"/>
      <c r="B444" s="450"/>
      <c r="C444" s="443"/>
      <c r="D444" s="1149"/>
      <c r="E444" s="329" t="s">
        <v>561</v>
      </c>
      <c r="F444" s="1015"/>
      <c r="G444" s="1016"/>
      <c r="H444" s="1015"/>
      <c r="I444" s="1015"/>
      <c r="J444" s="1015"/>
      <c r="K444" s="1015"/>
      <c r="L444" s="1015"/>
      <c r="M444" s="1015"/>
      <c r="N444" s="1002"/>
      <c r="O444" s="326" t="str">
        <f t="shared" si="167"/>
        <v/>
      </c>
      <c r="P444" s="324" t="s">
        <v>71</v>
      </c>
    </row>
    <row r="445" spans="1:16" ht="11.25" customHeight="1" x14ac:dyDescent="0.35">
      <c r="A445" s="235"/>
      <c r="B445" s="450"/>
      <c r="C445" s="443"/>
      <c r="D445" s="1149"/>
      <c r="E445" s="329" t="s">
        <v>562</v>
      </c>
      <c r="F445" s="1015"/>
      <c r="G445" s="1016"/>
      <c r="H445" s="1015"/>
      <c r="I445" s="1015"/>
      <c r="J445" s="1015"/>
      <c r="K445" s="1015"/>
      <c r="L445" s="1015"/>
      <c r="M445" s="1015"/>
      <c r="N445" s="1002"/>
      <c r="O445" s="326" t="str">
        <f t="shared" si="167"/>
        <v/>
      </c>
      <c r="P445" s="324" t="s">
        <v>71</v>
      </c>
    </row>
    <row r="446" spans="1:16" ht="11.25" customHeight="1" x14ac:dyDescent="0.35">
      <c r="A446" s="235"/>
      <c r="B446" s="450"/>
      <c r="C446" s="443"/>
      <c r="D446" s="1149"/>
      <c r="E446" s="329" t="s">
        <v>563</v>
      </c>
      <c r="F446" s="1015"/>
      <c r="G446" s="1016"/>
      <c r="H446" s="1015"/>
      <c r="I446" s="1015"/>
      <c r="J446" s="1015"/>
      <c r="K446" s="1015"/>
      <c r="L446" s="1015"/>
      <c r="M446" s="1015"/>
      <c r="N446" s="1002"/>
      <c r="O446" s="326" t="str">
        <f t="shared" si="167"/>
        <v/>
      </c>
      <c r="P446" s="324" t="s">
        <v>71</v>
      </c>
    </row>
    <row r="447" spans="1:16" ht="11.25" customHeight="1" x14ac:dyDescent="0.35">
      <c r="A447" s="235"/>
      <c r="B447" s="450"/>
      <c r="C447" s="443"/>
      <c r="D447" s="1149"/>
      <c r="E447" s="329" t="s">
        <v>564</v>
      </c>
      <c r="F447" s="1015"/>
      <c r="G447" s="1016"/>
      <c r="H447" s="1015"/>
      <c r="I447" s="1015"/>
      <c r="J447" s="1015"/>
      <c r="K447" s="1015"/>
      <c r="L447" s="1015"/>
      <c r="M447" s="1015"/>
      <c r="N447" s="1002"/>
      <c r="O447" s="326" t="str">
        <f t="shared" si="167"/>
        <v/>
      </c>
      <c r="P447" s="324" t="s">
        <v>71</v>
      </c>
    </row>
    <row r="448" spans="1:16" ht="11.25" customHeight="1" x14ac:dyDescent="0.35">
      <c r="A448" s="235"/>
      <c r="B448" s="450"/>
      <c r="C448" s="443"/>
      <c r="D448" s="1149"/>
      <c r="E448" s="329" t="s">
        <v>4900</v>
      </c>
      <c r="F448" s="1015"/>
      <c r="G448" s="1016"/>
      <c r="H448" s="1015"/>
      <c r="I448" s="1015"/>
      <c r="J448" s="1015"/>
      <c r="K448" s="1015"/>
      <c r="L448" s="1015"/>
      <c r="M448" s="1015"/>
      <c r="N448" s="1002"/>
      <c r="O448" s="326" t="str">
        <f t="shared" si="167"/>
        <v/>
      </c>
      <c r="P448" s="324" t="s">
        <v>71</v>
      </c>
    </row>
    <row r="449" spans="1:16" ht="11.25" customHeight="1" x14ac:dyDescent="0.35">
      <c r="A449" s="235"/>
      <c r="B449" s="450"/>
      <c r="C449" s="443"/>
      <c r="D449" s="1149"/>
      <c r="E449" s="329" t="s">
        <v>4901</v>
      </c>
      <c r="F449" s="1015"/>
      <c r="G449" s="1016"/>
      <c r="H449" s="1015"/>
      <c r="I449" s="1015"/>
      <c r="J449" s="1015"/>
      <c r="K449" s="1015"/>
      <c r="L449" s="1015"/>
      <c r="M449" s="1015"/>
      <c r="N449" s="1002"/>
      <c r="O449" s="326" t="str">
        <f t="shared" si="167"/>
        <v/>
      </c>
      <c r="P449" s="324" t="s">
        <v>71</v>
      </c>
    </row>
    <row r="450" spans="1:16" ht="11.25" customHeight="1" x14ac:dyDescent="0.35">
      <c r="A450" s="235"/>
      <c r="B450" s="450"/>
      <c r="C450" s="443"/>
      <c r="D450" s="1149"/>
      <c r="E450" s="329" t="s">
        <v>4902</v>
      </c>
      <c r="F450" s="1015"/>
      <c r="G450" s="1016"/>
      <c r="H450" s="1015"/>
      <c r="I450" s="1015"/>
      <c r="J450" s="1015"/>
      <c r="K450" s="1015"/>
      <c r="L450" s="1015"/>
      <c r="M450" s="1015"/>
      <c r="N450" s="1002"/>
      <c r="O450" s="326" t="str">
        <f t="shared" si="167"/>
        <v/>
      </c>
      <c r="P450" s="324" t="s">
        <v>71</v>
      </c>
    </row>
    <row r="451" spans="1:16" ht="11.25" customHeight="1" x14ac:dyDescent="0.35">
      <c r="A451" s="235"/>
      <c r="B451" s="450"/>
      <c r="C451" s="443"/>
      <c r="D451" s="1149"/>
      <c r="E451" s="329" t="s">
        <v>4903</v>
      </c>
      <c r="F451" s="1015"/>
      <c r="G451" s="1016"/>
      <c r="H451" s="1015"/>
      <c r="I451" s="1015"/>
      <c r="J451" s="1015"/>
      <c r="K451" s="1015"/>
      <c r="L451" s="1015"/>
      <c r="M451" s="1015"/>
      <c r="N451" s="1002"/>
      <c r="O451" s="326" t="str">
        <f t="shared" si="167"/>
        <v/>
      </c>
      <c r="P451" s="324" t="s">
        <v>71</v>
      </c>
    </row>
    <row r="452" spans="1:16" ht="11.25" customHeight="1" x14ac:dyDescent="0.35">
      <c r="A452" s="235"/>
      <c r="B452" s="450"/>
      <c r="C452" s="445"/>
      <c r="D452" s="1150"/>
      <c r="E452" s="329" t="s">
        <v>4904</v>
      </c>
      <c r="F452" s="1017"/>
      <c r="G452" s="1016"/>
      <c r="H452" s="1017"/>
      <c r="I452" s="1017"/>
      <c r="J452" s="1017"/>
      <c r="K452" s="1017"/>
      <c r="L452" s="1017"/>
      <c r="M452" s="1017"/>
      <c r="N452" s="1003"/>
      <c r="O452" s="326" t="str">
        <f t="shared" si="167"/>
        <v/>
      </c>
      <c r="P452" s="324" t="s">
        <v>71</v>
      </c>
    </row>
    <row r="453" spans="1:16" ht="14.15" customHeight="1" x14ac:dyDescent="0.35">
      <c r="A453" s="235"/>
      <c r="B453" s="446" t="s">
        <v>565</v>
      </c>
      <c r="C453" s="319"/>
      <c r="D453" s="1151"/>
      <c r="E453" s="385" t="s">
        <v>566</v>
      </c>
      <c r="F453" s="1018">
        <f ca="1">OFFSET($E$443,0,F$8)+OFFSET($E$444,0,F$8)+OFFSET($E$445,0,F$8)+OFFSET($E$446,0,F$8)+OFFSET($E$447,0,F$8)+OFFSET($E$448,0,F$8)+OFFSET($E$449,0,F$8)+OFFSET($E$450,0,F$8)+OFFSET($E$451,0,F$8)+OFFSET($E$452,0,F$8)</f>
        <v>0</v>
      </c>
      <c r="G453" s="1018">
        <f t="shared" ref="G453:N453" ca="1" si="168">OFFSET($E$443,0,G$8)+OFFSET($E$444,0,G$8)+OFFSET($E$445,0,G$8)+OFFSET($E$446,0,G$8)+OFFSET($E$447,0,G$8)+OFFSET($E$448,0,G$8)+OFFSET($E$449,0,G$8)+OFFSET($E$450,0,G$8)+OFFSET($E$451,0,G$8)+OFFSET($E$452,0,G$8)</f>
        <v>0</v>
      </c>
      <c r="H453" s="1018">
        <f t="shared" ca="1" si="168"/>
        <v>11461080.606711309</v>
      </c>
      <c r="I453" s="1018">
        <f t="shared" ca="1" si="168"/>
        <v>43193887.481145039</v>
      </c>
      <c r="J453" s="1018">
        <f t="shared" ca="1" si="168"/>
        <v>52912512.164402664</v>
      </c>
      <c r="K453" s="1018">
        <f t="shared" ca="1" si="168"/>
        <v>64817827.401393265</v>
      </c>
      <c r="L453" s="1018">
        <f t="shared" ca="1" si="168"/>
        <v>79401838.566706747</v>
      </c>
      <c r="M453" s="1018">
        <f t="shared" ca="1" si="168"/>
        <v>97267252.244215772</v>
      </c>
      <c r="N453" s="1004">
        <f t="shared" ca="1" si="168"/>
        <v>0</v>
      </c>
      <c r="O453" s="326"/>
      <c r="P453" s="324" t="s">
        <v>392</v>
      </c>
    </row>
    <row r="454" spans="1:16" ht="11.25" hidden="1" customHeight="1" x14ac:dyDescent="0.35">
      <c r="A454" s="447"/>
      <c r="B454" s="448" t="s">
        <v>5289</v>
      </c>
      <c r="C454" s="449"/>
      <c r="D454" s="1152"/>
      <c r="E454" s="329" t="s">
        <v>567</v>
      </c>
      <c r="F454" s="1019">
        <f ca="1">IF(OFFSET(F$1,0,-1)=FinMonth,F453,F453+IF(OFFSET(F$7,0,-1)=0,OFFSET(F454,0,-1),0))</f>
        <v>0</v>
      </c>
      <c r="G454" s="1020">
        <f ca="1">IF(RIGHT(OFFSET(G$6,0,-1),6)=RIGHT(G$6,6),OFFSET(G454,0,-1),0)+G453</f>
        <v>0</v>
      </c>
      <c r="H454" s="1019">
        <f t="shared" ref="H454:M454" ca="1" si="169">IF(OFFSET(H$1,0,-1)=FinMonth,H453,H453+OFFSET(H454,0,-1))</f>
        <v>11461080.606711309</v>
      </c>
      <c r="I454" s="1019">
        <f t="shared" ca="1" si="169"/>
        <v>43193887.481145039</v>
      </c>
      <c r="J454" s="1019">
        <f t="shared" ca="1" si="169"/>
        <v>52912512.164402664</v>
      </c>
      <c r="K454" s="1019">
        <f t="shared" ca="1" si="169"/>
        <v>64817827.401393265</v>
      </c>
      <c r="L454" s="1019">
        <f t="shared" ca="1" si="169"/>
        <v>79401838.566706747</v>
      </c>
      <c r="M454" s="1019">
        <f t="shared" ca="1" si="169"/>
        <v>97267252.244215772</v>
      </c>
      <c r="N454" s="1005"/>
      <c r="O454" s="386"/>
      <c r="P454" s="324" t="s">
        <v>651</v>
      </c>
    </row>
    <row r="455" spans="1:16" ht="11.25" customHeight="1" x14ac:dyDescent="0.35">
      <c r="A455" s="235"/>
      <c r="B455" s="450" t="str">
        <f>IF(PrintMode=0,"      ","")&amp;"Other operating income"</f>
        <v xml:space="preserve">      Other operating income</v>
      </c>
      <c r="C455" s="439"/>
      <c r="D455" s="1111"/>
      <c r="E455" s="329" t="s">
        <v>568</v>
      </c>
      <c r="F455" s="1021"/>
      <c r="G455" s="1022"/>
      <c r="H455" s="1021"/>
      <c r="I455" s="1021"/>
      <c r="J455" s="1021"/>
      <c r="K455" s="1021"/>
      <c r="L455" s="1021"/>
      <c r="M455" s="1021"/>
      <c r="N455" s="1006"/>
      <c r="O455" s="326" t="str">
        <f>IF(MID(P455,7,1)="D","  ","")</f>
        <v/>
      </c>
      <c r="P455" s="324" t="s">
        <v>71</v>
      </c>
    </row>
    <row r="456" spans="1:16" ht="11.25" customHeight="1" x14ac:dyDescent="0.35">
      <c r="A456" s="235"/>
      <c r="B456" s="451" t="s">
        <v>569</v>
      </c>
      <c r="C456" s="452"/>
      <c r="D456" s="1153"/>
      <c r="E456" s="425" t="s">
        <v>570</v>
      </c>
      <c r="F456" s="1023">
        <f ca="1">OFFSET($E$457,0,F$8)+OFFSET($E$458,0,F$8)+OFFSET($E$459,0,F$8)+OFFSET($E$460,0,F$8)+OFFSET($E$461,0,F$8)+OFFSET($E$462,0,F$8)+OFFSET($E$463,0,F$8)+OFFSET($E$464,0,F$8)+OFFSET($E$465,0,F$8)+OFFSET($E$466,0,F$8)</f>
        <v>0</v>
      </c>
      <c r="G456" s="1023">
        <f t="shared" ref="G456:N456" ca="1" si="170">OFFSET($E$457,0,G$8)+OFFSET($E$458,0,G$8)+OFFSET($E$459,0,G$8)+OFFSET($E$460,0,G$8)+OFFSET($E$461,0,G$8)+OFFSET($E$462,0,G$8)+OFFSET($E$463,0,G$8)+OFFSET($E$464,0,G$8)+OFFSET($E$465,0,G$8)+OFFSET($E$466,0,G$8)</f>
        <v>0</v>
      </c>
      <c r="H456" s="1023">
        <f t="shared" ca="1" si="170"/>
        <v>-7815939.9325467376</v>
      </c>
      <c r="I456" s="1023">
        <f t="shared" ca="1" si="170"/>
        <v>-29456282.665713191</v>
      </c>
      <c r="J456" s="1023">
        <f t="shared" ca="1" si="170"/>
        <v>-36083946.265498661</v>
      </c>
      <c r="K456" s="1023">
        <f t="shared" ca="1" si="170"/>
        <v>-44202834.17523586</v>
      </c>
      <c r="L456" s="1023">
        <f t="shared" ca="1" si="170"/>
        <v>-54148471.864663929</v>
      </c>
      <c r="M456" s="1023">
        <f t="shared" ca="1" si="170"/>
        <v>-66331878.034213312</v>
      </c>
      <c r="N456" s="582">
        <f t="shared" ca="1" si="170"/>
        <v>0</v>
      </c>
      <c r="O456" s="326"/>
      <c r="P456" s="324" t="s">
        <v>392</v>
      </c>
    </row>
    <row r="457" spans="1:16" ht="11.25" customHeight="1" x14ac:dyDescent="0.35">
      <c r="A457" s="235"/>
      <c r="B457" s="450"/>
      <c r="C457" s="453" t="s">
        <v>571</v>
      </c>
      <c r="D457" s="1154"/>
      <c r="E457" s="454" t="s">
        <v>572</v>
      </c>
      <c r="F457" s="1024"/>
      <c r="G457" s="1025"/>
      <c r="H457" s="1024">
        <v>-7815939.9325467376</v>
      </c>
      <c r="I457" s="1024">
        <v>-29456282.665713191</v>
      </c>
      <c r="J457" s="1024">
        <v>-36083946.265498661</v>
      </c>
      <c r="K457" s="1024">
        <v>-44202834.17523586</v>
      </c>
      <c r="L457" s="1024">
        <v>-54148471.864663929</v>
      </c>
      <c r="M457" s="1024">
        <v>-66331878.034213312</v>
      </c>
      <c r="N457" s="1007"/>
      <c r="O457" s="326" t="str">
        <f t="shared" ref="O457:O462" si="171">IF(MID(P457,7,1)="D","  ","")</f>
        <v/>
      </c>
      <c r="P457" s="324" t="s">
        <v>71</v>
      </c>
    </row>
    <row r="458" spans="1:16" ht="11.25" customHeight="1" x14ac:dyDescent="0.35">
      <c r="A458" s="235"/>
      <c r="B458" s="450"/>
      <c r="C458" s="443" t="s">
        <v>573</v>
      </c>
      <c r="D458" s="1155"/>
      <c r="E458" s="329" t="s">
        <v>574</v>
      </c>
      <c r="F458" s="1021"/>
      <c r="G458" s="1022"/>
      <c r="H458" s="1021"/>
      <c r="I458" s="1021"/>
      <c r="J458" s="1021"/>
      <c r="K458" s="1021"/>
      <c r="L458" s="1021"/>
      <c r="M458" s="1021"/>
      <c r="N458" s="1006"/>
      <c r="O458" s="326" t="str">
        <f t="shared" si="171"/>
        <v/>
      </c>
      <c r="P458" s="324" t="s">
        <v>71</v>
      </c>
    </row>
    <row r="459" spans="1:16" ht="11.25" customHeight="1" x14ac:dyDescent="0.35">
      <c r="A459" s="235"/>
      <c r="B459" s="450"/>
      <c r="C459" s="443" t="s">
        <v>575</v>
      </c>
      <c r="D459" s="1155"/>
      <c r="E459" s="329" t="s">
        <v>576</v>
      </c>
      <c r="F459" s="1021"/>
      <c r="G459" s="1022"/>
      <c r="H459" s="1021"/>
      <c r="I459" s="1021"/>
      <c r="J459" s="1021"/>
      <c r="K459" s="1021"/>
      <c r="L459" s="1021"/>
      <c r="M459" s="1021"/>
      <c r="N459" s="1006"/>
      <c r="O459" s="326" t="str">
        <f t="shared" si="171"/>
        <v/>
      </c>
      <c r="P459" s="324" t="s">
        <v>71</v>
      </c>
    </row>
    <row r="460" spans="1:16" ht="11.25" customHeight="1" x14ac:dyDescent="0.35">
      <c r="A460" s="235"/>
      <c r="B460" s="450"/>
      <c r="C460" s="443" t="s">
        <v>577</v>
      </c>
      <c r="D460" s="1155"/>
      <c r="E460" s="329" t="s">
        <v>578</v>
      </c>
      <c r="F460" s="1021"/>
      <c r="G460" s="1022"/>
      <c r="H460" s="1021"/>
      <c r="I460" s="1021"/>
      <c r="J460" s="1021"/>
      <c r="K460" s="1021"/>
      <c r="L460" s="1021"/>
      <c r="M460" s="1021"/>
      <c r="N460" s="1006"/>
      <c r="O460" s="326" t="str">
        <f t="shared" si="171"/>
        <v/>
      </c>
      <c r="P460" s="324" t="s">
        <v>71</v>
      </c>
    </row>
    <row r="461" spans="1:16" ht="11.25" customHeight="1" x14ac:dyDescent="0.35">
      <c r="A461" s="235"/>
      <c r="B461" s="450"/>
      <c r="C461" s="443"/>
      <c r="D461" s="1155"/>
      <c r="E461" s="329" t="s">
        <v>579</v>
      </c>
      <c r="F461" s="1021"/>
      <c r="G461" s="1022"/>
      <c r="H461" s="1021"/>
      <c r="I461" s="1021"/>
      <c r="J461" s="1021"/>
      <c r="K461" s="1021"/>
      <c r="L461" s="1021"/>
      <c r="M461" s="1021"/>
      <c r="N461" s="1006"/>
      <c r="O461" s="326" t="str">
        <f t="shared" si="171"/>
        <v/>
      </c>
      <c r="P461" s="324" t="s">
        <v>121</v>
      </c>
    </row>
    <row r="462" spans="1:16" ht="11.25" customHeight="1" x14ac:dyDescent="0.35">
      <c r="A462" s="235"/>
      <c r="B462" s="450"/>
      <c r="C462" s="443"/>
      <c r="D462" s="1155"/>
      <c r="E462" s="329" t="s">
        <v>580</v>
      </c>
      <c r="F462" s="1021"/>
      <c r="G462" s="1022"/>
      <c r="H462" s="1021"/>
      <c r="I462" s="1021"/>
      <c r="J462" s="1021"/>
      <c r="K462" s="1021"/>
      <c r="L462" s="1021"/>
      <c r="M462" s="1021"/>
      <c r="N462" s="1006"/>
      <c r="O462" s="326" t="str">
        <f t="shared" si="171"/>
        <v/>
      </c>
      <c r="P462" s="324" t="s">
        <v>121</v>
      </c>
    </row>
    <row r="463" spans="1:16" ht="11.25" customHeight="1" x14ac:dyDescent="0.35">
      <c r="A463" s="235"/>
      <c r="B463" s="450"/>
      <c r="C463" s="443"/>
      <c r="D463" s="1155"/>
      <c r="E463" s="329" t="s">
        <v>4905</v>
      </c>
      <c r="F463" s="1021"/>
      <c r="G463" s="1022"/>
      <c r="H463" s="1021"/>
      <c r="I463" s="1021"/>
      <c r="J463" s="1021"/>
      <c r="K463" s="1021"/>
      <c r="L463" s="1021"/>
      <c r="M463" s="1021"/>
      <c r="N463" s="1006"/>
      <c r="O463" s="326" t="str">
        <f t="shared" ref="O463:O466" si="172">IF(MID(P463,7,1)="D","  ","")</f>
        <v/>
      </c>
      <c r="P463" s="324" t="s">
        <v>121</v>
      </c>
    </row>
    <row r="464" spans="1:16" ht="11.25" customHeight="1" x14ac:dyDescent="0.35">
      <c r="A464" s="235"/>
      <c r="B464" s="450"/>
      <c r="C464" s="443"/>
      <c r="D464" s="1155"/>
      <c r="E464" s="329" t="s">
        <v>4906</v>
      </c>
      <c r="F464" s="1021"/>
      <c r="G464" s="1022"/>
      <c r="H464" s="1021"/>
      <c r="I464" s="1021"/>
      <c r="J464" s="1021"/>
      <c r="K464" s="1021"/>
      <c r="L464" s="1021"/>
      <c r="M464" s="1021"/>
      <c r="N464" s="1006"/>
      <c r="O464" s="326" t="str">
        <f t="shared" si="172"/>
        <v/>
      </c>
      <c r="P464" s="324" t="s">
        <v>121</v>
      </c>
    </row>
    <row r="465" spans="1:16" ht="11.25" customHeight="1" x14ac:dyDescent="0.35">
      <c r="A465" s="235"/>
      <c r="B465" s="450"/>
      <c r="C465" s="443"/>
      <c r="D465" s="1155"/>
      <c r="E465" s="329" t="s">
        <v>4907</v>
      </c>
      <c r="F465" s="1021"/>
      <c r="G465" s="1022"/>
      <c r="H465" s="1021"/>
      <c r="I465" s="1021"/>
      <c r="J465" s="1021"/>
      <c r="K465" s="1021"/>
      <c r="L465" s="1021"/>
      <c r="M465" s="1021"/>
      <c r="N465" s="1006"/>
      <c r="O465" s="326" t="str">
        <f t="shared" si="172"/>
        <v/>
      </c>
      <c r="P465" s="324" t="s">
        <v>121</v>
      </c>
    </row>
    <row r="466" spans="1:16" ht="11.25" customHeight="1" x14ac:dyDescent="0.35">
      <c r="A466" s="235"/>
      <c r="B466" s="450"/>
      <c r="C466" s="443"/>
      <c r="D466" s="1155"/>
      <c r="E466" s="329" t="s">
        <v>4908</v>
      </c>
      <c r="F466" s="1026"/>
      <c r="G466" s="1022"/>
      <c r="H466" s="1021"/>
      <c r="I466" s="1021"/>
      <c r="J466" s="1021"/>
      <c r="K466" s="1021"/>
      <c r="L466" s="1021"/>
      <c r="M466" s="1021"/>
      <c r="N466" s="1006"/>
      <c r="O466" s="326" t="str">
        <f t="shared" si="172"/>
        <v/>
      </c>
      <c r="P466" s="324" t="s">
        <v>121</v>
      </c>
    </row>
    <row r="467" spans="1:16" ht="11.25" customHeight="1" x14ac:dyDescent="0.35">
      <c r="A467" s="235"/>
      <c r="B467" s="446" t="s">
        <v>581</v>
      </c>
      <c r="C467" s="319"/>
      <c r="D467" s="1151"/>
      <c r="E467" s="385" t="s">
        <v>582</v>
      </c>
      <c r="F467" s="1018">
        <f ca="1">F$453+OFFSET($E$455,0,F$8)+F$456</f>
        <v>0</v>
      </c>
      <c r="G467" s="1018">
        <f ca="1">IF(OR(AND(G$5=0,NoZeroCol=1),AND(G$5=-99,NoResCol=1)),0,G$453+OFFSET($E$455,0,G$8)+G$456)</f>
        <v>0</v>
      </c>
      <c r="H467" s="1018">
        <f t="shared" ref="H467:N467" ca="1" si="173">IF(OR(AND(H$5=0,NoZeroCol=1),AND(H$5=-99,NoResCol=1)),0,H$453+OFFSET($E$455,0,H$8)+H$456)</f>
        <v>3645140.6741645718</v>
      </c>
      <c r="I467" s="1018">
        <f t="shared" ca="1" si="173"/>
        <v>13737604.815431848</v>
      </c>
      <c r="J467" s="1018">
        <f t="shared" ca="1" si="173"/>
        <v>16828565.898904003</v>
      </c>
      <c r="K467" s="1018">
        <f t="shared" ca="1" si="173"/>
        <v>20614993.226157404</v>
      </c>
      <c r="L467" s="1018">
        <f t="shared" ca="1" si="173"/>
        <v>25253366.702042818</v>
      </c>
      <c r="M467" s="1018">
        <f t="shared" ca="1" si="173"/>
        <v>30935374.21000246</v>
      </c>
      <c r="N467" s="1004">
        <f t="shared" ca="1" si="173"/>
        <v>0</v>
      </c>
      <c r="O467" s="326"/>
      <c r="P467" s="324" t="s">
        <v>392</v>
      </c>
    </row>
    <row r="468" spans="1:16" ht="11.25" hidden="1" customHeight="1" x14ac:dyDescent="0.35">
      <c r="A468" s="447"/>
      <c r="B468" s="448" t="s">
        <v>5289</v>
      </c>
      <c r="C468" s="449"/>
      <c r="D468" s="1152"/>
      <c r="E468" s="329" t="s">
        <v>583</v>
      </c>
      <c r="F468" s="1019">
        <f ca="1">IF(OFFSET(F$1,0,-1)=FinMonth,F467,F467+IF(OFFSET(F$7,0,-1)=0,OFFSET(F468,0,-1),0))</f>
        <v>0</v>
      </c>
      <c r="G468" s="1020">
        <f ca="1">IF(RIGHT(OFFSET(G$6,0,-1),6)=RIGHT(G$6,6),OFFSET(G468,0,-1),0)+G467</f>
        <v>0</v>
      </c>
      <c r="H468" s="1019">
        <f t="shared" ref="H468:M468" ca="1" si="174">IF(OFFSET(H$1,0,-1)=FinMonth,H467,H467+OFFSET(H468,0,-1))</f>
        <v>3645140.6741645718</v>
      </c>
      <c r="I468" s="1019">
        <f t="shared" ca="1" si="174"/>
        <v>13737604.815431848</v>
      </c>
      <c r="J468" s="1019">
        <f t="shared" ca="1" si="174"/>
        <v>16828565.898904003</v>
      </c>
      <c r="K468" s="1019">
        <f t="shared" ca="1" si="174"/>
        <v>20614993.226157404</v>
      </c>
      <c r="L468" s="1019">
        <f t="shared" ca="1" si="174"/>
        <v>25253366.702042818</v>
      </c>
      <c r="M468" s="1019">
        <f t="shared" ca="1" si="174"/>
        <v>30935374.21000246</v>
      </c>
      <c r="N468" s="1005"/>
      <c r="O468" s="386"/>
      <c r="P468" s="324" t="s">
        <v>651</v>
      </c>
    </row>
    <row r="469" spans="1:16" ht="11.25" customHeight="1" x14ac:dyDescent="0.35">
      <c r="A469" s="447"/>
      <c r="B469" s="448" t="s">
        <v>5287</v>
      </c>
      <c r="C469" s="449"/>
      <c r="D469" s="1152"/>
      <c r="E469" s="329" t="s">
        <v>584</v>
      </c>
      <c r="F469" s="1027" t="str">
        <f ca="1">IF(F$454&lt;&gt;0,F468/F$454,"")</f>
        <v/>
      </c>
      <c r="G469" s="1027"/>
      <c r="H469" s="1027">
        <f t="shared" ref="H469:M469" ca="1" si="175">IF(H$454&lt;&gt;0,H468/H$454,"")</f>
        <v>0.31804511278195469</v>
      </c>
      <c r="I469" s="1027">
        <f t="shared" ca="1" si="175"/>
        <v>0.31804511278195502</v>
      </c>
      <c r="J469" s="1027">
        <f t="shared" ca="1" si="175"/>
        <v>0.31804511278195485</v>
      </c>
      <c r="K469" s="1027">
        <f t="shared" ca="1" si="175"/>
        <v>0.31804511278195485</v>
      </c>
      <c r="L469" s="1027">
        <f t="shared" ca="1" si="175"/>
        <v>0.31804511278195485</v>
      </c>
      <c r="M469" s="1027">
        <f t="shared" ca="1" si="175"/>
        <v>0.31804511278195491</v>
      </c>
      <c r="N469" s="1008"/>
      <c r="O469" s="386"/>
      <c r="P469" s="324" t="s">
        <v>121</v>
      </c>
    </row>
    <row r="470" spans="1:16" ht="11.25" customHeight="1" x14ac:dyDescent="0.35">
      <c r="A470" s="235"/>
      <c r="B470" s="451" t="s">
        <v>585</v>
      </c>
      <c r="C470" s="452"/>
      <c r="D470" s="1153"/>
      <c r="E470" s="425" t="s">
        <v>586</v>
      </c>
      <c r="F470" s="1023">
        <f ca="1">OFFSET($E$471,0,F$8)+OFFSET($E$472,0,F$8)+OFFSET($E$473,0,F$8)+OFFSET($E$474,0,F$8)+OFFSET($E$475,0,F$8)+OFFSET($E$476,0,F$8)+OFFSET($E$477,0,F$8)+OFFSET($E$478,0,F$8)+OFFSET($E$479,0,F$8)+OFFSET($E$480,0,F$8)</f>
        <v>0</v>
      </c>
      <c r="G470" s="1023">
        <f t="shared" ref="G470:N470" ca="1" si="176">OFFSET($E$471,0,G$8)+OFFSET($E$472,0,G$8)+OFFSET($E$473,0,G$8)+OFFSET($E$474,0,G$8)+OFFSET($E$475,0,G$8)+OFFSET($E$476,0,G$8)+OFFSET($E$477,0,G$8)+OFFSET($E$478,0,G$8)+OFFSET($E$479,0,G$8)+OFFSET($E$480,0,G$8)</f>
        <v>0</v>
      </c>
      <c r="H470" s="1023">
        <f t="shared" ca="1" si="176"/>
        <v>-2400000</v>
      </c>
      <c r="I470" s="1023">
        <f t="shared" ca="1" si="176"/>
        <v>-7200000</v>
      </c>
      <c r="J470" s="1023">
        <f t="shared" ca="1" si="176"/>
        <v>-7200000</v>
      </c>
      <c r="K470" s="1023">
        <f t="shared" ca="1" si="176"/>
        <v>-7200000</v>
      </c>
      <c r="L470" s="1023">
        <f t="shared" ca="1" si="176"/>
        <v>-7200000</v>
      </c>
      <c r="M470" s="1023">
        <f t="shared" ca="1" si="176"/>
        <v>-7200000</v>
      </c>
      <c r="N470" s="582">
        <f t="shared" ca="1" si="176"/>
        <v>0</v>
      </c>
      <c r="O470" s="326"/>
      <c r="P470" s="324" t="s">
        <v>392</v>
      </c>
    </row>
    <row r="471" spans="1:16" ht="11.25" customHeight="1" x14ac:dyDescent="0.35">
      <c r="A471" s="235"/>
      <c r="B471" s="450"/>
      <c r="C471" s="453" t="s">
        <v>575</v>
      </c>
      <c r="D471" s="1154"/>
      <c r="E471" s="454" t="s">
        <v>587</v>
      </c>
      <c r="F471" s="1024"/>
      <c r="G471" s="1025"/>
      <c r="H471" s="1024"/>
      <c r="I471" s="1024"/>
      <c r="J471" s="1024"/>
      <c r="K471" s="1024"/>
      <c r="L471" s="1024"/>
      <c r="M471" s="1024"/>
      <c r="N471" s="1007"/>
      <c r="O471" s="326" t="str">
        <f t="shared" ref="O471:O481" si="177">IF(MID(P471,7,1)="D","  ","")</f>
        <v/>
      </c>
      <c r="P471" s="324" t="s">
        <v>71</v>
      </c>
    </row>
    <row r="472" spans="1:16" ht="11.25" customHeight="1" x14ac:dyDescent="0.35">
      <c r="A472" s="235"/>
      <c r="B472" s="450"/>
      <c r="C472" s="443" t="s">
        <v>588</v>
      </c>
      <c r="D472" s="1155"/>
      <c r="E472" s="329" t="s">
        <v>589</v>
      </c>
      <c r="F472" s="1021"/>
      <c r="G472" s="1022"/>
      <c r="H472" s="1021"/>
      <c r="I472" s="1021"/>
      <c r="J472" s="1021"/>
      <c r="K472" s="1021"/>
      <c r="L472" s="1021"/>
      <c r="M472" s="1021"/>
      <c r="N472" s="1006"/>
      <c r="O472" s="326" t="str">
        <f t="shared" si="177"/>
        <v/>
      </c>
      <c r="P472" s="324" t="s">
        <v>71</v>
      </c>
    </row>
    <row r="473" spans="1:16" ht="11.25" customHeight="1" x14ac:dyDescent="0.35">
      <c r="A473" s="235"/>
      <c r="B473" s="450"/>
      <c r="C473" s="443" t="s">
        <v>590</v>
      </c>
      <c r="D473" s="1155"/>
      <c r="E473" s="329" t="s">
        <v>591</v>
      </c>
      <c r="F473" s="1021"/>
      <c r="G473" s="1022"/>
      <c r="H473" s="1021">
        <v>-2400000</v>
      </c>
      <c r="I473" s="1021">
        <v>-7200000</v>
      </c>
      <c r="J473" s="1021">
        <v>-7200000</v>
      </c>
      <c r="K473" s="1021">
        <v>-7200000</v>
      </c>
      <c r="L473" s="1021">
        <v>-7200000</v>
      </c>
      <c r="M473" s="1021">
        <v>-7200000</v>
      </c>
      <c r="N473" s="1006"/>
      <c r="O473" s="326" t="str">
        <f t="shared" si="177"/>
        <v/>
      </c>
      <c r="P473" s="324" t="s">
        <v>71</v>
      </c>
    </row>
    <row r="474" spans="1:16" ht="11.25" customHeight="1" x14ac:dyDescent="0.35">
      <c r="A474" s="235"/>
      <c r="B474" s="450"/>
      <c r="C474" s="443"/>
      <c r="D474" s="1155"/>
      <c r="E474" s="329" t="s">
        <v>592</v>
      </c>
      <c r="F474" s="1021"/>
      <c r="G474" s="1022"/>
      <c r="H474" s="1021"/>
      <c r="I474" s="1021"/>
      <c r="J474" s="1021"/>
      <c r="K474" s="1021"/>
      <c r="L474" s="1021"/>
      <c r="M474" s="1021"/>
      <c r="N474" s="1006"/>
      <c r="O474" s="326" t="str">
        <f t="shared" si="177"/>
        <v/>
      </c>
      <c r="P474" s="324" t="s">
        <v>71</v>
      </c>
    </row>
    <row r="475" spans="1:16" ht="11.25" customHeight="1" x14ac:dyDescent="0.35">
      <c r="A475" s="235"/>
      <c r="B475" s="450"/>
      <c r="C475" s="443"/>
      <c r="D475" s="1155"/>
      <c r="E475" s="329" t="s">
        <v>593</v>
      </c>
      <c r="F475" s="1021"/>
      <c r="G475" s="1022"/>
      <c r="H475" s="1021"/>
      <c r="I475" s="1021"/>
      <c r="J475" s="1021"/>
      <c r="K475" s="1021"/>
      <c r="L475" s="1021"/>
      <c r="M475" s="1021"/>
      <c r="N475" s="1006"/>
      <c r="O475" s="326" t="str">
        <f t="shared" si="177"/>
        <v/>
      </c>
      <c r="P475" s="324" t="s">
        <v>121</v>
      </c>
    </row>
    <row r="476" spans="1:16" ht="11.25" customHeight="1" x14ac:dyDescent="0.35">
      <c r="A476" s="235"/>
      <c r="B476" s="450"/>
      <c r="C476" s="443"/>
      <c r="D476" s="1155"/>
      <c r="E476" s="329" t="s">
        <v>594</v>
      </c>
      <c r="F476" s="1021"/>
      <c r="G476" s="1022"/>
      <c r="H476" s="1021"/>
      <c r="I476" s="1021"/>
      <c r="J476" s="1021"/>
      <c r="K476" s="1021"/>
      <c r="L476" s="1021"/>
      <c r="M476" s="1021"/>
      <c r="N476" s="1006"/>
      <c r="O476" s="326" t="str">
        <f t="shared" si="177"/>
        <v/>
      </c>
      <c r="P476" s="324" t="s">
        <v>121</v>
      </c>
    </row>
    <row r="477" spans="1:16" ht="11.25" customHeight="1" x14ac:dyDescent="0.35">
      <c r="A477" s="235"/>
      <c r="B477" s="450"/>
      <c r="C477" s="443"/>
      <c r="D477" s="1155"/>
      <c r="E477" s="329" t="s">
        <v>4909</v>
      </c>
      <c r="F477" s="1021"/>
      <c r="G477" s="1022"/>
      <c r="H477" s="1021"/>
      <c r="I477" s="1021"/>
      <c r="J477" s="1021"/>
      <c r="K477" s="1021"/>
      <c r="L477" s="1021"/>
      <c r="M477" s="1021"/>
      <c r="N477" s="1006"/>
      <c r="O477" s="326" t="str">
        <f t="shared" ref="O477:O480" si="178">IF(MID(P477,7,1)="D","  ","")</f>
        <v/>
      </c>
      <c r="P477" s="324" t="s">
        <v>121</v>
      </c>
    </row>
    <row r="478" spans="1:16" ht="11.25" customHeight="1" x14ac:dyDescent="0.35">
      <c r="A478" s="235"/>
      <c r="B478" s="450"/>
      <c r="C478" s="443"/>
      <c r="D478" s="1155"/>
      <c r="E478" s="329" t="s">
        <v>4910</v>
      </c>
      <c r="F478" s="1021"/>
      <c r="G478" s="1022"/>
      <c r="H478" s="1021"/>
      <c r="I478" s="1021"/>
      <c r="J478" s="1021"/>
      <c r="K478" s="1021"/>
      <c r="L478" s="1021"/>
      <c r="M478" s="1021"/>
      <c r="N478" s="1006"/>
      <c r="O478" s="326" t="str">
        <f t="shared" si="178"/>
        <v/>
      </c>
      <c r="P478" s="324" t="s">
        <v>121</v>
      </c>
    </row>
    <row r="479" spans="1:16" ht="11.25" customHeight="1" x14ac:dyDescent="0.35">
      <c r="A479" s="235"/>
      <c r="B479" s="450"/>
      <c r="C479" s="443"/>
      <c r="D479" s="1155"/>
      <c r="E479" s="329" t="s">
        <v>4911</v>
      </c>
      <c r="F479" s="1021"/>
      <c r="G479" s="1022"/>
      <c r="H479" s="1021"/>
      <c r="I479" s="1021"/>
      <c r="J479" s="1021"/>
      <c r="K479" s="1021"/>
      <c r="L479" s="1021"/>
      <c r="M479" s="1021"/>
      <c r="N479" s="1006"/>
      <c r="O479" s="326" t="str">
        <f t="shared" si="178"/>
        <v/>
      </c>
      <c r="P479" s="324" t="s">
        <v>121</v>
      </c>
    </row>
    <row r="480" spans="1:16" ht="11.25" customHeight="1" x14ac:dyDescent="0.35">
      <c r="A480" s="235"/>
      <c r="B480" s="451"/>
      <c r="C480" s="455"/>
      <c r="D480" s="1156"/>
      <c r="E480" s="329" t="s">
        <v>4912</v>
      </c>
      <c r="F480" s="1028"/>
      <c r="G480" s="1023"/>
      <c r="H480" s="1028"/>
      <c r="I480" s="1028"/>
      <c r="J480" s="1028"/>
      <c r="K480" s="1028"/>
      <c r="L480" s="1028"/>
      <c r="M480" s="1028"/>
      <c r="N480" s="1009"/>
      <c r="O480" s="326" t="str">
        <f t="shared" si="178"/>
        <v/>
      </c>
      <c r="P480" s="324" t="s">
        <v>121</v>
      </c>
    </row>
    <row r="481" spans="1:16" ht="11.25" customHeight="1" x14ac:dyDescent="0.35">
      <c r="A481" s="235"/>
      <c r="B481" s="450" t="s">
        <v>595</v>
      </c>
      <c r="C481" s="456"/>
      <c r="D481" s="1111"/>
      <c r="E481" s="329" t="s">
        <v>596</v>
      </c>
      <c r="F481" s="1021"/>
      <c r="G481" s="1021"/>
      <c r="H481" s="1021"/>
      <c r="I481" s="1021"/>
      <c r="J481" s="1021"/>
      <c r="K481" s="1021"/>
      <c r="L481" s="1021"/>
      <c r="M481" s="1021"/>
      <c r="N481" s="1006"/>
      <c r="O481" s="326" t="str">
        <f t="shared" si="177"/>
        <v/>
      </c>
      <c r="P481" s="324" t="s">
        <v>121</v>
      </c>
    </row>
    <row r="482" spans="1:16" ht="11.25" hidden="1" customHeight="1" x14ac:dyDescent="0.35">
      <c r="A482" s="235"/>
      <c r="B482" s="450" t="s">
        <v>5352</v>
      </c>
      <c r="C482" s="456"/>
      <c r="D482" s="1111"/>
      <c r="E482" s="1242" t="s">
        <v>5353</v>
      </c>
      <c r="F482" s="1021"/>
      <c r="G482" s="1021"/>
      <c r="H482" s="1021"/>
      <c r="I482" s="1021"/>
      <c r="J482" s="1021"/>
      <c r="K482" s="1021"/>
      <c r="L482" s="1021"/>
      <c r="M482" s="1021"/>
      <c r="N482" s="1006"/>
      <c r="O482" s="326"/>
      <c r="P482" s="324" t="s">
        <v>118</v>
      </c>
    </row>
    <row r="483" spans="1:16" ht="12.75" customHeight="1" x14ac:dyDescent="0.35">
      <c r="A483" s="336">
        <f ca="1">(SUM($G$483:OFFSET($N$483,0,-1))/SUM($G$17:OFFSET($N$17,0,-1)))*12</f>
        <v>13615321.036256831</v>
      </c>
      <c r="B483" s="446" t="s">
        <v>597</v>
      </c>
      <c r="C483" s="319"/>
      <c r="D483" s="1157"/>
      <c r="E483" s="385" t="s">
        <v>598</v>
      </c>
      <c r="F483" s="1018">
        <f ca="1">F$467+F$470+OFFSET($E$481,0,F$8)+OFFSET($E$482,0,F$8)</f>
        <v>0</v>
      </c>
      <c r="G483" s="1018">
        <f ca="1">IF(AND(G$5=0,NoZeroCol=1),0,G$467+G$470+OFFSET($E$481,0,G$8)+OFFSET($E$482,0,G$8))</f>
        <v>0</v>
      </c>
      <c r="H483" s="1018">
        <f t="shared" ref="H483:M483" ca="1" si="179">H$467+H$470+OFFSET($E$481,0,H$8)+OFFSET($E$482,0,H$8)</f>
        <v>1245140.6741645718</v>
      </c>
      <c r="I483" s="1018">
        <f t="shared" ca="1" si="179"/>
        <v>6537604.8154318482</v>
      </c>
      <c r="J483" s="1018">
        <f t="shared" ca="1" si="179"/>
        <v>9628565.8989040032</v>
      </c>
      <c r="K483" s="1018">
        <f t="shared" ca="1" si="179"/>
        <v>13414993.226157404</v>
      </c>
      <c r="L483" s="1018">
        <f t="shared" ca="1" si="179"/>
        <v>18053366.702042818</v>
      </c>
      <c r="M483" s="1018">
        <f t="shared" ca="1" si="179"/>
        <v>23735374.21000246</v>
      </c>
      <c r="N483" s="1004">
        <f ca="1">IF(AND(N$5=-99,NoResCol=1),0,N$467+N$470+OFFSET($E$481,0,N$8)+OFFSET($E$482,0,N$8))</f>
        <v>0</v>
      </c>
      <c r="O483" s="326"/>
      <c r="P483" s="324" t="s">
        <v>392</v>
      </c>
    </row>
    <row r="484" spans="1:16" ht="12.75" hidden="1" customHeight="1" x14ac:dyDescent="0.35">
      <c r="A484" s="447"/>
      <c r="B484" s="448" t="s">
        <v>5289</v>
      </c>
      <c r="C484" s="449"/>
      <c r="D484" s="1158"/>
      <c r="E484" s="329" t="s">
        <v>599</v>
      </c>
      <c r="F484" s="1019">
        <f ca="1">IF(OFFSET(F$1,0,-1)=FinMonth,F483,F483+IF(OFFSET(F$7,0,-1)=0,OFFSET(F484,0,-1),0))</f>
        <v>0</v>
      </c>
      <c r="G484" s="1020">
        <f ca="1">IF(RIGHT(OFFSET(G$6,0,-1),6)=RIGHT(G$6,6),OFFSET(G484,0,-1),0)+G483</f>
        <v>0</v>
      </c>
      <c r="H484" s="1019">
        <f t="shared" ref="H484:M484" ca="1" si="180">IF(OFFSET(H$1,0,-1)=FinMonth,H483,H483+OFFSET(H484,0,-1))</f>
        <v>1245140.6741645718</v>
      </c>
      <c r="I484" s="1019">
        <f t="shared" ca="1" si="180"/>
        <v>6537604.8154318482</v>
      </c>
      <c r="J484" s="1019">
        <f t="shared" ca="1" si="180"/>
        <v>9628565.8989040032</v>
      </c>
      <c r="K484" s="1019">
        <f t="shared" ca="1" si="180"/>
        <v>13414993.226157404</v>
      </c>
      <c r="L484" s="1019">
        <f t="shared" ca="1" si="180"/>
        <v>18053366.702042818</v>
      </c>
      <c r="M484" s="1019">
        <f t="shared" ca="1" si="180"/>
        <v>23735374.21000246</v>
      </c>
      <c r="N484" s="1005"/>
      <c r="O484" s="386"/>
      <c r="P484" s="324" t="s">
        <v>651</v>
      </c>
    </row>
    <row r="485" spans="1:16" ht="11.25" customHeight="1" x14ac:dyDescent="0.35">
      <c r="A485" s="447"/>
      <c r="B485" s="448" t="s">
        <v>5084</v>
      </c>
      <c r="C485" s="449"/>
      <c r="D485" s="1152"/>
      <c r="E485" s="329" t="s">
        <v>600</v>
      </c>
      <c r="F485" s="1027" t="str">
        <f ca="1">IF(F$454&lt;&gt;0,F484/F$454,"")</f>
        <v/>
      </c>
      <c r="G485" s="1027"/>
      <c r="H485" s="1027">
        <f t="shared" ref="H485:M485" ca="1" si="181">IF(H$454&lt;&gt;0,H484/H$454,"")</f>
        <v>0.10864077453878564</v>
      </c>
      <c r="I485" s="1027">
        <f t="shared" ca="1" si="181"/>
        <v>0.1513548605294126</v>
      </c>
      <c r="J485" s="1027">
        <f t="shared" ca="1" si="181"/>
        <v>0.18197143747375694</v>
      </c>
      <c r="K485" s="1027">
        <f t="shared" ca="1" si="181"/>
        <v>0.20696456150995657</v>
      </c>
      <c r="L485" s="1027">
        <f t="shared" ca="1" si="181"/>
        <v>0.22736711174358887</v>
      </c>
      <c r="M485" s="1027">
        <f t="shared" ca="1" si="181"/>
        <v>0.24402225479145206</v>
      </c>
      <c r="N485" s="1008"/>
      <c r="O485" s="386"/>
      <c r="P485" s="324" t="s">
        <v>121</v>
      </c>
    </row>
    <row r="486" spans="1:16" ht="11.25" customHeight="1" x14ac:dyDescent="0.35">
      <c r="A486" s="235"/>
      <c r="B486" s="450" t="s">
        <v>395</v>
      </c>
      <c r="C486" s="439"/>
      <c r="D486" s="1111"/>
      <c r="E486" s="329" t="s">
        <v>601</v>
      </c>
      <c r="F486" s="1029"/>
      <c r="G486" s="967">
        <f t="shared" ref="G486:N486" ca="1" si="182">OFFSET($E$487,0,G$8)+OFFSET($E$488,0,G$8)+G$1242</f>
        <v>0</v>
      </c>
      <c r="H486" s="967">
        <f t="shared" ca="1" si="182"/>
        <v>-233000.00000000009</v>
      </c>
      <c r="I486" s="967">
        <f t="shared" ca="1" si="182"/>
        <v>-907125</v>
      </c>
      <c r="J486" s="967">
        <f t="shared" ca="1" si="182"/>
        <v>-798843.75</v>
      </c>
      <c r="K486" s="967">
        <f t="shared" ca="1" si="182"/>
        <v>-667007.8125</v>
      </c>
      <c r="L486" s="967">
        <f t="shared" ca="1" si="182"/>
        <v>-601880.859375</v>
      </c>
      <c r="M486" s="967">
        <f t="shared" ca="1" si="182"/>
        <v>-527723.14453125</v>
      </c>
      <c r="N486" s="1010">
        <f t="shared" ca="1" si="182"/>
        <v>0</v>
      </c>
      <c r="O486" s="326"/>
      <c r="P486" s="324" t="s">
        <v>392</v>
      </c>
    </row>
    <row r="487" spans="1:16" ht="11.25" hidden="1" customHeight="1" x14ac:dyDescent="0.35">
      <c r="A487" s="235"/>
      <c r="B487" s="442"/>
      <c r="C487" s="457" t="s">
        <v>602</v>
      </c>
      <c r="D487" s="1159"/>
      <c r="E487" s="329" t="s">
        <v>603</v>
      </c>
      <c r="F487" s="1030"/>
      <c r="G487" s="1022">
        <f ca="1">OFFSET($E$724,0,G$8)+G$1228</f>
        <v>0</v>
      </c>
      <c r="H487" s="1022">
        <f t="shared" ref="H487:N487" ca="1" si="183">OFFSET($E$724,0,H$8)+H$1228</f>
        <v>0</v>
      </c>
      <c r="I487" s="1022">
        <f t="shared" ca="1" si="183"/>
        <v>0</v>
      </c>
      <c r="J487" s="1022">
        <f t="shared" ca="1" si="183"/>
        <v>0</v>
      </c>
      <c r="K487" s="1022">
        <f t="shared" ca="1" si="183"/>
        <v>0</v>
      </c>
      <c r="L487" s="1022">
        <f t="shared" ca="1" si="183"/>
        <v>0</v>
      </c>
      <c r="M487" s="1022">
        <f t="shared" ca="1" si="183"/>
        <v>0</v>
      </c>
      <c r="N487" s="516">
        <f t="shared" ca="1" si="183"/>
        <v>0</v>
      </c>
      <c r="O487" s="326"/>
      <c r="P487" s="324" t="s">
        <v>40</v>
      </c>
    </row>
    <row r="488" spans="1:16" ht="11.25" hidden="1" customHeight="1" x14ac:dyDescent="0.35">
      <c r="A488" s="235"/>
      <c r="B488" s="442"/>
      <c r="C488" s="457" t="s">
        <v>604</v>
      </c>
      <c r="D488" s="1159"/>
      <c r="E488" s="329" t="s">
        <v>605</v>
      </c>
      <c r="F488" s="1030"/>
      <c r="G488" s="1022">
        <f ca="1">IF(OR(AND(G$5=0,NoZeroCol=1),AND(G$5=-99,NoResCol=1)),0,IF(CalculatedDepreciation,G$325,G$320)+G$1134+G$1135)+IF(InvFileType=2,G$1018,0)-G487</f>
        <v>0</v>
      </c>
      <c r="H488" s="1022">
        <f t="shared" ref="H488:N488" ca="1" si="184">IF(OR(AND(H$5=0,NoZeroCol=1),AND(H$5=-99,NoResCol=1)),0,IF(CalculatedDepreciation,H$325,H$320)+H$1134+H$1135)+IF(InvFileType=2,H$1018,0)-H487</f>
        <v>-233000.00000000009</v>
      </c>
      <c r="I488" s="1022">
        <f t="shared" ca="1" si="184"/>
        <v>-907125</v>
      </c>
      <c r="J488" s="1022">
        <f t="shared" ca="1" si="184"/>
        <v>-798843.75</v>
      </c>
      <c r="K488" s="1022">
        <f t="shared" ca="1" si="184"/>
        <v>-667007.8125</v>
      </c>
      <c r="L488" s="1022">
        <f t="shared" ca="1" si="184"/>
        <v>-601880.859375</v>
      </c>
      <c r="M488" s="1022">
        <f t="shared" ref="M488" ca="1" si="185">IF(OR(AND(M$5=0,NoZeroCol=1),AND(M$5=-99,NoResCol=1)),0,IF(CalculatedDepreciation,M$325,M$320)+M$1134+M$1135)+IF(InvFileType=2,M$1018,0)-M487</f>
        <v>-527723.14453125</v>
      </c>
      <c r="N488" s="516">
        <f t="shared" ca="1" si="184"/>
        <v>0</v>
      </c>
      <c r="O488" s="326"/>
      <c r="P488" s="324" t="s">
        <v>40</v>
      </c>
    </row>
    <row r="489" spans="1:16" ht="11.25" customHeight="1" x14ac:dyDescent="0.35">
      <c r="A489" s="235"/>
      <c r="B489" s="446" t="s">
        <v>606</v>
      </c>
      <c r="C489" s="319"/>
      <c r="D489" s="1151"/>
      <c r="E489" s="385" t="s">
        <v>607</v>
      </c>
      <c r="F489" s="1018">
        <f t="shared" ref="F489:N489" ca="1" si="186">IF(OR(AND(F$5=0,NoZeroCol=1),AND(F$5=-99,NoResCol=1)),0,F483+OFFSET($E$486,0,F$8))</f>
        <v>0</v>
      </c>
      <c r="G489" s="1018">
        <f t="shared" ca="1" si="186"/>
        <v>0</v>
      </c>
      <c r="H489" s="1018">
        <f t="shared" ca="1" si="186"/>
        <v>1012140.6741645717</v>
      </c>
      <c r="I489" s="1018">
        <f t="shared" ca="1" si="186"/>
        <v>5630479.8154318482</v>
      </c>
      <c r="J489" s="1018">
        <f t="shared" ca="1" si="186"/>
        <v>8829722.1489040032</v>
      </c>
      <c r="K489" s="1018">
        <f t="shared" ca="1" si="186"/>
        <v>12747985.413657404</v>
      </c>
      <c r="L489" s="1018">
        <f t="shared" ca="1" si="186"/>
        <v>17451485.842667818</v>
      </c>
      <c r="M489" s="1018">
        <f t="shared" ref="M489" ca="1" si="187">IF(OR(AND(M$5=0,NoZeroCol=1),AND(M$5=-99,NoResCol=1)),0,M483+OFFSET($E$486,0,M$8))</f>
        <v>23207651.06547121</v>
      </c>
      <c r="N489" s="1004">
        <f t="shared" ca="1" si="186"/>
        <v>0</v>
      </c>
      <c r="O489" s="326"/>
      <c r="P489" s="324" t="s">
        <v>392</v>
      </c>
    </row>
    <row r="490" spans="1:16" ht="11.25" hidden="1" customHeight="1" x14ac:dyDescent="0.35">
      <c r="A490" s="458"/>
      <c r="B490" s="448" t="s">
        <v>5289</v>
      </c>
      <c r="C490" s="449"/>
      <c r="D490" s="1160"/>
      <c r="E490" s="329" t="s">
        <v>608</v>
      </c>
      <c r="F490" s="1019">
        <f ca="1">IF(OFFSET(F$1,0,-1)=FinMonth,F489,F489+IF(OFFSET(F$7,0,-1)=0,OFFSET(F490,0,-1),0))</f>
        <v>0</v>
      </c>
      <c r="G490" s="1031">
        <f ca="1">IF(RIGHT(OFFSET(G$6,0,-1),6)=RIGHT(G$6,6),OFFSET(G490,0,-1),0)+G489</f>
        <v>0</v>
      </c>
      <c r="H490" s="1019">
        <f t="shared" ref="H490:M490" ca="1" si="188">IF(OFFSET(H$1,0,-1)=FinMonth,H489,H489+OFFSET(H490,0,-1))</f>
        <v>1012140.6741645717</v>
      </c>
      <c r="I490" s="1019">
        <f t="shared" ca="1" si="188"/>
        <v>5630479.8154318482</v>
      </c>
      <c r="J490" s="1019">
        <f t="shared" ca="1" si="188"/>
        <v>8829722.1489040032</v>
      </c>
      <c r="K490" s="1019">
        <f t="shared" ca="1" si="188"/>
        <v>12747985.413657404</v>
      </c>
      <c r="L490" s="1019">
        <f t="shared" ca="1" si="188"/>
        <v>17451485.842667818</v>
      </c>
      <c r="M490" s="1019">
        <f t="shared" ca="1" si="188"/>
        <v>23207651.06547121</v>
      </c>
      <c r="N490" s="1005"/>
      <c r="O490" s="326"/>
      <c r="P490" s="324" t="s">
        <v>651</v>
      </c>
    </row>
    <row r="491" spans="1:16" ht="11.25" customHeight="1" x14ac:dyDescent="0.35">
      <c r="A491" s="458"/>
      <c r="B491" s="448" t="s">
        <v>5083</v>
      </c>
      <c r="C491" s="459"/>
      <c r="D491" s="1160"/>
      <c r="E491" s="329" t="s">
        <v>609</v>
      </c>
      <c r="F491" s="1027" t="str">
        <f ca="1">IF(F$454&lt;&gt;0,F490/F$454,"")</f>
        <v/>
      </c>
      <c r="G491" s="1031"/>
      <c r="H491" s="1027">
        <f t="shared" ref="H491:M491" ca="1" si="189">IF(H$454&lt;&gt;0,H490/H$454,"")</f>
        <v>8.8311103367677959E-2</v>
      </c>
      <c r="I491" s="1027">
        <f t="shared" ca="1" si="189"/>
        <v>0.13035362510238654</v>
      </c>
      <c r="J491" s="1027">
        <f t="shared" ca="1" si="189"/>
        <v>0.16687399232660649</v>
      </c>
      <c r="K491" s="1027">
        <f t="shared" ca="1" si="189"/>
        <v>0.19667406213284133</v>
      </c>
      <c r="L491" s="1027">
        <f t="shared" ca="1" si="189"/>
        <v>0.21978692380034182</v>
      </c>
      <c r="M491" s="1027">
        <f t="shared" ca="1" si="189"/>
        <v>0.23859675821007176</v>
      </c>
      <c r="N491" s="1008"/>
      <c r="O491" s="326"/>
      <c r="P491" s="324" t="s">
        <v>121</v>
      </c>
    </row>
    <row r="492" spans="1:16" ht="11.25" customHeight="1" x14ac:dyDescent="0.35">
      <c r="A492" s="235"/>
      <c r="B492" s="451" t="s">
        <v>610</v>
      </c>
      <c r="C492" s="452"/>
      <c r="D492" s="1153"/>
      <c r="E492" s="425" t="s">
        <v>611</v>
      </c>
      <c r="F492" s="1023">
        <f t="shared" ref="F492:N492" ca="1" si="190">IF(OR(AND(F$5=0,NoZeroCol=1),AND(F$5=-99,NoResCol=1)),0,OFFSET($E$493,0,F$8)+F494)</f>
        <v>0</v>
      </c>
      <c r="G492" s="1023">
        <f t="shared" ca="1" si="190"/>
        <v>0</v>
      </c>
      <c r="H492" s="1023">
        <f t="shared" ca="1" si="190"/>
        <v>0</v>
      </c>
      <c r="I492" s="1023">
        <f t="shared" ca="1" si="190"/>
        <v>0</v>
      </c>
      <c r="J492" s="1023">
        <f t="shared" ca="1" si="190"/>
        <v>0</v>
      </c>
      <c r="K492" s="1023">
        <f t="shared" ca="1" si="190"/>
        <v>0</v>
      </c>
      <c r="L492" s="1023">
        <f t="shared" ca="1" si="190"/>
        <v>0</v>
      </c>
      <c r="M492" s="1023">
        <f t="shared" ref="M492" ca="1" si="191">IF(OR(AND(M$5=0,NoZeroCol=1),AND(M$5=-99,NoResCol=1)),0,OFFSET($E$493,0,M$8)+M494)</f>
        <v>0</v>
      </c>
      <c r="N492" s="582">
        <f t="shared" ca="1" si="190"/>
        <v>0</v>
      </c>
      <c r="O492" s="460"/>
      <c r="P492" s="324" t="s">
        <v>392</v>
      </c>
    </row>
    <row r="493" spans="1:16" ht="11.25" customHeight="1" x14ac:dyDescent="0.35">
      <c r="A493" s="235"/>
      <c r="B493" s="450"/>
      <c r="C493" s="439" t="str">
        <f>B492</f>
        <v>Financing income and expenses</v>
      </c>
      <c r="D493" s="1111"/>
      <c r="E493" s="329" t="s">
        <v>612</v>
      </c>
      <c r="F493" s="1021"/>
      <c r="G493" s="1021"/>
      <c r="H493" s="1021">
        <v>0</v>
      </c>
      <c r="I493" s="1021">
        <v>0</v>
      </c>
      <c r="J493" s="1021">
        <v>0</v>
      </c>
      <c r="K493" s="1021">
        <v>0</v>
      </c>
      <c r="L493" s="1021">
        <v>0</v>
      </c>
      <c r="M493" s="1021">
        <v>0</v>
      </c>
      <c r="N493" s="1006"/>
      <c r="O493" s="326" t="str">
        <f>IF(MID(P493,7,1)="D","  ","")</f>
        <v/>
      </c>
      <c r="P493" s="324" t="s">
        <v>71</v>
      </c>
    </row>
    <row r="494" spans="1:16" ht="11.25" customHeight="1" x14ac:dyDescent="0.35">
      <c r="A494" s="235"/>
      <c r="B494" s="450"/>
      <c r="C494" s="439" t="s">
        <v>613</v>
      </c>
      <c r="D494" s="1111"/>
      <c r="E494" s="329" t="s">
        <v>614</v>
      </c>
      <c r="F494" s="1022"/>
      <c r="G494" s="1022"/>
      <c r="H494" s="1022"/>
      <c r="I494" s="1022"/>
      <c r="J494" s="1022"/>
      <c r="K494" s="1022"/>
      <c r="L494" s="1022"/>
      <c r="M494" s="1022"/>
      <c r="N494" s="516"/>
      <c r="O494" s="326" t="str">
        <f>IF(MID(P494,7,1)="D","  ","")</f>
        <v/>
      </c>
      <c r="P494" s="324" t="s">
        <v>121</v>
      </c>
    </row>
    <row r="495" spans="1:16" ht="11.25" customHeight="1" x14ac:dyDescent="0.35">
      <c r="A495" s="235"/>
      <c r="B495" s="446" t="s">
        <v>615</v>
      </c>
      <c r="C495" s="319"/>
      <c r="D495" s="1151"/>
      <c r="E495" s="385" t="s">
        <v>616</v>
      </c>
      <c r="F495" s="1018">
        <f t="shared" ref="F495:N495" ca="1" si="192">IF(OR(AND(F$5=0,NoZeroCol=1),AND(F$5=-99,NoResCol=1)),0,F489+F492)</f>
        <v>0</v>
      </c>
      <c r="G495" s="1018">
        <f t="shared" si="192"/>
        <v>0</v>
      </c>
      <c r="H495" s="1018">
        <f t="shared" ca="1" si="192"/>
        <v>1012140.6741645717</v>
      </c>
      <c r="I495" s="1018">
        <f t="shared" ca="1" si="192"/>
        <v>5630479.8154318482</v>
      </c>
      <c r="J495" s="1018">
        <f t="shared" ca="1" si="192"/>
        <v>8829722.1489040032</v>
      </c>
      <c r="K495" s="1018">
        <f t="shared" ca="1" si="192"/>
        <v>12747985.413657404</v>
      </c>
      <c r="L495" s="1018">
        <f t="shared" ca="1" si="192"/>
        <v>17451485.842667818</v>
      </c>
      <c r="M495" s="1018">
        <f t="shared" ref="M495" ca="1" si="193">IF(OR(AND(M$5=0,NoZeroCol=1),AND(M$5=-99,NoResCol=1)),0,M489+M492)</f>
        <v>23207651.06547121</v>
      </c>
      <c r="N495" s="1004">
        <f t="shared" ca="1" si="192"/>
        <v>0</v>
      </c>
      <c r="O495" s="326"/>
      <c r="P495" s="324" t="s">
        <v>392</v>
      </c>
    </row>
    <row r="496" spans="1:16" ht="11.25" customHeight="1" x14ac:dyDescent="0.35">
      <c r="A496" s="439"/>
      <c r="B496" s="451" t="s">
        <v>617</v>
      </c>
      <c r="C496" s="452"/>
      <c r="D496" s="1153"/>
      <c r="E496" s="425" t="s">
        <v>618</v>
      </c>
      <c r="F496" s="1023">
        <f t="shared" ref="F496:N496" ca="1" si="194">IF(OR(AND(F$5=0,NoZeroCol=1),AND(F$5=-99,NoResCol=1)),0,F497+OFFSET($E$498,0,F$8))</f>
        <v>0</v>
      </c>
      <c r="G496" s="1023">
        <f t="shared" ca="1" si="194"/>
        <v>0</v>
      </c>
      <c r="H496" s="1023">
        <f t="shared" ca="1" si="194"/>
        <v>0</v>
      </c>
      <c r="I496" s="1023">
        <f t="shared" ca="1" si="194"/>
        <v>0</v>
      </c>
      <c r="J496" s="1023">
        <f t="shared" ca="1" si="194"/>
        <v>0</v>
      </c>
      <c r="K496" s="1023">
        <f t="shared" ca="1" si="194"/>
        <v>0</v>
      </c>
      <c r="L496" s="1023">
        <f t="shared" ca="1" si="194"/>
        <v>0</v>
      </c>
      <c r="M496" s="1023">
        <f t="shared" ca="1" si="194"/>
        <v>0</v>
      </c>
      <c r="N496" s="582">
        <f t="shared" ca="1" si="194"/>
        <v>-3201919.43359375</v>
      </c>
      <c r="O496" s="386"/>
      <c r="P496" s="324" t="s">
        <v>71</v>
      </c>
    </row>
    <row r="497" spans="1:16" ht="11.25" customHeight="1" x14ac:dyDescent="0.35">
      <c r="A497" s="235"/>
      <c r="B497" s="450"/>
      <c r="C497" s="439" t="s">
        <v>619</v>
      </c>
      <c r="D497" s="1111"/>
      <c r="E497" s="329" t="s">
        <v>620</v>
      </c>
      <c r="F497" s="1022">
        <f t="shared" ref="F497:N497" si="195">IF(OR(AND(F$5=0,NoZeroCol=1),AND(F$5=-99,NoResCol=1)),0,IF(CalculatedDepreciation,F$326,F$321))</f>
        <v>0</v>
      </c>
      <c r="G497" s="1022">
        <f t="shared" si="195"/>
        <v>0</v>
      </c>
      <c r="H497" s="1022">
        <f t="shared" si="195"/>
        <v>0</v>
      </c>
      <c r="I497" s="1022">
        <f t="shared" si="195"/>
        <v>0</v>
      </c>
      <c r="J497" s="1022">
        <f t="shared" si="195"/>
        <v>0</v>
      </c>
      <c r="K497" s="1022">
        <f t="shared" si="195"/>
        <v>0</v>
      </c>
      <c r="L497" s="1022">
        <f t="shared" si="195"/>
        <v>0</v>
      </c>
      <c r="M497" s="1022">
        <f t="shared" si="195"/>
        <v>0</v>
      </c>
      <c r="N497" s="516">
        <f t="shared" si="195"/>
        <v>-3201919.43359375</v>
      </c>
      <c r="O497" s="326" t="str">
        <f>IF(MID(P497,7,1)="D","  ","")</f>
        <v/>
      </c>
      <c r="P497" s="324" t="s">
        <v>121</v>
      </c>
    </row>
    <row r="498" spans="1:16" ht="11.25" customHeight="1" x14ac:dyDescent="0.35">
      <c r="A498" s="235"/>
      <c r="B498" s="450"/>
      <c r="C498" s="461" t="s">
        <v>621</v>
      </c>
      <c r="D498" s="1155"/>
      <c r="E498" s="329" t="s">
        <v>622</v>
      </c>
      <c r="F498" s="1021"/>
      <c r="G498" s="1021"/>
      <c r="H498" s="1021"/>
      <c r="I498" s="1021"/>
      <c r="J498" s="1021"/>
      <c r="K498" s="1021"/>
      <c r="L498" s="1021"/>
      <c r="M498" s="1021"/>
      <c r="N498" s="1006"/>
      <c r="O498" s="326" t="str">
        <f>IF(MID(P498,7,1)="D","  ","")</f>
        <v/>
      </c>
      <c r="P498" s="324" t="s">
        <v>121</v>
      </c>
    </row>
    <row r="499" spans="1:16" ht="11.25" customHeight="1" x14ac:dyDescent="0.35">
      <c r="A499" s="235"/>
      <c r="B499" s="446" t="s">
        <v>623</v>
      </c>
      <c r="C499" s="319"/>
      <c r="D499" s="1151"/>
      <c r="E499" s="385" t="s">
        <v>624</v>
      </c>
      <c r="F499" s="1018">
        <f t="shared" ref="F499:N499" ca="1" si="196">IF(OR(AND(F$5=0,NoZeroCol=1),AND(F$5=-99,NoResCol=1)),0,F495+F496)</f>
        <v>0</v>
      </c>
      <c r="G499" s="1018">
        <f t="shared" si="196"/>
        <v>0</v>
      </c>
      <c r="H499" s="1018">
        <f t="shared" ca="1" si="196"/>
        <v>1012140.6741645717</v>
      </c>
      <c r="I499" s="1018">
        <f t="shared" ca="1" si="196"/>
        <v>5630479.8154318482</v>
      </c>
      <c r="J499" s="1018">
        <f t="shared" ca="1" si="196"/>
        <v>8829722.1489040032</v>
      </c>
      <c r="K499" s="1018">
        <f t="shared" ca="1" si="196"/>
        <v>12747985.413657404</v>
      </c>
      <c r="L499" s="1018">
        <f t="shared" ca="1" si="196"/>
        <v>17451485.842667818</v>
      </c>
      <c r="M499" s="1018">
        <f t="shared" ref="M499" ca="1" si="197">IF(OR(AND(M$5=0,NoZeroCol=1),AND(M$5=-99,NoResCol=1)),0,M495+M496)</f>
        <v>23207651.06547121</v>
      </c>
      <c r="N499" s="1004">
        <f t="shared" ca="1" si="196"/>
        <v>-3201919.43359375</v>
      </c>
      <c r="O499" s="326"/>
      <c r="P499" s="324" t="s">
        <v>71</v>
      </c>
    </row>
    <row r="500" spans="1:16" ht="11.25" customHeight="1" x14ac:dyDescent="0.35">
      <c r="A500" s="235"/>
      <c r="B500" s="450" t="s">
        <v>625</v>
      </c>
      <c r="C500" s="439"/>
      <c r="D500" s="1111"/>
      <c r="E500" s="329" t="s">
        <v>626</v>
      </c>
      <c r="F500" s="1032">
        <f t="shared" ref="F500:N500" ca="1" si="198">OFFSET(F500,1,0)+OFFSET(F500,2,0)</f>
        <v>0</v>
      </c>
      <c r="G500" s="1032">
        <f t="shared" ca="1" si="198"/>
        <v>0</v>
      </c>
      <c r="H500" s="1032">
        <f t="shared" ca="1" si="198"/>
        <v>0</v>
      </c>
      <c r="I500" s="1032">
        <f t="shared" ca="1" si="198"/>
        <v>0</v>
      </c>
      <c r="J500" s="1032">
        <f t="shared" ca="1" si="198"/>
        <v>0</v>
      </c>
      <c r="K500" s="1032">
        <f t="shared" ca="1" si="198"/>
        <v>0</v>
      </c>
      <c r="L500" s="1032">
        <f t="shared" ca="1" si="198"/>
        <v>0</v>
      </c>
      <c r="M500" s="1032">
        <f t="shared" ca="1" si="198"/>
        <v>0</v>
      </c>
      <c r="N500" s="1011">
        <f t="shared" ca="1" si="198"/>
        <v>0</v>
      </c>
      <c r="O500" s="462"/>
      <c r="P500" s="324" t="s">
        <v>71</v>
      </c>
    </row>
    <row r="501" spans="1:16" ht="11.25" hidden="1" customHeight="1" x14ac:dyDescent="0.35">
      <c r="A501" s="235"/>
      <c r="B501" s="450"/>
      <c r="C501" s="439" t="str">
        <f ca="1">"Depreciation in excess of (-) / under (+) "&amp;LOWER(SpecsTxt!$C$22)</f>
        <v>Depreciation in excess of (-) / under (+) imputed</v>
      </c>
      <c r="D501" s="1111"/>
      <c r="E501" s="329" t="s">
        <v>627</v>
      </c>
      <c r="F501" s="1021"/>
      <c r="G501" s="1022">
        <f t="shared" ref="G501:N501" si="199">IF(CalculatedDepreciation,G$320-G$325+G$321-G$326,0)+G$1243</f>
        <v>0</v>
      </c>
      <c r="H501" s="1022">
        <f t="shared" si="199"/>
        <v>0</v>
      </c>
      <c r="I501" s="1022">
        <f t="shared" si="199"/>
        <v>0</v>
      </c>
      <c r="J501" s="1022">
        <f t="shared" si="199"/>
        <v>0</v>
      </c>
      <c r="K501" s="1022">
        <f t="shared" si="199"/>
        <v>0</v>
      </c>
      <c r="L501" s="1022">
        <f t="shared" si="199"/>
        <v>0</v>
      </c>
      <c r="M501" s="1022">
        <f t="shared" si="199"/>
        <v>0</v>
      </c>
      <c r="N501" s="516">
        <f t="shared" si="199"/>
        <v>0</v>
      </c>
      <c r="O501" s="462"/>
      <c r="P501" s="324" t="s">
        <v>121</v>
      </c>
    </row>
    <row r="502" spans="1:16" ht="11.25" customHeight="1" x14ac:dyDescent="0.35">
      <c r="A502" s="235"/>
      <c r="B502" s="463"/>
      <c r="C502" s="439" t="str">
        <f>IF(CalculatedDepreciation,"Other a","A")&amp;"ppropriations, increase (-) / decrease (+)"</f>
        <v>Appropriations, increase (-) / decrease (+)</v>
      </c>
      <c r="D502" s="1111"/>
      <c r="E502" s="329" t="s">
        <v>628</v>
      </c>
      <c r="F502" s="1021"/>
      <c r="G502" s="1021"/>
      <c r="H502" s="1021"/>
      <c r="I502" s="1021"/>
      <c r="J502" s="1021"/>
      <c r="K502" s="1021"/>
      <c r="L502" s="1021"/>
      <c r="M502" s="1021"/>
      <c r="N502" s="1006"/>
      <c r="O502" s="326"/>
      <c r="P502" s="324" t="s">
        <v>121</v>
      </c>
    </row>
    <row r="503" spans="1:16" ht="11.25" customHeight="1" x14ac:dyDescent="0.35">
      <c r="A503" s="235"/>
      <c r="B503" s="450" t="s">
        <v>629</v>
      </c>
      <c r="C503" s="439"/>
      <c r="D503" s="1111"/>
      <c r="E503" s="329" t="s">
        <v>630</v>
      </c>
      <c r="F503" s="1021"/>
      <c r="G503" s="1021"/>
      <c r="H503" s="1021">
        <v>-283399.38876608101</v>
      </c>
      <c r="I503" s="1021">
        <v>-1576534.3483209161</v>
      </c>
      <c r="J503" s="1021">
        <v>-2472322.2016931232</v>
      </c>
      <c r="K503" s="1021">
        <v>-3569435.9158240757</v>
      </c>
      <c r="L503" s="1021">
        <v>-4886416.0359469904</v>
      </c>
      <c r="M503" s="1021">
        <v>-6498142.2983319396</v>
      </c>
      <c r="N503" s="1006">
        <v>0</v>
      </c>
      <c r="O503" s="326" t="str">
        <f>IF(MID(P503,7,1)="D","  ","")</f>
        <v/>
      </c>
      <c r="P503" s="324" t="s">
        <v>392</v>
      </c>
    </row>
    <row r="504" spans="1:16" ht="11.25" customHeight="1" x14ac:dyDescent="0.35">
      <c r="A504" s="235"/>
      <c r="B504" s="450" t="s">
        <v>631</v>
      </c>
      <c r="C504" s="439"/>
      <c r="D504" s="1111"/>
      <c r="E504" s="329" t="s">
        <v>632</v>
      </c>
      <c r="F504" s="1021"/>
      <c r="G504" s="1021"/>
      <c r="H504" s="1021"/>
      <c r="I504" s="1021"/>
      <c r="J504" s="1021"/>
      <c r="K504" s="1021"/>
      <c r="L504" s="1021"/>
      <c r="M504" s="1021"/>
      <c r="N504" s="1006"/>
      <c r="O504" s="326"/>
      <c r="P504" s="324" t="s">
        <v>121</v>
      </c>
    </row>
    <row r="505" spans="1:16" ht="11.25" customHeight="1" x14ac:dyDescent="0.35">
      <c r="A505" s="235"/>
      <c r="B505" s="450" t="s">
        <v>633</v>
      </c>
      <c r="C505" s="439"/>
      <c r="D505" s="1111"/>
      <c r="E505" s="329" t="s">
        <v>634</v>
      </c>
      <c r="F505" s="1021"/>
      <c r="G505" s="1022"/>
      <c r="H505" s="1021"/>
      <c r="I505" s="1021"/>
      <c r="J505" s="1021"/>
      <c r="K505" s="1021"/>
      <c r="L505" s="1021"/>
      <c r="M505" s="1021"/>
      <c r="N505" s="1006"/>
      <c r="O505" s="326"/>
      <c r="P505" s="324" t="s">
        <v>121</v>
      </c>
    </row>
    <row r="506" spans="1:16" ht="11.25" customHeight="1" x14ac:dyDescent="0.35">
      <c r="A506" s="235"/>
      <c r="B506" s="446" t="s">
        <v>635</v>
      </c>
      <c r="C506" s="319"/>
      <c r="D506" s="1151"/>
      <c r="E506" s="464" t="s">
        <v>636</v>
      </c>
      <c r="F506" s="1018">
        <f t="shared" ref="F506:N506" ca="1" si="200">IF(OR(AND(F$5=0,NoZeroCol=1),AND(F$5=-99,NoResCol=1)),0,F499+OFFSET($E$500,0,F$8)+OFFSET($E$503,0,F$8)+OFFSET($E$504,0,F$8)+OFFSET($E$505,0,F$8))</f>
        <v>0</v>
      </c>
      <c r="G506" s="1018">
        <f t="shared" ca="1" si="200"/>
        <v>0</v>
      </c>
      <c r="H506" s="1018">
        <f t="shared" ca="1" si="200"/>
        <v>728741.28539849073</v>
      </c>
      <c r="I506" s="1018">
        <f t="shared" ca="1" si="200"/>
        <v>4053945.4671109319</v>
      </c>
      <c r="J506" s="1018">
        <f t="shared" ca="1" si="200"/>
        <v>6357399.94721088</v>
      </c>
      <c r="K506" s="1018">
        <f t="shared" ca="1" si="200"/>
        <v>9178549.4978333283</v>
      </c>
      <c r="L506" s="1018">
        <f t="shared" ca="1" si="200"/>
        <v>12565069.806720827</v>
      </c>
      <c r="M506" s="1018">
        <f t="shared" ref="M506" ca="1" si="201">IF(OR(AND(M$5=0,NoZeroCol=1),AND(M$5=-99,NoResCol=1)),0,M499+OFFSET($E$500,0,M$8)+OFFSET($E$503,0,M$8)+OFFSET($E$504,0,M$8)+OFFSET($E$505,0,M$8))</f>
        <v>16709508.767139271</v>
      </c>
      <c r="N506" s="1004">
        <f t="shared" ca="1" si="200"/>
        <v>-3201919.43359375</v>
      </c>
      <c r="O506" s="326"/>
      <c r="P506" s="324" t="s">
        <v>392</v>
      </c>
    </row>
    <row r="507" spans="1:16" ht="11.25" hidden="1" customHeight="1" x14ac:dyDescent="0.35">
      <c r="A507" s="458"/>
      <c r="B507" s="448" t="s">
        <v>5289</v>
      </c>
      <c r="C507" s="449"/>
      <c r="D507" s="1160"/>
      <c r="E507" s="329" t="s">
        <v>637</v>
      </c>
      <c r="F507" s="1019">
        <f ca="1">IF(OFFSET(F$1,0,-1)=FinMonth,F506,F506+IF(OFFSET(F$7,0,-1)=0,OFFSET(F507,0,-1),0))</f>
        <v>0</v>
      </c>
      <c r="G507" s="1019">
        <f ca="1">IF(RIGHT(OFFSET(G$6,0,-1),6)=RIGHT(G$6,6),OFFSET(G507,0,-1),0)+G506</f>
        <v>0</v>
      </c>
      <c r="H507" s="1019">
        <f t="shared" ref="H507:M507" ca="1" si="202">IF(OFFSET(H$1,0,-1)=FinMonth,H506,H506+OFFSET(H507,0,-1))</f>
        <v>728741.28539849073</v>
      </c>
      <c r="I507" s="1019">
        <f t="shared" ca="1" si="202"/>
        <v>4053945.4671109319</v>
      </c>
      <c r="J507" s="1019">
        <f t="shared" ca="1" si="202"/>
        <v>6357399.94721088</v>
      </c>
      <c r="K507" s="1019">
        <f t="shared" ca="1" si="202"/>
        <v>9178549.4978333283</v>
      </c>
      <c r="L507" s="1019">
        <f t="shared" ca="1" si="202"/>
        <v>12565069.806720827</v>
      </c>
      <c r="M507" s="1019">
        <f t="shared" ca="1" si="202"/>
        <v>16709508.767139271</v>
      </c>
      <c r="N507" s="1005">
        <f ca="1">IF(AND(N$5=-99,NoResCol=1),0,OFFSET(N507,0,-1)+N506)</f>
        <v>13507589.333545521</v>
      </c>
      <c r="O507" s="326"/>
      <c r="P507" s="324" t="s">
        <v>651</v>
      </c>
    </row>
    <row r="508" spans="1:16" ht="11.25" customHeight="1" x14ac:dyDescent="0.35">
      <c r="A508" s="458"/>
      <c r="B508" s="465" t="s">
        <v>5288</v>
      </c>
      <c r="C508" s="466"/>
      <c r="D508" s="1161"/>
      <c r="E508" s="390" t="s">
        <v>638</v>
      </c>
      <c r="F508" s="1033" t="str">
        <f ca="1">IF(F$454&lt;&gt;0,F507/F$454,"")</f>
        <v/>
      </c>
      <c r="G508" s="1034"/>
      <c r="H508" s="1033">
        <f t="shared" ref="H508:N508" ca="1" si="203">IF(H$454&lt;&gt;0,H507/H$454,"")</f>
        <v>6.3583994424728049E-2</v>
      </c>
      <c r="I508" s="1033">
        <f t="shared" ca="1" si="203"/>
        <v>9.3854610073718342E-2</v>
      </c>
      <c r="J508" s="1033">
        <f t="shared" ca="1" si="203"/>
        <v>0.12014927447515664</v>
      </c>
      <c r="K508" s="1033">
        <f t="shared" ca="1" si="203"/>
        <v>0.14160532473564572</v>
      </c>
      <c r="L508" s="1033">
        <f t="shared" ca="1" si="203"/>
        <v>0.15824658513624609</v>
      </c>
      <c r="M508" s="1033">
        <f t="shared" ref="M508" ca="1" si="204">IF(M$454&lt;&gt;0,M507/M$454,"")</f>
        <v>0.17178966591125167</v>
      </c>
      <c r="N508" s="1012" t="str">
        <f t="shared" si="203"/>
        <v/>
      </c>
      <c r="O508" s="326"/>
      <c r="P508" s="324" t="s">
        <v>121</v>
      </c>
    </row>
    <row r="509" spans="1:16" ht="11.25" hidden="1" customHeight="1" x14ac:dyDescent="0.35">
      <c r="A509" s="439"/>
      <c r="B509" s="467" t="s">
        <v>639</v>
      </c>
      <c r="C509" s="456"/>
      <c r="D509" s="439"/>
      <c r="E509" s="468" t="s">
        <v>640</v>
      </c>
      <c r="F509" s="469"/>
      <c r="G509" s="470"/>
      <c r="H509" s="469"/>
      <c r="I509" s="469"/>
      <c r="J509" s="469"/>
      <c r="K509" s="469"/>
      <c r="L509" s="469"/>
      <c r="M509" s="469"/>
      <c r="N509" s="1265"/>
      <c r="O509" s="386"/>
      <c r="P509" s="324" t="s">
        <v>448</v>
      </c>
    </row>
    <row r="510" spans="1:16" ht="11.25" customHeight="1" x14ac:dyDescent="0.35">
      <c r="A510" s="235"/>
      <c r="B510" s="472" t="s">
        <v>641</v>
      </c>
      <c r="C510" s="473"/>
      <c r="D510" s="1144"/>
      <c r="E510" s="474" t="s">
        <v>642</v>
      </c>
      <c r="F510" s="1037" t="str">
        <f>IF(OR(F$1=FinMonth,F$16=LastPeriod),IF(F$516&lt;&gt;0,CHOOSE(RonaBAT,F$514,F$515,F$507)/F$516,"-"),"-")</f>
        <v>-</v>
      </c>
      <c r="G510" s="1038"/>
      <c r="H510" s="1037">
        <f t="shared" ref="H510:M510" ca="1" si="205">IF(OR(H$1=FinMonth,H$16=LastPeriod),IF(H$516&lt;&gt;0,CHOOSE(RonaBAT,H$514,H$515,H$507)/H$516,"-"),"-")</f>
        <v>4.1620387100678974E-2</v>
      </c>
      <c r="I510" s="1037">
        <f t="shared" ca="1" si="205"/>
        <v>0.30978773327418113</v>
      </c>
      <c r="J510" s="1037">
        <f t="shared" ca="1" si="205"/>
        <v>0.71562988349737056</v>
      </c>
      <c r="K510" s="1037">
        <f t="shared" ca="1" si="205"/>
        <v>0.97985090823076759</v>
      </c>
      <c r="L510" s="1037">
        <f t="shared" ca="1" si="205"/>
        <v>1.2466666353306157</v>
      </c>
      <c r="M510" s="1037">
        <f t="shared" ca="1" si="205"/>
        <v>1.5063543470552092</v>
      </c>
      <c r="N510" s="1035">
        <f ca="1">IF(AND(N$5=-99,NoResCol=1),0,IF(N$516&lt;&gt;0,CHOOSE(RonaBAT,N$514,N$515,N$507)/N$516,"-"))</f>
        <v>-0.43797755181683717</v>
      </c>
      <c r="O510" s="326"/>
      <c r="P510" s="324" t="s">
        <v>121</v>
      </c>
    </row>
    <row r="511" spans="1:16" ht="11.25" customHeight="1" x14ac:dyDescent="0.35">
      <c r="A511" s="235"/>
      <c r="B511" s="475" t="s">
        <v>643</v>
      </c>
      <c r="C511" s="476"/>
      <c r="D511" s="1145"/>
      <c r="E511" s="468" t="s">
        <v>644</v>
      </c>
      <c r="F511" s="1039" t="str">
        <f>IF(OR(F$1=FinMonth,F$16=LastPeriod),CHOOSE(EvaBAT,F$514,F$515,F$507)-F$517,"-")</f>
        <v>-</v>
      </c>
      <c r="G511" s="958"/>
      <c r="H511" s="1039">
        <f t="shared" ref="H511:M511" ca="1" si="206">IF(OR(H$1=FinMonth,H$16=LastPeriod),CHOOSE(EvaBAT,H$514,H$515,H$507-H$492-H$500-OFFSET($E$505,0,H$8))-H$517,"-")</f>
        <v>59985.647153318045</v>
      </c>
      <c r="I511" s="1039">
        <f t="shared" ca="1" si="206"/>
        <v>3554125.1763335224</v>
      </c>
      <c r="J511" s="1039">
        <f t="shared" ca="1" si="206"/>
        <v>6018094.1626226483</v>
      </c>
      <c r="K511" s="1039">
        <f t="shared" ca="1" si="206"/>
        <v>8820770.9869080577</v>
      </c>
      <c r="L511" s="1039">
        <f t="shared" ca="1" si="206"/>
        <v>12180110.550515104</v>
      </c>
      <c r="M511" s="1039">
        <f t="shared" ca="1" si="206"/>
        <v>16285829.965701811</v>
      </c>
      <c r="N511" s="1036">
        <f ca="1">IF(DCVAResidual=1,IF(UsePerpetuity=1,OFFSET(CHOOSE(EvaBAT,N$514,N$515,N$506),0,-1)*IF(PerpetuityDiscRate&lt;&gt;0,1/(PerpetuityDiscRate/100),1)-N$516,CHOOSE(EvaBAT,N$514,N$515,N$506)-N$517-IF(DCVAAdjust=1,N$322+N$621,0)),0)</f>
        <v>-3201919.43359375</v>
      </c>
      <c r="O511" s="326"/>
      <c r="P511" s="324" t="s">
        <v>121</v>
      </c>
    </row>
    <row r="512" spans="1:16" ht="11.25" hidden="1" customHeight="1" x14ac:dyDescent="0.35">
      <c r="A512" s="235"/>
      <c r="B512" s="477" t="s">
        <v>645</v>
      </c>
      <c r="C512" s="467"/>
      <c r="D512" s="1146"/>
      <c r="E512" s="478" t="s">
        <v>646</v>
      </c>
      <c r="F512" s="1040"/>
      <c r="G512" s="1040"/>
      <c r="H512" s="966">
        <f t="shared" ref="H512:M512" ca="1" si="207">IF(SUM(H511)&lt;&gt;0,H511*IF(H$5&lt;=CalcPoint,IF(DontCompound=1,1,(1+IF(VariableRate=1,H$1057,DiscMonth))^IF(MYDisc,H$1061,H$1059)),1/((1+IF(VariableRate=1,H$1057,DiscMonth))^IF(MYDisc,H$1061,H$1059))),"-")</f>
        <v>59445.648848958816</v>
      </c>
      <c r="I512" s="966">
        <f t="shared" ca="1" si="207"/>
        <v>3427864.2302770154</v>
      </c>
      <c r="J512" s="966">
        <f t="shared" ca="1" si="207"/>
        <v>5648954.0323892143</v>
      </c>
      <c r="K512" s="966">
        <f t="shared" ca="1" si="207"/>
        <v>8058120.8839338599</v>
      </c>
      <c r="L512" s="966">
        <f t="shared" ca="1" si="207"/>
        <v>10829206.395222502</v>
      </c>
      <c r="M512" s="966">
        <f t="shared" ca="1" si="207"/>
        <v>14092026.999190366</v>
      </c>
      <c r="N512" s="962">
        <f ca="1">IF(AND(NoResCol=1,UsePerpetuity&lt;&gt;1),0,IF(SUM(N511)&lt;&gt;0,N511*IF(OFFSET(N$5,0,-1)&lt;=CalcPoint,IF(DontCompound=1,1,(1+IF(VariableRate=1,N$1057,DiscMonth))^IF(MYDisc,N$1061,N$1059)),1/((1+IF(VariableRate=1,N$1057,DiscMonth))^IF(MYDisc,N$1061,N$1059))),"-"))</f>
        <v>-2770600.8967588414</v>
      </c>
      <c r="O512" s="326"/>
      <c r="P512" s="324" t="s">
        <v>79</v>
      </c>
    </row>
    <row r="513" spans="1:16" ht="11.25" hidden="1" customHeight="1" x14ac:dyDescent="0.35">
      <c r="A513" s="235"/>
      <c r="B513" s="479" t="s">
        <v>647</v>
      </c>
      <c r="C513" s="471"/>
      <c r="D513" s="1145"/>
      <c r="E513" s="468" t="s">
        <v>648</v>
      </c>
      <c r="F513" s="977"/>
      <c r="G513" s="977"/>
      <c r="H513" s="958">
        <f t="shared" ref="H513:N513" ca="1" si="208">SUM(H512)+OFFSET(H513,0,-1)</f>
        <v>59445.648848958816</v>
      </c>
      <c r="I513" s="958">
        <f t="shared" ca="1" si="208"/>
        <v>3487309.8791259741</v>
      </c>
      <c r="J513" s="958">
        <f t="shared" ca="1" si="208"/>
        <v>9136263.9115151875</v>
      </c>
      <c r="K513" s="958">
        <f t="shared" ca="1" si="208"/>
        <v>17194384.795449048</v>
      </c>
      <c r="L513" s="958">
        <f t="shared" ca="1" si="208"/>
        <v>28023591.190671548</v>
      </c>
      <c r="M513" s="958">
        <f t="shared" ref="M513" ca="1" si="209">SUM(M512)+OFFSET(M513,0,-1)</f>
        <v>42115618.189861916</v>
      </c>
      <c r="N513" s="412">
        <f t="shared" ca="1" si="208"/>
        <v>39345017.293103077</v>
      </c>
      <c r="O513" s="326"/>
      <c r="P513" s="324" t="s">
        <v>79</v>
      </c>
    </row>
    <row r="514" spans="1:16" ht="11.25" hidden="1" customHeight="1" x14ac:dyDescent="0.35">
      <c r="A514" s="235"/>
      <c r="B514" s="480" t="s">
        <v>649</v>
      </c>
      <c r="C514" s="481"/>
      <c r="D514" s="1110"/>
      <c r="E514" s="482" t="s">
        <v>650</v>
      </c>
      <c r="F514" s="1041" t="str">
        <f>IF(OR(F$1=FinMonth,F$16=LastPeriod),F$490+F$321,"-")</f>
        <v>-</v>
      </c>
      <c r="G514" s="1041"/>
      <c r="H514" s="1041">
        <f t="shared" ref="H514:M514" ca="1" si="210">IF(OR(H$1=FinMonth,H$16=LastPeriod),H$490+H$1214,"-")</f>
        <v>1012140.6741645717</v>
      </c>
      <c r="I514" s="1041">
        <f t="shared" ca="1" si="210"/>
        <v>5630479.8154318482</v>
      </c>
      <c r="J514" s="1041">
        <f t="shared" ca="1" si="210"/>
        <v>8829722.1489040032</v>
      </c>
      <c r="K514" s="1041">
        <f t="shared" ca="1" si="210"/>
        <v>12747985.413657404</v>
      </c>
      <c r="L514" s="1041">
        <f t="shared" ca="1" si="210"/>
        <v>17451485.842667818</v>
      </c>
      <c r="M514" s="1041">
        <f t="shared" ca="1" si="210"/>
        <v>23207651.06547121</v>
      </c>
      <c r="N514" s="980">
        <f>N$484+N$1214</f>
        <v>-3201919.43359375</v>
      </c>
      <c r="O514" s="326"/>
      <c r="P514" s="324" t="s">
        <v>651</v>
      </c>
    </row>
    <row r="515" spans="1:16" ht="11.25" hidden="1" customHeight="1" x14ac:dyDescent="0.35">
      <c r="A515" s="235"/>
      <c r="B515" s="483" t="s">
        <v>652</v>
      </c>
      <c r="C515" s="456"/>
      <c r="D515" s="1111"/>
      <c r="E515" s="478" t="s">
        <v>653</v>
      </c>
      <c r="F515" s="968" t="str">
        <f>IF(OR(F$1=FinMonth,F$16=LastPeriod),IF(UseCalculatedTax=1,F$514-F$514*F$4,F$507),"-")</f>
        <v>-</v>
      </c>
      <c r="G515" s="968"/>
      <c r="H515" s="968">
        <f t="shared" ref="H515:M515" ca="1" si="211">IF(OR(H$1=FinMonth,H$16=LastPeriod),H$514+IF(UseCalculatedTax=1,H$514*-H$4,OFFSET($E$503,0,H$8)),"-")</f>
        <v>728741.28539849073</v>
      </c>
      <c r="I515" s="968">
        <f t="shared" ca="1" si="211"/>
        <v>4053945.4671109319</v>
      </c>
      <c r="J515" s="968">
        <f t="shared" ca="1" si="211"/>
        <v>6357399.94721088</v>
      </c>
      <c r="K515" s="968">
        <f t="shared" ca="1" si="211"/>
        <v>9178549.4978333283</v>
      </c>
      <c r="L515" s="968">
        <f t="shared" ca="1" si="211"/>
        <v>12565069.806720827</v>
      </c>
      <c r="M515" s="968">
        <f t="shared" ca="1" si="211"/>
        <v>16709508.767139271</v>
      </c>
      <c r="N515" s="963">
        <f ca="1">N$514+IF(UseCalculatedTax=1,N$514*-N$4,OFFSET($E$503,0,N$8))</f>
        <v>-3201919.43359375</v>
      </c>
      <c r="O515" s="326"/>
      <c r="P515" s="324" t="s">
        <v>651</v>
      </c>
    </row>
    <row r="516" spans="1:16" ht="11.25" hidden="1" customHeight="1" x14ac:dyDescent="0.35">
      <c r="A516" s="235"/>
      <c r="B516" s="483" t="str">
        <f ca="1">SpecsTxt!$E$32&amp;", "&amp;CHOOSE(NABase,SpecsTxt!$B$32,SpecsTxt!$C$32,SpecsTxt!$D$32)</f>
        <v>Net assets, average</v>
      </c>
      <c r="C516" s="456"/>
      <c r="D516" s="1147"/>
      <c r="E516" s="484" t="s">
        <v>654</v>
      </c>
      <c r="F516" s="968">
        <f ca="1">IF(OR(F$1=FinMonth,F$16=LastPeriod),(IF(NABase&lt;3,IF(F$1017=0,0,OFFSET(F$767,0,F$1017)+OFFSET(F$621,0,F$1017)-OFFSET(F$810,0,F$1017)),0)+IF(OR(NABase=1,NABase=3),F$767+F$621-F$810,0))/IF(NABase=1,2,1),0)</f>
        <v>0</v>
      </c>
      <c r="G516" s="968"/>
      <c r="H516" s="968">
        <f ca="1">IF(OR(H$1=FinMonth,H$16=LastPeriod),(IF(NABase&lt;3,IF(H$1017=0,0,OFFSET(H$767,0,H$1017)+OFFSET(H$621,0,H$1017)-OFFSET(H$808,0,H$1017)-OFFSET(H$810,0,H$1017)),0)+IF(OR(NABase=1,NABase=3),H$767+H$621-H$808-H$810,0))/IF(NABase=1,IF(AND(H$5&gt;=0,SUM($G$17:H$17)&lt;=12,ABS(OFFSET($E$767,0,$D$7-5))+OFFSET($E$621,0,$D$7-5)-OFFSET($E$808,0,$D$7-5)-OFFSET($E$810,0,$D$7-5)=0),1,2),1),0)</f>
        <v>24318386.845279008</v>
      </c>
      <c r="I516" s="968">
        <f ca="1">IF(OR(I$1=FinMonth,I$16=LastPeriod),(IF(NABase&lt;3,IF(I$1017=0,0,OFFSET(I$767,0,I$1017)+OFFSET(I$621,0,I$1017)-OFFSET(I$808,0,I$1017)-OFFSET(I$810,0,I$1017)),0)+IF(OR(NABase=1,NABase=3),I$767+I$621-I$808-I$810,0))/IF(NABase=1,IF(AND(I$5&gt;=0,SUM($G$17:I$17)&lt;=12,ABS(OFFSET($E$767,0,$D$7-5))+OFFSET($E$621,0,$D$7-5)-OFFSET($E$808,0,$D$7-5)-OFFSET($E$810,0,$D$7-5)=0),1,2),1),0)</f>
        <v>18175283.300996713</v>
      </c>
      <c r="J516" s="968">
        <f ca="1">IF(OR(J$1=FinMonth,J$16=LastPeriod),(IF(NABase&lt;3,IF(J$1017=0,0,OFFSET(J$767,0,J$1017)+OFFSET(J$621,0,J$1017)-OFFSET(J$808,0,J$1017)-OFFSET(J$810,0,J$1017)),0)+IF(OR(NABase=1,NABase=3),J$767+J$621-J$808-J$810,0))/IF(NABase=1,IF(AND(J$5&gt;=0,SUM($G$17:J$17)&lt;=12,ABS(OFFSET($E$767,0,$D$7-5))+OFFSET($E$621,0,$D$7-5)-OFFSET($E$808,0,$D$7-5)-OFFSET($E$810,0,$D$7-5)=0),1,2),1),0)</f>
        <v>12338392.166844785</v>
      </c>
      <c r="K516" s="968">
        <f ca="1">IF(OR(K$1=FinMonth,K$16=LastPeriod),(IF(NABase&lt;3,IF(K$1017=0,0,OFFSET(K$767,0,K$1017)+OFFSET(K$621,0,K$1017)-OFFSET(K$808,0,K$1017)-OFFSET(K$810,0,K$1017)),0)+IF(OR(NABase=1,NABase=3),K$767+K$621-K$808-K$810,0))/IF(NABase=1,IF(AND(K$5&gt;=0,SUM($G$17:K$17)&lt;=12,ABS(OFFSET($E$767,0,$D$7-5))+OFFSET($E$621,0,$D$7-5)-OFFSET($E$808,0,$D$7-5)-OFFSET($E$810,0,$D$7-5)=0),1,2),1),0)</f>
        <v>13010127.670009863</v>
      </c>
      <c r="L516" s="968">
        <f ca="1">IF(OR(L$1=FinMonth,L$16=LastPeriod),(IF(NABase&lt;3,IF(L$1017=0,0,OFFSET(L$767,0,L$1017)+OFFSET(L$621,0,L$1017)-OFFSET(L$808,0,L$1017)-OFFSET(L$810,0,L$1017)),0)+IF(OR(NABase=1,NABase=3),L$767+L$621-L$808-L$810,0))/IF(NABase=1,IF(AND(L$5&gt;=0,SUM($G$17:L$17)&lt;=12,ABS(OFFSET($E$767,0,$D$7-5))+OFFSET($E$621,0,$D$7-5)-OFFSET($E$808,0,$D$7-5)-OFFSET($E$810,0,$D$7-5)=0),1,2),1),0)</f>
        <v>13998518.407480832</v>
      </c>
      <c r="M516" s="968">
        <f ca="1">IF(OR(M$1=FinMonth,M$16=LastPeriod),(IF(NABase&lt;3,IF(M$1017=0,0,OFFSET(M$767,0,M$1017)+OFFSET(M$621,0,M$1017)-OFFSET(M$808,0,M$1017)-OFFSET(M$810,0,M$1017)),0)+IF(OR(NABase=1,NABase=3),M$767+M$621-M$808-M$810,0))/IF(NABase=1,IF(AND(M$5&gt;=0,SUM($G$17:M$17)&lt;=12,ABS(OFFSET($E$767,0,$D$7-5))+OFFSET($E$621,0,$D$7-5)-OFFSET($E$808,0,$D$7-5)-OFFSET($E$810,0,$D$7-5)=0),1,2),1),0)</f>
        <v>15406501.87045308</v>
      </c>
      <c r="N516" s="963">
        <f ca="1">IF(AND(N$5=-99,NoResCol=1),IF(UsePerpetuity=1,N$767-N$820+N$621-N$808-N$810,0),(IF(NABase&lt;3,IF(N$1017=0,0,OFFSET(N$767,0,N$1017)-OFFSET(N$820,0,N$1017)+OFFSET(N$621,0,N$1017)-OFFSET(N$808,0,N$1017)-OFFSET(N$810,0,N$1017)),0)+IF(OR(NABase=1,NABase=3),N$767-N$820+N$621-N$808-N$810,0))/IF(NABase=1,2,1))</f>
        <v>7310693.0259585474</v>
      </c>
      <c r="O516" s="326"/>
      <c r="P516" s="324" t="s">
        <v>651</v>
      </c>
    </row>
    <row r="517" spans="1:16" ht="11.25" hidden="1" customHeight="1" x14ac:dyDescent="0.35">
      <c r="A517" s="235"/>
      <c r="B517" s="479" t="str">
        <f ca="1">SpecsTxt!$F$32&amp;", "&amp;CHOOSE(NABase,SpecsTxt!$B$32,SpecsTxt!$C$32,SpecsTxt!$D$32)</f>
        <v>Capital charge on net assets, average</v>
      </c>
      <c r="C517" s="471"/>
      <c r="D517" s="1145"/>
      <c r="E517" s="485" t="s">
        <v>655</v>
      </c>
      <c r="F517" s="958">
        <f ca="1">F516*DiscYear/100</f>
        <v>0</v>
      </c>
      <c r="G517" s="958"/>
      <c r="H517" s="958">
        <f t="shared" ref="H517:M517" ca="1" si="212">H516*IF(VariableRate=1,H$1056,DiscYear)/100</f>
        <v>668755.63824517268</v>
      </c>
      <c r="I517" s="958">
        <f t="shared" ca="1" si="212"/>
        <v>499820.29077740962</v>
      </c>
      <c r="J517" s="958">
        <f t="shared" ca="1" si="212"/>
        <v>339305.78458823159</v>
      </c>
      <c r="K517" s="958">
        <f t="shared" ca="1" si="212"/>
        <v>357778.5109252712</v>
      </c>
      <c r="L517" s="958">
        <f t="shared" ca="1" si="212"/>
        <v>384959.25620572292</v>
      </c>
      <c r="M517" s="958">
        <f t="shared" ca="1" si="212"/>
        <v>423678.80143745971</v>
      </c>
      <c r="N517" s="412">
        <v>0</v>
      </c>
      <c r="O517" s="326"/>
      <c r="P517" s="324" t="s">
        <v>651</v>
      </c>
    </row>
    <row r="518" spans="1:16" ht="11.25" hidden="1" customHeight="1" x14ac:dyDescent="0.35">
      <c r="A518" s="235"/>
      <c r="B518" s="486" t="s">
        <v>656</v>
      </c>
      <c r="C518" s="486"/>
      <c r="D518" s="487"/>
      <c r="E518" s="478" t="s">
        <v>657</v>
      </c>
      <c r="F518" s="488"/>
      <c r="G518" s="488"/>
      <c r="H518" s="488"/>
      <c r="I518" s="488"/>
      <c r="J518" s="488"/>
      <c r="K518" s="488"/>
      <c r="L518" s="488"/>
      <c r="M518" s="488"/>
      <c r="N518" s="488"/>
      <c r="O518" s="326"/>
      <c r="P518" s="324" t="s">
        <v>406</v>
      </c>
    </row>
    <row r="519" spans="1:16" ht="11.25" hidden="1" customHeight="1" x14ac:dyDescent="0.35">
      <c r="A519" s="235"/>
      <c r="B519" s="489" t="s">
        <v>658</v>
      </c>
      <c r="C519" s="490"/>
      <c r="D519" s="1139"/>
      <c r="E519" s="491" t="s">
        <v>659</v>
      </c>
      <c r="F519" s="979"/>
      <c r="G519" s="979"/>
      <c r="H519" s="979">
        <f t="shared" ref="H519:N519" ca="1" si="213">H499+H500</f>
        <v>1012140.6741645717</v>
      </c>
      <c r="I519" s="979">
        <f t="shared" ca="1" si="213"/>
        <v>5630479.8154318482</v>
      </c>
      <c r="J519" s="979">
        <f t="shared" ca="1" si="213"/>
        <v>8829722.1489040032</v>
      </c>
      <c r="K519" s="979">
        <f t="shared" ca="1" si="213"/>
        <v>12747985.413657404</v>
      </c>
      <c r="L519" s="979">
        <f t="shared" ca="1" si="213"/>
        <v>17451485.842667818</v>
      </c>
      <c r="M519" s="979">
        <f t="shared" ref="M519" ca="1" si="214">M499+M500</f>
        <v>23207651.06547121</v>
      </c>
      <c r="N519" s="426">
        <f t="shared" ca="1" si="213"/>
        <v>-3201919.43359375</v>
      </c>
      <c r="O519" s="326"/>
      <c r="P519" s="324" t="s">
        <v>411</v>
      </c>
    </row>
    <row r="520" spans="1:16" ht="11.25" hidden="1" customHeight="1" x14ac:dyDescent="0.35">
      <c r="A520" s="235"/>
      <c r="B520" s="492" t="s">
        <v>395</v>
      </c>
      <c r="C520" s="493"/>
      <c r="D520" s="1140"/>
      <c r="E520" s="474" t="s">
        <v>660</v>
      </c>
      <c r="F520" s="973"/>
      <c r="G520" s="973"/>
      <c r="H520" s="973">
        <f ca="1">IF(OR(AND(H$5=0,NoZeroCol=1),AND(H$5=-99,NoResCol=1)),0,SUM($G$331:H$331)+SUM($G$425:H$425)+IF(GWtype=2,SUM($G$1018:H$1018),0)-SUM($G520:OFFSET(H520,0,-1)))</f>
        <v>0</v>
      </c>
      <c r="I520" s="973">
        <f ca="1">IF(OR(AND(I$5=0,NoZeroCol=1),AND(I$5=-99,NoResCol=1)),0,SUM($G$331:I$331)+SUM($G$425:I$425)+IF(GWtype=2,SUM($G$1018:I$1018),0)-SUM($G520:OFFSET(I520,0,-1)))</f>
        <v>0</v>
      </c>
      <c r="J520" s="973">
        <f ca="1">IF(OR(AND(J$5=0,NoZeroCol=1),AND(J$5=-99,NoResCol=1)),0,SUM($G$331:J$331)+SUM($G$425:J$425)+IF(GWtype=2,SUM($G$1018:J$1018),0)-SUM($G520:OFFSET(J520,0,-1)))</f>
        <v>0</v>
      </c>
      <c r="K520" s="973">
        <f ca="1">IF(OR(AND(K$5=0,NoZeroCol=1),AND(K$5=-99,NoResCol=1)),0,SUM($G$331:K$331)+SUM($G$425:K$425)+IF(GWtype=2,SUM($G$1018:K$1018),0)-SUM($G520:OFFSET(K520,0,-1)))</f>
        <v>0</v>
      </c>
      <c r="L520" s="973">
        <f ca="1">IF(OR(AND(L$5=0,NoZeroCol=1),AND(L$5=-99,NoResCol=1)),0,SUM($G$331:L$331)+SUM($G$425:L$425)+IF(GWtype=2,SUM($G$1018:L$1018),0)-SUM($G520:OFFSET(L520,0,-1)))</f>
        <v>0</v>
      </c>
      <c r="M520" s="973">
        <f ca="1">IF(OR(AND(M$5=0,NoZeroCol=1),AND(M$5=-99,NoResCol=1)),0,SUM($G$331:M$331)+SUM($G$425:M$425)+IF(GWtype=2,SUM($G$1018:M$1018),0)-SUM($G520:OFFSET(M520,0,-1)))</f>
        <v>0</v>
      </c>
      <c r="N520" s="413">
        <f>IF(OR(AND(N$5=0,NoZeroCol=1),AND(N$5=-99,NoResCol=1)),0,N$331+N$425+IF(GWtype=2,N$1018,0))</f>
        <v>0</v>
      </c>
      <c r="O520" s="326"/>
      <c r="P520" s="324" t="s">
        <v>411</v>
      </c>
    </row>
    <row r="521" spans="1:16" ht="11.25" hidden="1" customHeight="1" x14ac:dyDescent="0.35">
      <c r="A521" s="235"/>
      <c r="B521" s="494" t="s">
        <v>661</v>
      </c>
      <c r="C521" s="487"/>
      <c r="D521" s="1141"/>
      <c r="E521" s="478" t="s">
        <v>662</v>
      </c>
      <c r="F521" s="975"/>
      <c r="G521" s="975"/>
      <c r="H521" s="975">
        <f ca="1">IF(OR(AND(H$5=0,NoZeroCol=1),AND(H$5=-99,NoResCol=1)),0,SUM($G$332:H$332)+SUM($G$432:H$432)-SUM($G521:OFFSET(H521,0,-1)))</f>
        <v>0</v>
      </c>
      <c r="I521" s="975">
        <f ca="1">IF(OR(AND(I$5=0,NoZeroCol=1),AND(I$5=-99,NoResCol=1)),0,SUM($G$332:I$332)+SUM($G$432:I$432)-SUM($G521:OFFSET(I521,0,-1)))</f>
        <v>0</v>
      </c>
      <c r="J521" s="975">
        <f ca="1">IF(OR(AND(J$5=0,NoZeroCol=1),AND(J$5=-99,NoResCol=1)),0,SUM($G$332:J$332)+SUM($G$432:J$432)-SUM($G521:OFFSET(J521,0,-1)))</f>
        <v>0</v>
      </c>
      <c r="K521" s="975">
        <f ca="1">IF(OR(AND(K$5=0,NoZeroCol=1),AND(K$5=-99,NoResCol=1)),0,SUM($G$332:K$332)+SUM($G$432:K$432)-SUM($G521:OFFSET(K521,0,-1)))</f>
        <v>0</v>
      </c>
      <c r="L521" s="975">
        <f ca="1">IF(OR(AND(L$5=0,NoZeroCol=1),AND(L$5=-99,NoResCol=1)),0,SUM($G$332:L$332)+SUM($G$432:L$432)-SUM($G521:OFFSET(L521,0,-1)))</f>
        <v>0</v>
      </c>
      <c r="M521" s="975">
        <f ca="1">IF(OR(AND(M$5=0,NoZeroCol=1),AND(M$5=-99,NoResCol=1)),0,SUM($G$332:M$332)+SUM($G$432:M$432)-SUM($G521:OFFSET(M521,0,-1)))</f>
        <v>0</v>
      </c>
      <c r="N521" s="414">
        <f>IF(OR(AND(N$5=0,NoZeroCol=1),AND(N$5=-99,NoResCol=1)),0,N$332+N$432)</f>
        <v>0</v>
      </c>
      <c r="O521" s="326"/>
      <c r="P521" s="324" t="s">
        <v>411</v>
      </c>
    </row>
    <row r="522" spans="1:16" ht="11.25" hidden="1" customHeight="1" x14ac:dyDescent="0.35">
      <c r="A522" s="235"/>
      <c r="B522" s="495" t="s">
        <v>663</v>
      </c>
      <c r="C522" s="496"/>
      <c r="D522" s="1142"/>
      <c r="E522" s="468" t="s">
        <v>664</v>
      </c>
      <c r="F522" s="977"/>
      <c r="G522" s="1368"/>
      <c r="H522" s="1368">
        <v>-283399.38876608101</v>
      </c>
      <c r="I522" s="1368">
        <v>-1576534.3483209161</v>
      </c>
      <c r="J522" s="1368">
        <v>-2472322.2016931232</v>
      </c>
      <c r="K522" s="1368">
        <v>-3569435.9158240757</v>
      </c>
      <c r="L522" s="1368">
        <v>-4886416.0359469904</v>
      </c>
      <c r="M522" s="1368">
        <v>-6498142.2983319396</v>
      </c>
      <c r="N522" s="1369">
        <v>0</v>
      </c>
      <c r="O522" s="326"/>
      <c r="P522" s="324" t="s">
        <v>411</v>
      </c>
    </row>
    <row r="523" spans="1:16" ht="11.25" hidden="1" customHeight="1" x14ac:dyDescent="0.35">
      <c r="A523" s="235"/>
      <c r="B523" s="492" t="s">
        <v>665</v>
      </c>
      <c r="C523" s="487"/>
      <c r="D523" s="1141"/>
      <c r="E523" s="478" t="s">
        <v>666</v>
      </c>
      <c r="F523" s="975"/>
      <c r="G523" s="975"/>
      <c r="H523" s="975">
        <f t="shared" ref="H523:M523" ca="1" si="215">SUM(H$519:H$522)</f>
        <v>728741.28539849073</v>
      </c>
      <c r="I523" s="975">
        <f t="shared" ca="1" si="215"/>
        <v>4053945.4671109319</v>
      </c>
      <c r="J523" s="975">
        <f t="shared" ca="1" si="215"/>
        <v>6357399.94721088</v>
      </c>
      <c r="K523" s="975">
        <f t="shared" ca="1" si="215"/>
        <v>9178549.4978333283</v>
      </c>
      <c r="L523" s="975">
        <f t="shared" ca="1" si="215"/>
        <v>12565069.806720827</v>
      </c>
      <c r="M523" s="975">
        <f t="shared" ca="1" si="215"/>
        <v>16709508.767139271</v>
      </c>
      <c r="N523" s="414">
        <f ca="1">IF(NoResCol&lt;&gt;1,SUM(N$519:N$522),0)</f>
        <v>-3201919.43359375</v>
      </c>
      <c r="O523" s="326"/>
      <c r="P523" s="324" t="s">
        <v>427</v>
      </c>
    </row>
    <row r="524" spans="1:16" ht="11.25" hidden="1" customHeight="1" x14ac:dyDescent="0.35">
      <c r="A524" s="235"/>
      <c r="B524" s="495" t="s">
        <v>633</v>
      </c>
      <c r="C524" s="496"/>
      <c r="D524" s="1142"/>
      <c r="E524" s="468" t="s">
        <v>667</v>
      </c>
      <c r="F524" s="977"/>
      <c r="G524" s="977"/>
      <c r="H524" s="977">
        <f ca="1">-IF(AND(SUM(OFFSET($E$337,0,$G$8):OFFSET($E$337,0,H$8))&lt;100,SUM(OFFSET($E$337,0,$G$8):OFFSET($E$337,0,H$8))&gt;=50),((100-SUM(OFFSET($E$337,0,$G$8):OFFSET($E$337,0,H$8)))/100)*H$523,0)+OFFSET($E$505,0,H$8)</f>
        <v>0</v>
      </c>
      <c r="I524" s="977">
        <f ca="1">-IF(AND(SUM(OFFSET($E$337,0,$G$8):OFFSET($E$337,0,I$8))&lt;100,SUM(OFFSET($E$337,0,$G$8):OFFSET($E$337,0,I$8))&gt;=50),((100-SUM(OFFSET($E$337,0,$G$8):OFFSET($E$337,0,I$8)))/100)*I$523,0)+OFFSET($E$505,0,I$8)</f>
        <v>0</v>
      </c>
      <c r="J524" s="977">
        <f ca="1">-IF(AND(SUM(OFFSET($E$337,0,$G$8):OFFSET($E$337,0,J$8))&lt;100,SUM(OFFSET($E$337,0,$G$8):OFFSET($E$337,0,J$8))&gt;=50),((100-SUM(OFFSET($E$337,0,$G$8):OFFSET($E$337,0,J$8)))/100)*J$523,0)+OFFSET($E$505,0,J$8)</f>
        <v>0</v>
      </c>
      <c r="K524" s="977">
        <f ca="1">-IF(AND(SUM(OFFSET($E$337,0,$G$8):OFFSET($E$337,0,K$8))&lt;100,SUM(OFFSET($E$337,0,$G$8):OFFSET($E$337,0,K$8))&gt;=50),((100-SUM(OFFSET($E$337,0,$G$8):OFFSET($E$337,0,K$8)))/100)*K$523,0)+OFFSET($E$505,0,K$8)</f>
        <v>0</v>
      </c>
      <c r="L524" s="977">
        <f ca="1">-IF(AND(SUM(OFFSET($E$337,0,$G$8):OFFSET($E$337,0,L$8))&lt;100,SUM(OFFSET($E$337,0,$G$8):OFFSET($E$337,0,L$8))&gt;=50),((100-SUM(OFFSET($E$337,0,$G$8):OFFSET($E$337,0,L$8)))/100)*L$523,0)+OFFSET($E$505,0,L$8)</f>
        <v>0</v>
      </c>
      <c r="M524" s="977">
        <f ca="1">-IF(AND(SUM(OFFSET($E$337,0,$G$8):OFFSET($E$337,0,M$8))&lt;100,SUM(OFFSET($E$337,0,$G$8):OFFSET($E$337,0,M$8))&gt;=50),((100-SUM(OFFSET($E$337,0,$G$8):OFFSET($E$337,0,M$8)))/100)*M$523,0)+OFFSET($E$505,0,M$8)</f>
        <v>0</v>
      </c>
      <c r="N524" s="971"/>
      <c r="O524" s="326"/>
      <c r="P524" s="324" t="s">
        <v>427</v>
      </c>
    </row>
    <row r="525" spans="1:16" ht="11.25" hidden="1" customHeight="1" x14ac:dyDescent="0.35">
      <c r="A525" s="235"/>
      <c r="B525" s="489" t="s">
        <v>668</v>
      </c>
      <c r="C525" s="490"/>
      <c r="D525" s="1139"/>
      <c r="E525" s="491" t="s">
        <v>669</v>
      </c>
      <c r="F525" s="979"/>
      <c r="G525" s="979"/>
      <c r="H525" s="979">
        <f ca="1">IF(H$1=FinMonth,SUM($G$523:H$524)-SUM($G525:OFFSET(H525,0,-1)),0)</f>
        <v>728741.28539849073</v>
      </c>
      <c r="I525" s="979">
        <f ca="1">IF(I$1=FinMonth,SUM($G$523:I$524)-SUM($G525:OFFSET(I525,0,-1)),0)</f>
        <v>4053945.4671109319</v>
      </c>
      <c r="J525" s="979">
        <f ca="1">IF(J$1=FinMonth,SUM($G$523:J$524)-SUM($G525:OFFSET(J525,0,-1)),0)</f>
        <v>6357399.94721088</v>
      </c>
      <c r="K525" s="979">
        <f ca="1">IF(K$1=FinMonth,SUM($G$523:K$524)-SUM($G525:OFFSET(K525,0,-1)),0)</f>
        <v>9178549.4978333283</v>
      </c>
      <c r="L525" s="979">
        <f ca="1">IF(L$1=FinMonth,SUM($G$523:L$524)-SUM($G525:OFFSET(L525,0,-1)),0)</f>
        <v>12565069.806720827</v>
      </c>
      <c r="M525" s="979">
        <f ca="1">IF(M$1=FinMonth,SUM($G$523:M$524)-SUM($G525:OFFSET(M525,0,-1)),0)</f>
        <v>16709508.767139271</v>
      </c>
      <c r="N525" s="426">
        <f ca="1">IF(N$1=FinMonth,SUM($G$523:N$524)-SUM($G525:OFFSET(N525,0,-1)),0)</f>
        <v>-3201919.43359375</v>
      </c>
      <c r="O525" s="326"/>
      <c r="P525" s="324" t="s">
        <v>406</v>
      </c>
    </row>
    <row r="526" spans="1:16" ht="11.25" hidden="1" customHeight="1" x14ac:dyDescent="0.35">
      <c r="A526" s="439"/>
      <c r="B526" s="497" t="s">
        <v>670</v>
      </c>
      <c r="C526" s="498"/>
      <c r="D526" s="1140"/>
      <c r="E526" s="474" t="s">
        <v>671</v>
      </c>
      <c r="F526" s="1044"/>
      <c r="G526" s="1044"/>
      <c r="H526" s="1045">
        <f t="shared" ref="H526:M526" ca="1" si="216">IF(OR(H$1=FinMonth,H$16=LastPeriod),IF(H$532&lt;&gt;0,CHOOSE(RonaBAT,H$530,H$531,H$525)/H$532,"-"),"-")</f>
        <v>4.1620387100678974E-2</v>
      </c>
      <c r="I526" s="1045">
        <f t="shared" ca="1" si="216"/>
        <v>0.30978773327418113</v>
      </c>
      <c r="J526" s="1045">
        <f t="shared" ca="1" si="216"/>
        <v>0.71562988349737056</v>
      </c>
      <c r="K526" s="1045">
        <f t="shared" ca="1" si="216"/>
        <v>0.97985090823076759</v>
      </c>
      <c r="L526" s="1045">
        <f t="shared" ca="1" si="216"/>
        <v>1.2466666353306157</v>
      </c>
      <c r="M526" s="1045">
        <f t="shared" ca="1" si="216"/>
        <v>1.5063543470552092</v>
      </c>
      <c r="N526" s="1042">
        <f ca="1">IF(AND(N$5=-99,NoResCol=1),0,IF(N$532&lt;&gt;0,CHOOSE(RonaBAT,N$530,N$531,N$525)/N$532,"-"))</f>
        <v>-0.87595510363367435</v>
      </c>
      <c r="O526" s="386"/>
      <c r="P526" s="324" t="s">
        <v>427</v>
      </c>
    </row>
    <row r="527" spans="1:16" ht="11.25" hidden="1" customHeight="1" x14ac:dyDescent="0.35">
      <c r="A527" s="235"/>
      <c r="B527" s="499" t="s">
        <v>672</v>
      </c>
      <c r="C527" s="500"/>
      <c r="D527" s="1142"/>
      <c r="E527" s="468" t="s">
        <v>673</v>
      </c>
      <c r="F527" s="977"/>
      <c r="G527" s="977"/>
      <c r="H527" s="1046">
        <f t="shared" ref="H527:M527" ca="1" si="217">IF(OR(H$1=FinMonth,H$16=LastPeriod),CHOOSE(EvaBAT,H$530,H$531,H$525)-H$533,"-")</f>
        <v>59985.647153318976</v>
      </c>
      <c r="I527" s="1046">
        <f t="shared" ca="1" si="217"/>
        <v>3554125.176333521</v>
      </c>
      <c r="J527" s="1046">
        <f t="shared" ca="1" si="217"/>
        <v>6018094.1626226502</v>
      </c>
      <c r="K527" s="1046">
        <f t="shared" ca="1" si="217"/>
        <v>8820770.9869080596</v>
      </c>
      <c r="L527" s="1046">
        <f t="shared" ca="1" si="217"/>
        <v>12180110.550515106</v>
      </c>
      <c r="M527" s="1046">
        <f t="shared" ca="1" si="217"/>
        <v>16285829.965701811</v>
      </c>
      <c r="N527" s="1043">
        <f ca="1">IF(AND(N$5=-99,NoResCol=1),IF(UsePerpetuity=1,PerpetuityValue-N$532,0),CHOOSE(EvaBAT,N$530,N$531,N$525)-N$533)</f>
        <v>-2305381.9921875</v>
      </c>
      <c r="O527" s="326"/>
      <c r="P527" s="324" t="s">
        <v>427</v>
      </c>
    </row>
    <row r="528" spans="1:16" ht="11.25" hidden="1" customHeight="1" x14ac:dyDescent="0.35">
      <c r="A528" s="235"/>
      <c r="B528" s="501" t="s">
        <v>674</v>
      </c>
      <c r="C528" s="486"/>
      <c r="D528" s="1141"/>
      <c r="E528" s="478" t="s">
        <v>675</v>
      </c>
      <c r="F528" s="975"/>
      <c r="G528" s="975"/>
      <c r="H528" s="973">
        <f t="shared" ref="H528:M528" ca="1" si="218">IF(SUM(H527)&lt;&gt;0,H527*IF(H$5&lt;=CalcPoint,IF(DontCompound=1,1,(1+IF(VariableRate=1,H$1057,DiscMonth))^IF(MYDisc,H$1061,H$1059)),1/((1+IF(VariableRate=1,H$1057,DiscMonth))^IF(MYDisc,H$1061,H$1059))),"-")</f>
        <v>59445.64884895974</v>
      </c>
      <c r="I528" s="973">
        <f t="shared" ca="1" si="218"/>
        <v>3427864.230277014</v>
      </c>
      <c r="J528" s="973">
        <f t="shared" ca="1" si="218"/>
        <v>5648954.0323892161</v>
      </c>
      <c r="K528" s="973">
        <f t="shared" ca="1" si="218"/>
        <v>8058120.8839338617</v>
      </c>
      <c r="L528" s="973">
        <f t="shared" ca="1" si="218"/>
        <v>10829206.395222504</v>
      </c>
      <c r="M528" s="973">
        <f t="shared" ca="1" si="218"/>
        <v>14092026.999190366</v>
      </c>
      <c r="N528" s="413">
        <f ca="1">IF(AND(NoResCol=1,UsePerpetuity&lt;&gt;1),0,IF(SUM(N527)&lt;&gt;0,N527*IF(OFFSET(N$5,0,-1)&lt;=CalcPoint,IF(DontCompound=1,1,(1+IF(VariableRate=1,N$1057,DiscMonth))^IF(MYDisc,N$1061,N$1059)),1/((1+IF(VariableRate=1,N$1057,DiscMonth))^IF(MYDisc,N$1061,N$1059))),"-"))</f>
        <v>-1994832.645666366</v>
      </c>
      <c r="O528" s="326"/>
      <c r="P528" s="324" t="s">
        <v>676</v>
      </c>
    </row>
    <row r="529" spans="1:16" ht="11.25" hidden="1" customHeight="1" x14ac:dyDescent="0.35">
      <c r="A529" s="235"/>
      <c r="B529" s="501" t="s">
        <v>677</v>
      </c>
      <c r="C529" s="486"/>
      <c r="D529" s="1141"/>
      <c r="E529" s="478" t="s">
        <v>678</v>
      </c>
      <c r="F529" s="975"/>
      <c r="G529" s="975"/>
      <c r="H529" s="977">
        <f t="shared" ref="H529:N529" ca="1" si="219">SUM(H528)+OFFSET(H529,0,-1)</f>
        <v>59445.64884895974</v>
      </c>
      <c r="I529" s="977">
        <f t="shared" ca="1" si="219"/>
        <v>3487309.8791259737</v>
      </c>
      <c r="J529" s="977">
        <f t="shared" ca="1" si="219"/>
        <v>9136263.9115151893</v>
      </c>
      <c r="K529" s="977">
        <f t="shared" ca="1" si="219"/>
        <v>17194384.795449052</v>
      </c>
      <c r="L529" s="977">
        <f t="shared" ca="1" si="219"/>
        <v>28023591.190671556</v>
      </c>
      <c r="M529" s="977">
        <f t="shared" ref="M529" ca="1" si="220">SUM(M528)+OFFSET(M529,0,-1)</f>
        <v>42115618.189861923</v>
      </c>
      <c r="N529" s="971">
        <f t="shared" ca="1" si="219"/>
        <v>40120785.544195555</v>
      </c>
      <c r="O529" s="326"/>
      <c r="P529" s="324" t="s">
        <v>676</v>
      </c>
    </row>
    <row r="530" spans="1:16" ht="11.25" hidden="1" customHeight="1" x14ac:dyDescent="0.35">
      <c r="A530" s="235"/>
      <c r="B530" s="492" t="s">
        <v>679</v>
      </c>
      <c r="C530" s="493"/>
      <c r="D530" s="1143"/>
      <c r="E530" s="474" t="s">
        <v>680</v>
      </c>
      <c r="F530" s="973"/>
      <c r="G530" s="973"/>
      <c r="H530" s="973">
        <f t="shared" ref="H530:M530" ca="1" si="221">IF(OR(H$1=FinMonth,H$16=LastPeriod),H$490+H$1018+H$425+SUM(H$1214:H$1215),"-")</f>
        <v>1012140.6741645717</v>
      </c>
      <c r="I530" s="973">
        <f t="shared" ca="1" si="221"/>
        <v>5630479.8154318482</v>
      </c>
      <c r="J530" s="973">
        <f t="shared" ca="1" si="221"/>
        <v>8829722.1489040032</v>
      </c>
      <c r="K530" s="973">
        <f t="shared" ca="1" si="221"/>
        <v>12747985.413657404</v>
      </c>
      <c r="L530" s="973">
        <f t="shared" ca="1" si="221"/>
        <v>17451485.842667818</v>
      </c>
      <c r="M530" s="973">
        <f t="shared" ca="1" si="221"/>
        <v>23207651.06547121</v>
      </c>
      <c r="N530" s="413">
        <f ca="1">N$489+N$425+N$1018+SUM(N$1214:N$1215)</f>
        <v>-3201919.43359375</v>
      </c>
      <c r="O530" s="326"/>
      <c r="P530" s="324" t="s">
        <v>681</v>
      </c>
    </row>
    <row r="531" spans="1:16" ht="11.25" hidden="1" customHeight="1" x14ac:dyDescent="0.35">
      <c r="A531" s="235"/>
      <c r="B531" s="494" t="s">
        <v>682</v>
      </c>
      <c r="C531" s="487"/>
      <c r="D531" s="1132"/>
      <c r="E531" s="478" t="s">
        <v>683</v>
      </c>
      <c r="F531" s="975"/>
      <c r="G531" s="975"/>
      <c r="H531" s="975">
        <f t="shared" ref="H531:M531" ca="1" si="222">IF(OR(H$1=FinMonth,H$16=LastPeriod),H$490+H$1018+H$425+SUM(H$1214:H$1215)-(H$490+H$1018+SUM(H$1214:H$1215))*TaxRateM,"-")</f>
        <v>728741.28539849166</v>
      </c>
      <c r="I531" s="975">
        <f t="shared" ca="1" si="222"/>
        <v>4053945.4671109305</v>
      </c>
      <c r="J531" s="975">
        <f t="shared" ca="1" si="222"/>
        <v>6357399.9472108819</v>
      </c>
      <c r="K531" s="975">
        <f t="shared" ca="1" si="222"/>
        <v>9178549.4978333302</v>
      </c>
      <c r="L531" s="975">
        <f t="shared" ca="1" si="222"/>
        <v>12565069.806720829</v>
      </c>
      <c r="M531" s="975">
        <f t="shared" ca="1" si="222"/>
        <v>16709508.767139271</v>
      </c>
      <c r="N531" s="414">
        <f ca="1">N$490+N$1018+N$425+SUM(N$1214:N$1215)-(N$490+N$1018+SUM(N$1214:N$1215))*TaxRateM</f>
        <v>-2305381.9921875</v>
      </c>
      <c r="O531" s="326"/>
      <c r="P531" s="324" t="s">
        <v>681</v>
      </c>
    </row>
    <row r="532" spans="1:16" ht="11.25" hidden="1" customHeight="1" x14ac:dyDescent="0.35">
      <c r="A532" s="235"/>
      <c r="B532" s="494" t="str">
        <f ca="1">SpecsTxt!$G$32&amp;", "&amp;CHOOSE(NABase,SpecsTxt!$B$32,SpecsTxt!$C$32,SpecsTxt!$D$32)</f>
        <v>Group Net assets, average</v>
      </c>
      <c r="C532" s="487"/>
      <c r="D532" s="1141"/>
      <c r="E532" s="478" t="s">
        <v>684</v>
      </c>
      <c r="F532" s="975"/>
      <c r="G532" s="975"/>
      <c r="H532" s="975">
        <f ca="1">IF(OR(H$1=FinMonth,H$16=LastPeriod),H$516+(IF(NABase&lt;3,IF(H$1017=0,0,SUM(OFFSET(H$777,0,H$1017):OFFSET(H$789,0,H$1017))),0)+IF(OR(NABase=1,NABase=3),SUM(H$777:H$789),0))/IF(NABase=1,2,1),0)</f>
        <v>24318386.845279008</v>
      </c>
      <c r="I532" s="975">
        <f ca="1">IF(OR(I$1=FinMonth,I$16=LastPeriod),I$516+(IF(NABase&lt;3,IF(I$1017=0,0,SUM(OFFSET(I$777,0,I$1017):OFFSET(I$789,0,I$1017))),0)+IF(OR(NABase=1,NABase=3),SUM(I$777:I$789),0))/IF(NABase=1,2,1),0)</f>
        <v>18175283.300996713</v>
      </c>
      <c r="J532" s="975">
        <f ca="1">IF(OR(J$1=FinMonth,J$16=LastPeriod),J$516+(IF(NABase&lt;3,IF(J$1017=0,0,SUM(OFFSET(J$777,0,J$1017):OFFSET(J$789,0,J$1017))),0)+IF(OR(NABase=1,NABase=3),SUM(J$777:J$789),0))/IF(NABase=1,2,1),0)</f>
        <v>12338392.166844785</v>
      </c>
      <c r="K532" s="975">
        <f ca="1">IF(OR(K$1=FinMonth,K$16=LastPeriod),K$516+(IF(NABase&lt;3,IF(K$1017=0,0,SUM(OFFSET(K$777,0,K$1017):OFFSET(K$789,0,K$1017))),0)+IF(OR(NABase=1,NABase=3),SUM(K$777:K$789),0))/IF(NABase=1,2,1),0)</f>
        <v>13010127.670009863</v>
      </c>
      <c r="L532" s="975">
        <f ca="1">IF(OR(L$1=FinMonth,L$16=LastPeriod),L$516+(IF(NABase&lt;3,IF(L$1017=0,0,SUM(OFFSET(L$777,0,L$1017):OFFSET(L$789,0,L$1017))),0)+IF(OR(NABase=1,NABase=3),SUM(L$777:L$789),0))/IF(NABase=1,2,1),0)</f>
        <v>13998518.407480832</v>
      </c>
      <c r="M532" s="975">
        <f ca="1">IF(OR(M$1=FinMonth,M$16=LastPeriod),M$516+(IF(NABase&lt;3,IF(M$1017=0,0,SUM(OFFSET(M$777,0,M$1017):OFFSET(M$789,0,M$1017))),0)+IF(OR(NABase=1,NABase=3),SUM(M$777:M$789),0))/IF(NABase=1,2,1),0)</f>
        <v>15406501.87045308</v>
      </c>
      <c r="N532" s="414">
        <f ca="1">IF(AND(N$5=-99,NoResCol=1),IF(UsePerpetuity=1,N516+SUM(N$777:N$789),0),(IF(NABase&lt;3,N$516+IF(N$1017=0,0,SUM(OFFSET(N$777,0,N$1017):OFFSET(N$789,0,N$1017))),0)+IF(OR(NABase=1,NABase=3),SUM(N$777:N$789),0))/IF(NABase=1,2,1))</f>
        <v>3655346.5129792737</v>
      </c>
      <c r="O532" s="326"/>
      <c r="P532" s="324" t="s">
        <v>681</v>
      </c>
    </row>
    <row r="533" spans="1:16" ht="11.25" hidden="1" customHeight="1" x14ac:dyDescent="0.35">
      <c r="A533" s="235"/>
      <c r="B533" s="495" t="str">
        <f ca="1">SpecsTxt!$H$32&amp;", "&amp;CHOOSE(NABase,SpecsTxt!$B$32,SpecsTxt!$C$32,SpecsTxt!$D$32)</f>
        <v>Group Capital charge on net assets, average</v>
      </c>
      <c r="C533" s="496"/>
      <c r="D533" s="1142"/>
      <c r="E533" s="468" t="s">
        <v>685</v>
      </c>
      <c r="F533" s="977"/>
      <c r="G533" s="977"/>
      <c r="H533" s="977">
        <f t="shared" ref="H533:M533" ca="1" si="223">H532*IF(VariableRate=1,H$1056,DiscYear)/100</f>
        <v>668755.63824517268</v>
      </c>
      <c r="I533" s="977">
        <f t="shared" ca="1" si="223"/>
        <v>499820.29077740962</v>
      </c>
      <c r="J533" s="977">
        <f t="shared" ca="1" si="223"/>
        <v>339305.78458823159</v>
      </c>
      <c r="K533" s="977">
        <f t="shared" ca="1" si="223"/>
        <v>357778.5109252712</v>
      </c>
      <c r="L533" s="977">
        <f t="shared" ca="1" si="223"/>
        <v>384959.25620572292</v>
      </c>
      <c r="M533" s="977">
        <f t="shared" ca="1" si="223"/>
        <v>423678.80143745971</v>
      </c>
      <c r="N533" s="971">
        <v>0</v>
      </c>
      <c r="O533" s="326"/>
      <c r="P533" s="324" t="s">
        <v>681</v>
      </c>
    </row>
    <row r="534" spans="1:16" ht="5.15" customHeight="1" x14ac:dyDescent="0.35">
      <c r="A534" s="235"/>
      <c r="B534" s="502"/>
      <c r="C534" s="502"/>
      <c r="D534" s="503"/>
      <c r="E534" s="474" t="s">
        <v>39</v>
      </c>
      <c r="F534" s="504"/>
      <c r="G534" s="504"/>
      <c r="H534" s="504"/>
      <c r="I534" s="504"/>
      <c r="J534" s="504"/>
      <c r="K534" s="504"/>
      <c r="L534" s="504"/>
      <c r="M534" s="504"/>
      <c r="N534" s="505"/>
      <c r="O534" s="326"/>
      <c r="P534" s="324" t="s">
        <v>66</v>
      </c>
    </row>
    <row r="535" spans="1:16" ht="12" customHeight="1" x14ac:dyDescent="0.35">
      <c r="A535" s="235"/>
      <c r="B535" s="336" t="s">
        <v>686</v>
      </c>
      <c r="C535" s="235"/>
      <c r="D535" s="235"/>
      <c r="E535" s="329" t="s">
        <v>687</v>
      </c>
      <c r="F535" s="322"/>
      <c r="G535" s="506"/>
      <c r="H535" s="507"/>
      <c r="I535" s="507"/>
      <c r="J535" s="507"/>
      <c r="K535" s="507"/>
      <c r="L535" s="507"/>
      <c r="M535" s="507"/>
      <c r="N535" s="506"/>
      <c r="O535" s="326"/>
      <c r="P535" s="324" t="s">
        <v>54</v>
      </c>
    </row>
    <row r="536" spans="1:16" ht="12" customHeight="1" x14ac:dyDescent="0.35">
      <c r="A536" s="235"/>
      <c r="B536" s="235"/>
      <c r="C536" s="235"/>
      <c r="D536" s="235"/>
      <c r="E536" s="329" t="s">
        <v>688</v>
      </c>
      <c r="F536" s="322"/>
      <c r="G536" s="506"/>
      <c r="H536" s="506"/>
      <c r="I536" s="506"/>
      <c r="J536" s="506"/>
      <c r="K536" s="506"/>
      <c r="L536" s="507"/>
      <c r="M536" s="507"/>
      <c r="N536" s="506"/>
      <c r="O536" s="326"/>
      <c r="P536" s="324" t="s">
        <v>54</v>
      </c>
    </row>
    <row r="537" spans="1:16" ht="16" customHeight="1" x14ac:dyDescent="0.35">
      <c r="A537" s="235"/>
      <c r="B537" s="355" t="s">
        <v>689</v>
      </c>
      <c r="C537" s="235"/>
      <c r="D537" s="235"/>
      <c r="E537" s="329" t="s">
        <v>690</v>
      </c>
      <c r="F537" s="322"/>
      <c r="G537" s="235"/>
      <c r="H537" s="235"/>
      <c r="I537" s="235"/>
      <c r="J537" s="235"/>
      <c r="K537" s="235"/>
      <c r="L537" s="235"/>
      <c r="M537" s="235"/>
      <c r="N537" s="235"/>
      <c r="O537" s="326"/>
      <c r="P537" s="324" t="s">
        <v>66</v>
      </c>
    </row>
    <row r="538" spans="1:16" ht="11.25" customHeight="1" x14ac:dyDescent="0.35">
      <c r="A538" s="406"/>
      <c r="B538" s="339" t="str">
        <f>IF(PrintMode=0,"      ","")&amp;IF(Figures&gt;1,Figures&amp;" ","")&amp;Currency</f>
        <v xml:space="preserve">      Euro</v>
      </c>
      <c r="C538" s="440"/>
      <c r="D538" s="1097"/>
      <c r="E538" s="342" t="s">
        <v>691</v>
      </c>
      <c r="F538" s="946" t="str">
        <f t="shared" ref="F538:M538" si="224">F$1&amp;"/"&amp;F$3</f>
        <v>8/2019</v>
      </c>
      <c r="G538" s="947" t="str">
        <f t="shared" si="224"/>
        <v>9/2019</v>
      </c>
      <c r="H538" s="948" t="str">
        <f t="shared" si="224"/>
        <v>12/2019</v>
      </c>
      <c r="I538" s="948" t="str">
        <f t="shared" si="224"/>
        <v>12/2020</v>
      </c>
      <c r="J538" s="948" t="str">
        <f t="shared" si="224"/>
        <v>12/2021</v>
      </c>
      <c r="K538" s="948" t="str">
        <f t="shared" si="224"/>
        <v>12/2022</v>
      </c>
      <c r="L538" s="948" t="str">
        <f t="shared" si="224"/>
        <v>12/2023</v>
      </c>
      <c r="M538" s="948" t="str">
        <f t="shared" si="224"/>
        <v>12/2024</v>
      </c>
      <c r="N538" s="1250" t="str">
        <f ca="1">N$16</f>
        <v>Residual</v>
      </c>
      <c r="O538" s="326"/>
      <c r="P538" s="324" t="s">
        <v>66</v>
      </c>
    </row>
    <row r="539" spans="1:16" ht="11.25" customHeight="1" x14ac:dyDescent="0.35">
      <c r="A539" s="235"/>
      <c r="B539" s="346" t="s">
        <v>59</v>
      </c>
      <c r="C539" s="347"/>
      <c r="D539" s="1098"/>
      <c r="E539" s="397" t="s">
        <v>692</v>
      </c>
      <c r="F539" s="949">
        <f>F$17</f>
        <v>12</v>
      </c>
      <c r="G539" s="950"/>
      <c r="H539" s="950">
        <f t="shared" ref="H539:N539" si="225">H$17</f>
        <v>4</v>
      </c>
      <c r="I539" s="950">
        <f t="shared" si="225"/>
        <v>12</v>
      </c>
      <c r="J539" s="950">
        <f t="shared" si="225"/>
        <v>12</v>
      </c>
      <c r="K539" s="950">
        <f t="shared" si="225"/>
        <v>12</v>
      </c>
      <c r="L539" s="950">
        <f t="shared" si="225"/>
        <v>12</v>
      </c>
      <c r="M539" s="950">
        <f t="shared" si="225"/>
        <v>12</v>
      </c>
      <c r="N539" s="1251" t="str">
        <f t="shared" ca="1" si="225"/>
        <v>(12/2024)</v>
      </c>
      <c r="O539" s="326"/>
      <c r="P539" s="324" t="s">
        <v>71</v>
      </c>
    </row>
    <row r="540" spans="1:16" ht="11.25" customHeight="1" x14ac:dyDescent="0.35">
      <c r="A540" s="235"/>
      <c r="B540" s="446" t="s">
        <v>693</v>
      </c>
      <c r="C540" s="508"/>
      <c r="D540" s="1110"/>
      <c r="E540" s="385" t="s">
        <v>694</v>
      </c>
      <c r="F540" s="1372">
        <f t="shared" ref="F540:N540" ca="1" si="226">SUM(OFFSET(F540,0,-1))-F569</f>
        <v>0</v>
      </c>
      <c r="G540" s="1049">
        <f t="shared" ca="1" si="226"/>
        <v>0</v>
      </c>
      <c r="H540" s="1049">
        <f t="shared" ca="1" si="226"/>
        <v>11461080.606711309</v>
      </c>
      <c r="I540" s="1049">
        <f t="shared" ca="1" si="226"/>
        <v>3599490.6234287526</v>
      </c>
      <c r="J540" s="1049">
        <f t="shared" ca="1" si="226"/>
        <v>4409376.0137002217</v>
      </c>
      <c r="K540" s="1049">
        <f t="shared" ca="1" si="226"/>
        <v>5401485.6167827724</v>
      </c>
      <c r="L540" s="1049">
        <f t="shared" ca="1" si="226"/>
        <v>6616819.8805588949</v>
      </c>
      <c r="M540" s="1049">
        <f t="shared" ref="M540" ca="1" si="227">SUM(OFFSET(M540,0,-1))-M569</f>
        <v>8105604.353684647</v>
      </c>
      <c r="N540" s="1260">
        <f t="shared" ca="1" si="226"/>
        <v>0</v>
      </c>
      <c r="O540" s="326"/>
      <c r="P540" s="324" t="s">
        <v>71</v>
      </c>
    </row>
    <row r="541" spans="1:16" ht="11.25" customHeight="1" x14ac:dyDescent="0.35">
      <c r="A541" s="235"/>
      <c r="B541" s="509" t="str">
        <f>IF(ReceivablesSpec,"1","")</f>
        <v/>
      </c>
      <c r="C541" s="439" t="s">
        <v>5140</v>
      </c>
      <c r="D541" s="1111"/>
      <c r="E541" s="329" t="s">
        <v>695</v>
      </c>
      <c r="F541" s="1373">
        <f ca="1">IF((-F$453)&lt;&gt;0,(F542/ABS(-F$453))*(F$539*30),0)</f>
        <v>0</v>
      </c>
      <c r="G541" s="1021"/>
      <c r="H541" s="1021"/>
      <c r="I541" s="1021"/>
      <c r="J541" s="1021"/>
      <c r="K541" s="1021"/>
      <c r="L541" s="1021"/>
      <c r="M541" s="1021"/>
      <c r="N541" s="1247"/>
      <c r="O541" s="326"/>
      <c r="P541" s="324" t="s">
        <v>71</v>
      </c>
    </row>
    <row r="542" spans="1:16" ht="11.25" customHeight="1" x14ac:dyDescent="0.35">
      <c r="A542" s="235"/>
      <c r="B542" s="450"/>
      <c r="C542" s="510" t="str">
        <f>$C$770</f>
        <v>Accounts receivable</v>
      </c>
      <c r="D542" s="1111"/>
      <c r="E542" s="329" t="s">
        <v>697</v>
      </c>
      <c r="F542" s="1373">
        <f ca="1">OFFSET($G$770, 0, F$5)</f>
        <v>0</v>
      </c>
      <c r="G542" s="1022">
        <f ca="1">IF(ISBLANK(OFFSET(G542,1,0)),IF(OFFSET(G542,-1,0)&lt;0,0,OFFSET(G542,0,-1)),OFFSET(G542,1,0))</f>
        <v>0</v>
      </c>
      <c r="H542" s="1022">
        <f ca="1">IF(ISBLANK(OFFSET(H542,1,0)),OFFSET(H542,0,-1)-H544,OFFSET(H542,1,0))</f>
        <v>11461080.606711309</v>
      </c>
      <c r="I542" s="1022">
        <f t="shared" ref="I542:N542" ca="1" si="228">IF(ISBLANK(OFFSET(I542,1,0)),OFFSET(I542,0,-1)-I544,OFFSET(I542,1,0))</f>
        <v>3599490.6234287526</v>
      </c>
      <c r="J542" s="1022">
        <f t="shared" ca="1" si="228"/>
        <v>4409376.0137002217</v>
      </c>
      <c r="K542" s="1022">
        <f t="shared" ca="1" si="228"/>
        <v>5401485.6167827724</v>
      </c>
      <c r="L542" s="1022">
        <f t="shared" ca="1" si="228"/>
        <v>6616819.8805588949</v>
      </c>
      <c r="M542" s="1022">
        <f t="shared" ref="M542" ca="1" si="229">IF(ISBLANK(OFFSET(M542,1,0)),OFFSET(M542,0,-1)-M544,OFFSET(M542,1,0))</f>
        <v>8105604.353684647</v>
      </c>
      <c r="N542" s="1247">
        <f t="shared" ca="1" si="228"/>
        <v>0</v>
      </c>
      <c r="O542" s="326"/>
      <c r="P542" s="324" t="s">
        <v>71</v>
      </c>
    </row>
    <row r="543" spans="1:16" ht="11.25" customHeight="1" x14ac:dyDescent="0.35">
      <c r="A543" s="235"/>
      <c r="B543" s="450"/>
      <c r="C543" s="439" t="s">
        <v>5141</v>
      </c>
      <c r="D543" s="1111"/>
      <c r="E543" s="329" t="s">
        <v>698</v>
      </c>
      <c r="F543" s="1374"/>
      <c r="G543" s="1021"/>
      <c r="H543" s="1021">
        <v>11461080.606711309</v>
      </c>
      <c r="I543" s="1021">
        <v>3599490.6234287526</v>
      </c>
      <c r="J543" s="1021">
        <v>4409376.0137002217</v>
      </c>
      <c r="K543" s="1021">
        <v>5401485.6167827724</v>
      </c>
      <c r="L543" s="1021">
        <v>6616819.8805588949</v>
      </c>
      <c r="M543" s="1021">
        <v>8105604.353684647</v>
      </c>
      <c r="N543" s="1261">
        <v>0</v>
      </c>
      <c r="O543" s="326"/>
      <c r="P543" s="324" t="s">
        <v>71</v>
      </c>
    </row>
    <row r="544" spans="1:16" ht="11.25" customHeight="1" x14ac:dyDescent="0.35">
      <c r="A544" s="235"/>
      <c r="B544" s="450"/>
      <c r="C544" s="511" t="s">
        <v>5171</v>
      </c>
      <c r="D544" s="1111"/>
      <c r="E544" s="329" t="s">
        <v>699</v>
      </c>
      <c r="F544" s="1375">
        <f ca="1">SUM(OFFSET(F542,0,-1))-F542</f>
        <v>0</v>
      </c>
      <c r="G544" s="1022">
        <f ca="1">IF(NOT(ISBLANK(OFFSET(G$542,1,0))),OFFSET(G$542,0,-1)-G$542,IF(OFFSET(G$542,-1,0)&lt;0,OFFSET(G$542,0,-1),0))</f>
        <v>0</v>
      </c>
      <c r="H544" s="1022">
        <f t="shared" ref="H544:M544" ca="1" si="230">IF(NOT(ISBLANK(H$543)),OFFSET(H$542,0,-1)-H$542,IF(H$541&lt;&gt;0,(IF(H$541&gt;0,MIN(H$541,H$539*30),MAX(H$541,-H$539*30))/(H$539*30))*(-H$453),0))</f>
        <v>-11461080.606711309</v>
      </c>
      <c r="I544" s="1022">
        <f t="shared" ca="1" si="230"/>
        <v>7861589.9832825568</v>
      </c>
      <c r="J544" s="1022">
        <f t="shared" ca="1" si="230"/>
        <v>-809885.39027146902</v>
      </c>
      <c r="K544" s="1022">
        <f t="shared" ca="1" si="230"/>
        <v>-992109.60308255069</v>
      </c>
      <c r="L544" s="1022">
        <f t="shared" ca="1" si="230"/>
        <v>-1215334.2637761226</v>
      </c>
      <c r="M544" s="1022">
        <f t="shared" ca="1" si="230"/>
        <v>-1488784.4731257521</v>
      </c>
      <c r="N544" s="1247">
        <f ca="1">IF(AND(N$5=-99,NoResCol=1),0,OFFSET(N542,0,-1)-OFFSET(N542,1,0))</f>
        <v>8105604.353684647</v>
      </c>
      <c r="O544" s="326"/>
      <c r="P544" s="324" t="s">
        <v>71</v>
      </c>
    </row>
    <row r="545" spans="1:16" ht="11.25" hidden="1" customHeight="1" x14ac:dyDescent="0.35">
      <c r="A545" s="235"/>
      <c r="B545" s="450">
        <v>2</v>
      </c>
      <c r="C545" s="512" t="s">
        <v>5140</v>
      </c>
      <c r="D545" s="1110"/>
      <c r="E545" s="385" t="s">
        <v>5018</v>
      </c>
      <c r="F545" s="1376">
        <f ca="1">IF((-F$453)&lt;&gt;0,(F546/ABS(-F$453))*(F$539*30),0)</f>
        <v>0</v>
      </c>
      <c r="G545" s="1051"/>
      <c r="H545" s="1051"/>
      <c r="I545" s="1051"/>
      <c r="J545" s="1051"/>
      <c r="K545" s="1051"/>
      <c r="L545" s="1051"/>
      <c r="M545" s="1051"/>
      <c r="N545" s="1253"/>
      <c r="O545" s="326"/>
      <c r="P545" s="324" t="s">
        <v>73</v>
      </c>
    </row>
    <row r="546" spans="1:16" ht="11.25" hidden="1" customHeight="1" x14ac:dyDescent="0.35">
      <c r="A546" s="235"/>
      <c r="B546" s="450"/>
      <c r="C546" s="1380" t="s">
        <v>5010</v>
      </c>
      <c r="D546" s="1111"/>
      <c r="E546" s="329" t="s">
        <v>5022</v>
      </c>
      <c r="F546" s="1381"/>
      <c r="G546" s="1022">
        <f ca="1">IF(ISBLANK(OFFSET(G546,1,0)),IF(OFFSET(G546,-1,0)&lt;0,0,OFFSET(G546,0,-1)),OFFSET(G546,1,0))</f>
        <v>0</v>
      </c>
      <c r="H546" s="1022">
        <f ca="1">IF(ISBLANK(OFFSET(H546,1,0)),OFFSET(H546,0,-1)-H548,OFFSET(H546,1,0))</f>
        <v>0</v>
      </c>
      <c r="I546" s="1022">
        <f t="shared" ref="I546:N546" ca="1" si="231">IF(ISBLANK(OFFSET(I546,1,0)),OFFSET(I546,0,-1)-I548,OFFSET(I546,1,0))</f>
        <v>0</v>
      </c>
      <c r="J546" s="1022">
        <f t="shared" ca="1" si="231"/>
        <v>0</v>
      </c>
      <c r="K546" s="1022">
        <f t="shared" ca="1" si="231"/>
        <v>0</v>
      </c>
      <c r="L546" s="1022">
        <f t="shared" ca="1" si="231"/>
        <v>0</v>
      </c>
      <c r="M546" s="1022">
        <f t="shared" ref="M546" ca="1" si="232">IF(ISBLANK(OFFSET(M546,1,0)),OFFSET(M546,0,-1)-M548,OFFSET(M546,1,0))</f>
        <v>0</v>
      </c>
      <c r="N546" s="1247">
        <f t="shared" ca="1" si="231"/>
        <v>0</v>
      </c>
      <c r="O546" s="326"/>
      <c r="P546" s="324" t="s">
        <v>73</v>
      </c>
    </row>
    <row r="547" spans="1:16" ht="11.25" hidden="1" customHeight="1" x14ac:dyDescent="0.35">
      <c r="A547" s="235"/>
      <c r="B547" s="450"/>
      <c r="C547" s="439" t="s">
        <v>5141</v>
      </c>
      <c r="D547" s="1111"/>
      <c r="E547" s="329" t="s">
        <v>5026</v>
      </c>
      <c r="F547" s="1375"/>
      <c r="G547" s="1021"/>
      <c r="H547" s="1021">
        <v>0</v>
      </c>
      <c r="I547" s="1021">
        <v>0</v>
      </c>
      <c r="J547" s="1021">
        <v>0</v>
      </c>
      <c r="K547" s="1021">
        <v>0</v>
      </c>
      <c r="L547" s="1021">
        <v>0</v>
      </c>
      <c r="M547" s="1021">
        <v>0</v>
      </c>
      <c r="N547" s="1261">
        <v>0</v>
      </c>
      <c r="O547" s="326"/>
      <c r="P547" s="324" t="s">
        <v>73</v>
      </c>
    </row>
    <row r="548" spans="1:16" ht="11.25" hidden="1" customHeight="1" x14ac:dyDescent="0.35">
      <c r="A548" s="235"/>
      <c r="B548" s="450"/>
      <c r="C548" s="511" t="s">
        <v>5171</v>
      </c>
      <c r="D548" s="1111"/>
      <c r="E548" s="329" t="s">
        <v>5030</v>
      </c>
      <c r="F548" s="1375">
        <f ca="1">SUM(OFFSET(F546,0,-1))-F546</f>
        <v>0</v>
      </c>
      <c r="G548" s="1022">
        <f ca="1">IF(NOT(ISBLANK(OFFSET(G$546,1,0))),OFFSET(G$546,0,-1)-G$546,IF(OFFSET(G$546,-1,0)&lt;0,OFFSET(G$546,0,-1),0))</f>
        <v>0</v>
      </c>
      <c r="H548" s="1022">
        <f t="shared" ref="H548:M548" ca="1" si="233">IF(NOT(ISBLANK(H$547)),OFFSET(H$546,0,-1)-H$546,IF(H$545&lt;&gt;0,(IF(H$545&gt;0,MIN(H$545,H$539*30),MAX(H$545,-H$539*30))/(H$539*30))*(-H$453),0))</f>
        <v>0</v>
      </c>
      <c r="I548" s="1022">
        <f t="shared" ca="1" si="233"/>
        <v>0</v>
      </c>
      <c r="J548" s="1022">
        <f t="shared" ca="1" si="233"/>
        <v>0</v>
      </c>
      <c r="K548" s="1022">
        <f t="shared" ca="1" si="233"/>
        <v>0</v>
      </c>
      <c r="L548" s="1022">
        <f t="shared" ca="1" si="233"/>
        <v>0</v>
      </c>
      <c r="M548" s="1022">
        <f t="shared" ca="1" si="233"/>
        <v>0</v>
      </c>
      <c r="N548" s="1247">
        <f ca="1">IF(AND(N$5=-99,NoResCol=1),0,OFFSET(N546,0,-1)-OFFSET(N546,1,0))</f>
        <v>0</v>
      </c>
      <c r="O548" s="326"/>
      <c r="P548" s="324" t="s">
        <v>73</v>
      </c>
    </row>
    <row r="549" spans="1:16" ht="11.25" hidden="1" customHeight="1" x14ac:dyDescent="0.35">
      <c r="A549" s="235"/>
      <c r="B549" s="450">
        <v>3</v>
      </c>
      <c r="C549" s="512" t="s">
        <v>5140</v>
      </c>
      <c r="D549" s="1110"/>
      <c r="E549" s="385" t="s">
        <v>5019</v>
      </c>
      <c r="F549" s="1376">
        <f ca="1">IF((-F$453)&lt;&gt;0,(F550/ABS(-F$453))*(F$539*30),0)</f>
        <v>0</v>
      </c>
      <c r="G549" s="1051"/>
      <c r="H549" s="1051"/>
      <c r="I549" s="1051"/>
      <c r="J549" s="1051"/>
      <c r="K549" s="1051"/>
      <c r="L549" s="1051"/>
      <c r="M549" s="1051"/>
      <c r="N549" s="1253"/>
      <c r="O549" s="326"/>
      <c r="P549" s="324" t="s">
        <v>73</v>
      </c>
    </row>
    <row r="550" spans="1:16" ht="11.25" hidden="1" customHeight="1" x14ac:dyDescent="0.35">
      <c r="A550" s="235"/>
      <c r="B550" s="450"/>
      <c r="C550" s="1380" t="s">
        <v>5011</v>
      </c>
      <c r="D550" s="1111"/>
      <c r="E550" s="329" t="s">
        <v>5023</v>
      </c>
      <c r="F550" s="1381"/>
      <c r="G550" s="1022">
        <f ca="1">IF(ISBLANK(OFFSET(G550,1,0)),IF(OFFSET(G550,-1,0)&lt;0,0,OFFSET(G550,0,-1)),OFFSET(G550,1,0))</f>
        <v>0</v>
      </c>
      <c r="H550" s="1022">
        <f ca="1">IF(ISBLANK(OFFSET(H550,1,0)),OFFSET(H550,0,-1)-H552,OFFSET(H550,1,0))</f>
        <v>0</v>
      </c>
      <c r="I550" s="1022">
        <f t="shared" ref="I550:N550" ca="1" si="234">IF(ISBLANK(OFFSET(I550,1,0)),OFFSET(I550,0,-1)-I552,OFFSET(I550,1,0))</f>
        <v>0</v>
      </c>
      <c r="J550" s="1022">
        <f t="shared" ca="1" si="234"/>
        <v>0</v>
      </c>
      <c r="K550" s="1022">
        <f t="shared" ca="1" si="234"/>
        <v>0</v>
      </c>
      <c r="L550" s="1022">
        <f t="shared" ca="1" si="234"/>
        <v>0</v>
      </c>
      <c r="M550" s="1022">
        <f t="shared" ref="M550" ca="1" si="235">IF(ISBLANK(OFFSET(M550,1,0)),OFFSET(M550,0,-1)-M552,OFFSET(M550,1,0))</f>
        <v>0</v>
      </c>
      <c r="N550" s="1247">
        <f t="shared" ca="1" si="234"/>
        <v>0</v>
      </c>
      <c r="O550" s="326"/>
      <c r="P550" s="324" t="s">
        <v>73</v>
      </c>
    </row>
    <row r="551" spans="1:16" ht="11.25" hidden="1" customHeight="1" x14ac:dyDescent="0.35">
      <c r="A551" s="235"/>
      <c r="B551" s="450"/>
      <c r="C551" s="439" t="s">
        <v>5141</v>
      </c>
      <c r="D551" s="1111"/>
      <c r="E551" s="329" t="s">
        <v>5027</v>
      </c>
      <c r="F551" s="1375"/>
      <c r="G551" s="1021"/>
      <c r="H551" s="1021">
        <v>0</v>
      </c>
      <c r="I551" s="1021">
        <v>0</v>
      </c>
      <c r="J551" s="1021">
        <v>0</v>
      </c>
      <c r="K551" s="1021">
        <v>0</v>
      </c>
      <c r="L551" s="1021">
        <v>0</v>
      </c>
      <c r="M551" s="1021">
        <v>0</v>
      </c>
      <c r="N551" s="1261">
        <v>0</v>
      </c>
      <c r="O551" s="326"/>
      <c r="P551" s="324" t="s">
        <v>73</v>
      </c>
    </row>
    <row r="552" spans="1:16" ht="11.25" hidden="1" customHeight="1" x14ac:dyDescent="0.35">
      <c r="A552" s="235"/>
      <c r="B552" s="450"/>
      <c r="C552" s="511" t="s">
        <v>5171</v>
      </c>
      <c r="D552" s="1111"/>
      <c r="E552" s="329" t="s">
        <v>5032</v>
      </c>
      <c r="F552" s="1375">
        <f ca="1">SUM(OFFSET(F550,0,-1))-F550</f>
        <v>0</v>
      </c>
      <c r="G552" s="1022">
        <f ca="1">IF(NOT(ISBLANK(OFFSET(G$550,1,0))),OFFSET(G$550,0,-1)-G$550,IF(OFFSET(G$550,-1,0)&lt;0,OFFSET(G$550,0,-1),0))</f>
        <v>0</v>
      </c>
      <c r="H552" s="1022">
        <f t="shared" ref="H552:M552" ca="1" si="236">IF(NOT(ISBLANK(H$551)),OFFSET(H$550,0,-1)-H$550,IF(H$549&lt;&gt;0,(IF(H$549&gt;0,MIN(H$549,H$539*30),MAX(H$549,-H$539*30))/(H$539*30))*(-H$453),0))</f>
        <v>0</v>
      </c>
      <c r="I552" s="1022">
        <f t="shared" ca="1" si="236"/>
        <v>0</v>
      </c>
      <c r="J552" s="1022">
        <f t="shared" ca="1" si="236"/>
        <v>0</v>
      </c>
      <c r="K552" s="1022">
        <f t="shared" ca="1" si="236"/>
        <v>0</v>
      </c>
      <c r="L552" s="1022">
        <f t="shared" ca="1" si="236"/>
        <v>0</v>
      </c>
      <c r="M552" s="1022">
        <f t="shared" ca="1" si="236"/>
        <v>0</v>
      </c>
      <c r="N552" s="1247">
        <f ca="1">IF(AND(N$5=-99,NoResCol=1),0,OFFSET(N550,0,-1)-OFFSET(N550,1,0))</f>
        <v>0</v>
      </c>
      <c r="O552" s="326"/>
      <c r="P552" s="324" t="s">
        <v>73</v>
      </c>
    </row>
    <row r="553" spans="1:16" ht="11.25" hidden="1" customHeight="1" x14ac:dyDescent="0.35">
      <c r="A553" s="235"/>
      <c r="B553" s="450">
        <v>4</v>
      </c>
      <c r="C553" s="512" t="s">
        <v>5140</v>
      </c>
      <c r="D553" s="1110"/>
      <c r="E553" s="385" t="s">
        <v>5020</v>
      </c>
      <c r="F553" s="1376">
        <f ca="1">IF((-F$453)&lt;&gt;0,(F554/ABS(-F$453))*(F$539*30),0)</f>
        <v>0</v>
      </c>
      <c r="G553" s="1051"/>
      <c r="H553" s="1051"/>
      <c r="I553" s="1051"/>
      <c r="J553" s="1051"/>
      <c r="K553" s="1051"/>
      <c r="L553" s="1051"/>
      <c r="M553" s="1051"/>
      <c r="N553" s="1253"/>
      <c r="O553" s="326"/>
      <c r="P553" s="324" t="s">
        <v>73</v>
      </c>
    </row>
    <row r="554" spans="1:16" ht="11.25" hidden="1" customHeight="1" x14ac:dyDescent="0.35">
      <c r="A554" s="235"/>
      <c r="B554" s="450"/>
      <c r="C554" s="1380" t="s">
        <v>5016</v>
      </c>
      <c r="D554" s="1111"/>
      <c r="E554" s="329" t="s">
        <v>5024</v>
      </c>
      <c r="F554" s="1381"/>
      <c r="G554" s="1022">
        <f ca="1">IF(ISBLANK(OFFSET(G554,1,0)),IF(OFFSET(G554,-1,0)&lt;0,0,OFFSET(G554,0,-1)),OFFSET(G554,1,0))</f>
        <v>0</v>
      </c>
      <c r="H554" s="1022">
        <f ca="1">IF(ISBLANK(OFFSET(H554,1,0)),OFFSET(H554,0,-1)-H556,OFFSET(H554,1,0))</f>
        <v>0</v>
      </c>
      <c r="I554" s="1022">
        <f t="shared" ref="I554:N554" ca="1" si="237">IF(ISBLANK(OFFSET(I554,1,0)),OFFSET(I554,0,-1)-I556,OFFSET(I554,1,0))</f>
        <v>0</v>
      </c>
      <c r="J554" s="1022">
        <f t="shared" ca="1" si="237"/>
        <v>0</v>
      </c>
      <c r="K554" s="1022">
        <f t="shared" ca="1" si="237"/>
        <v>0</v>
      </c>
      <c r="L554" s="1022">
        <f t="shared" ca="1" si="237"/>
        <v>0</v>
      </c>
      <c r="M554" s="1022">
        <f t="shared" ref="M554" ca="1" si="238">IF(ISBLANK(OFFSET(M554,1,0)),OFFSET(M554,0,-1)-M556,OFFSET(M554,1,0))</f>
        <v>0</v>
      </c>
      <c r="N554" s="1247">
        <f t="shared" ca="1" si="237"/>
        <v>0</v>
      </c>
      <c r="O554" s="326"/>
      <c r="P554" s="324" t="s">
        <v>73</v>
      </c>
    </row>
    <row r="555" spans="1:16" ht="11.25" hidden="1" customHeight="1" x14ac:dyDescent="0.35">
      <c r="A555" s="235"/>
      <c r="B555" s="450"/>
      <c r="C555" s="439" t="s">
        <v>5141</v>
      </c>
      <c r="D555" s="1111"/>
      <c r="E555" s="329" t="s">
        <v>5028</v>
      </c>
      <c r="F555" s="1375"/>
      <c r="G555" s="1021"/>
      <c r="H555" s="1021">
        <v>0</v>
      </c>
      <c r="I555" s="1021">
        <v>0</v>
      </c>
      <c r="J555" s="1021">
        <v>0</v>
      </c>
      <c r="K555" s="1021">
        <v>0</v>
      </c>
      <c r="L555" s="1021">
        <v>0</v>
      </c>
      <c r="M555" s="1021">
        <v>0</v>
      </c>
      <c r="N555" s="1261">
        <v>0</v>
      </c>
      <c r="O555" s="326"/>
      <c r="P555" s="324" t="s">
        <v>73</v>
      </c>
    </row>
    <row r="556" spans="1:16" ht="11.25" hidden="1" customHeight="1" x14ac:dyDescent="0.35">
      <c r="A556" s="235"/>
      <c r="B556" s="450"/>
      <c r="C556" s="511" t="s">
        <v>5171</v>
      </c>
      <c r="D556" s="1111"/>
      <c r="E556" s="329" t="s">
        <v>5033</v>
      </c>
      <c r="F556" s="1375">
        <f ca="1">SUM(OFFSET(F554,0,-1))-F554</f>
        <v>0</v>
      </c>
      <c r="G556" s="1022">
        <f ca="1">IF(NOT(ISBLANK(OFFSET(G$554,1,0))),OFFSET(G$554,0,-1)-G$554,IF(OFFSET(G$554,-1,0)&lt;0,OFFSET(G$554,0,-1),0))</f>
        <v>0</v>
      </c>
      <c r="H556" s="1022">
        <f t="shared" ref="H556:M556" ca="1" si="239">IF(NOT(ISBLANK(H$555)),OFFSET(H$554,0,-1)-H$554,IF(H$553&lt;&gt;0,(IF(H$553&gt;0,MIN(H$553,H$539*30),MAX(H$553,-H$539*30))/(H$539*30))*(-H$453),0))</f>
        <v>0</v>
      </c>
      <c r="I556" s="1022">
        <f t="shared" ca="1" si="239"/>
        <v>0</v>
      </c>
      <c r="J556" s="1022">
        <f t="shared" ca="1" si="239"/>
        <v>0</v>
      </c>
      <c r="K556" s="1022">
        <f t="shared" ca="1" si="239"/>
        <v>0</v>
      </c>
      <c r="L556" s="1022">
        <f t="shared" ca="1" si="239"/>
        <v>0</v>
      </c>
      <c r="M556" s="1022">
        <f t="shared" ca="1" si="239"/>
        <v>0</v>
      </c>
      <c r="N556" s="1247">
        <f ca="1">IF(AND(N$5=-99,NoResCol=1),0,OFFSET(N554,0,-1)-OFFSET(N554,1,0))</f>
        <v>0</v>
      </c>
      <c r="O556" s="326"/>
      <c r="P556" s="324" t="s">
        <v>73</v>
      </c>
    </row>
    <row r="557" spans="1:16" ht="11.25" hidden="1" customHeight="1" x14ac:dyDescent="0.35">
      <c r="A557" s="235"/>
      <c r="B557" s="450">
        <v>5</v>
      </c>
      <c r="C557" s="512" t="s">
        <v>5140</v>
      </c>
      <c r="D557" s="1110"/>
      <c r="E557" s="385" t="s">
        <v>5021</v>
      </c>
      <c r="F557" s="1376">
        <f ca="1">IF((-F$453)&lt;&gt;0,(F558/ABS(-F$453))*(F$539*30),0)</f>
        <v>0</v>
      </c>
      <c r="G557" s="1051"/>
      <c r="H557" s="1051"/>
      <c r="I557" s="1051"/>
      <c r="J557" s="1051"/>
      <c r="K557" s="1051"/>
      <c r="L557" s="1051"/>
      <c r="M557" s="1051"/>
      <c r="N557" s="1253"/>
      <c r="O557" s="326"/>
      <c r="P557" s="324" t="s">
        <v>73</v>
      </c>
    </row>
    <row r="558" spans="1:16" ht="11.25" hidden="1" customHeight="1" x14ac:dyDescent="0.35">
      <c r="A558" s="235"/>
      <c r="B558" s="450"/>
      <c r="C558" s="1380" t="s">
        <v>5017</v>
      </c>
      <c r="D558" s="1111"/>
      <c r="E558" s="329" t="s">
        <v>5025</v>
      </c>
      <c r="F558" s="1381"/>
      <c r="G558" s="1022">
        <f ca="1">IF(ISBLANK(OFFSET(G558,1,0)),IF(OFFSET(G558,-1,0)&lt;0,0,OFFSET(G558,0,-1)),OFFSET(G558,1,0))</f>
        <v>0</v>
      </c>
      <c r="H558" s="1022">
        <f ca="1">IF(ISBLANK(OFFSET(H558,1,0)),OFFSET(H558,0,-1)-H560,OFFSET(H558,1,0))</f>
        <v>0</v>
      </c>
      <c r="I558" s="1022">
        <f t="shared" ref="I558:N558" ca="1" si="240">IF(ISBLANK(OFFSET(I558,1,0)),OFFSET(I558,0,-1)-I560,OFFSET(I558,1,0))</f>
        <v>0</v>
      </c>
      <c r="J558" s="1022">
        <f t="shared" ca="1" si="240"/>
        <v>0</v>
      </c>
      <c r="K558" s="1022">
        <f t="shared" ca="1" si="240"/>
        <v>0</v>
      </c>
      <c r="L558" s="1022">
        <f t="shared" ca="1" si="240"/>
        <v>0</v>
      </c>
      <c r="M558" s="1022">
        <f t="shared" ref="M558" ca="1" si="241">IF(ISBLANK(OFFSET(M558,1,0)),OFFSET(M558,0,-1)-M560,OFFSET(M558,1,0))</f>
        <v>0</v>
      </c>
      <c r="N558" s="1247">
        <f t="shared" ca="1" si="240"/>
        <v>0</v>
      </c>
      <c r="O558" s="326"/>
      <c r="P558" s="324" t="s">
        <v>73</v>
      </c>
    </row>
    <row r="559" spans="1:16" ht="11.25" hidden="1" customHeight="1" x14ac:dyDescent="0.35">
      <c r="A559" s="235"/>
      <c r="B559" s="450"/>
      <c r="C559" s="439" t="s">
        <v>5141</v>
      </c>
      <c r="D559" s="1111"/>
      <c r="E559" s="329" t="s">
        <v>5029</v>
      </c>
      <c r="F559" s="1375"/>
      <c r="G559" s="1021"/>
      <c r="H559" s="1021">
        <v>0</v>
      </c>
      <c r="I559" s="1021">
        <v>0</v>
      </c>
      <c r="J559" s="1021">
        <v>0</v>
      </c>
      <c r="K559" s="1021">
        <v>0</v>
      </c>
      <c r="L559" s="1021">
        <v>0</v>
      </c>
      <c r="M559" s="1021">
        <v>0</v>
      </c>
      <c r="N559" s="1261">
        <v>0</v>
      </c>
      <c r="O559" s="326"/>
      <c r="P559" s="324" t="s">
        <v>73</v>
      </c>
    </row>
    <row r="560" spans="1:16" ht="11.25" hidden="1" customHeight="1" x14ac:dyDescent="0.35">
      <c r="A560" s="235"/>
      <c r="B560" s="450"/>
      <c r="C560" s="439" t="s">
        <v>5171</v>
      </c>
      <c r="D560" s="1111"/>
      <c r="E560" s="329" t="s">
        <v>5031</v>
      </c>
      <c r="F560" s="1375">
        <f ca="1">SUM(OFFSET(F558,0,-1))-F558</f>
        <v>0</v>
      </c>
      <c r="G560" s="1022">
        <f ca="1">IF(NOT(ISBLANK(OFFSET(G$558,1,0))),OFFSET(G$558,0,-1)-G$558,IF(OFFSET(G$558,-1,0)&lt;0,OFFSET(G$558,0,-1),0))</f>
        <v>0</v>
      </c>
      <c r="H560" s="1022">
        <f t="shared" ref="H560:M560" ca="1" si="242">IF(NOT(ISBLANK(H$559)),OFFSET(H$558,0,-1)-H$558,IF(H$557&lt;&gt;0,(IF(H$557&gt;0,MIN(H$557,H$539*30),MAX(H$557,-H$539*30))/(H$539*30))*(-H$453),0))</f>
        <v>0</v>
      </c>
      <c r="I560" s="1022">
        <f t="shared" ca="1" si="242"/>
        <v>0</v>
      </c>
      <c r="J560" s="1022">
        <f t="shared" ca="1" si="242"/>
        <v>0</v>
      </c>
      <c r="K560" s="1022">
        <f t="shared" ca="1" si="242"/>
        <v>0</v>
      </c>
      <c r="L560" s="1022">
        <f t="shared" ca="1" si="242"/>
        <v>0</v>
      </c>
      <c r="M560" s="1022">
        <f t="shared" ca="1" si="242"/>
        <v>0</v>
      </c>
      <c r="N560" s="1247">
        <f ca="1">IF(AND(N$5=-99,NoResCol=1),0,OFFSET(N558,0,-1)-OFFSET(N558,1,0))</f>
        <v>0</v>
      </c>
      <c r="O560" s="326"/>
      <c r="P560" s="324" t="s">
        <v>73</v>
      </c>
    </row>
    <row r="561" spans="1:16" ht="11.25" hidden="1" customHeight="1" x14ac:dyDescent="0.35">
      <c r="A561" s="235"/>
      <c r="B561" s="450"/>
      <c r="C561" s="512" t="s">
        <v>5357</v>
      </c>
      <c r="D561" s="1110"/>
      <c r="E561" s="1243" t="s">
        <v>5358</v>
      </c>
      <c r="F561" s="1377">
        <f ca="1">OFFSET($E$771,0,F$8)</f>
        <v>0</v>
      </c>
      <c r="G561" s="1050">
        <f t="shared" ref="G561:M561" ca="1" si="243">G$771</f>
        <v>0</v>
      </c>
      <c r="H561" s="1050">
        <f t="shared" ca="1" si="243"/>
        <v>0</v>
      </c>
      <c r="I561" s="1050">
        <f t="shared" ca="1" si="243"/>
        <v>0</v>
      </c>
      <c r="J561" s="1050">
        <f t="shared" ca="1" si="243"/>
        <v>0</v>
      </c>
      <c r="K561" s="1050">
        <f t="shared" ca="1" si="243"/>
        <v>0</v>
      </c>
      <c r="L561" s="1050">
        <f t="shared" ca="1" si="243"/>
        <v>0</v>
      </c>
      <c r="M561" s="1050">
        <f t="shared" ca="1" si="243"/>
        <v>0</v>
      </c>
      <c r="N561" s="1263"/>
      <c r="O561" s="326"/>
      <c r="P561" s="324" t="s">
        <v>73</v>
      </c>
    </row>
    <row r="562" spans="1:16" ht="11.25" hidden="1" customHeight="1" x14ac:dyDescent="0.35">
      <c r="A562" s="235"/>
      <c r="B562" s="450"/>
      <c r="C562" s="439" t="s">
        <v>5376</v>
      </c>
      <c r="D562" s="1111"/>
      <c r="E562" s="1242" t="s">
        <v>5359</v>
      </c>
      <c r="F562" s="1375">
        <f ca="1">SUM(OFFSET(F561,0,-1))-F561</f>
        <v>0</v>
      </c>
      <c r="G562" s="1021"/>
      <c r="H562" s="1021"/>
      <c r="I562" s="1021"/>
      <c r="J562" s="1021"/>
      <c r="K562" s="1021"/>
      <c r="L562" s="1021"/>
      <c r="M562" s="1021"/>
      <c r="N562" s="1247">
        <f ca="1">IF(AND(N$5=-99,NoResCol=1),0,OFFSET($E$561,0,N$8-1)-OFFSET($E$561,0,N$8))</f>
        <v>0</v>
      </c>
      <c r="O562" s="326"/>
      <c r="P562" s="324" t="s">
        <v>73</v>
      </c>
    </row>
    <row r="563" spans="1:16" ht="11.25" customHeight="1" x14ac:dyDescent="0.35">
      <c r="A563" s="235"/>
      <c r="B563" s="450"/>
      <c r="C563" s="512" t="s">
        <v>700</v>
      </c>
      <c r="D563" s="1110"/>
      <c r="E563" s="513" t="s">
        <v>701</v>
      </c>
      <c r="F563" s="1377">
        <f ca="1">OFFSET($E$772,0,F$8)</f>
        <v>0</v>
      </c>
      <c r="G563" s="1050">
        <f ca="1">G772</f>
        <v>0</v>
      </c>
      <c r="H563" s="1050">
        <f t="shared" ref="H563:M563" ca="1" si="244">OFFSET(H563,0,-1)-OFFSET(H563,1,0)</f>
        <v>0</v>
      </c>
      <c r="I563" s="1050">
        <f t="shared" ca="1" si="244"/>
        <v>0</v>
      </c>
      <c r="J563" s="1050">
        <f t="shared" ca="1" si="244"/>
        <v>0</v>
      </c>
      <c r="K563" s="1050">
        <f t="shared" ca="1" si="244"/>
        <v>0</v>
      </c>
      <c r="L563" s="1050">
        <f t="shared" ca="1" si="244"/>
        <v>0</v>
      </c>
      <c r="M563" s="1050">
        <f t="shared" ca="1" si="244"/>
        <v>0</v>
      </c>
      <c r="N563" s="1263"/>
      <c r="O563" s="326"/>
      <c r="P563" s="324" t="s">
        <v>71</v>
      </c>
    </row>
    <row r="564" spans="1:16" ht="11.25" customHeight="1" x14ac:dyDescent="0.35">
      <c r="A564" s="235"/>
      <c r="B564" s="450"/>
      <c r="C564" s="439" t="s">
        <v>5211</v>
      </c>
      <c r="D564" s="1111"/>
      <c r="E564" s="329" t="s">
        <v>702</v>
      </c>
      <c r="F564" s="1375">
        <f ca="1">SUM(OFFSET(F563,0,-1))-F563</f>
        <v>0</v>
      </c>
      <c r="G564" s="1021"/>
      <c r="H564" s="1021"/>
      <c r="I564" s="1021"/>
      <c r="J564" s="1021"/>
      <c r="K564" s="1021"/>
      <c r="L564" s="1021"/>
      <c r="M564" s="1021"/>
      <c r="N564" s="1247">
        <f ca="1">IF(AND(N$5=-99,NoResCol=1),0,OFFSET($E$563,0,N$8-1)-OFFSET($E$563,0,N$8))</f>
        <v>0</v>
      </c>
      <c r="O564" s="326"/>
      <c r="P564" s="324" t="s">
        <v>71</v>
      </c>
    </row>
    <row r="565" spans="1:16" ht="11.25" hidden="1" customHeight="1" x14ac:dyDescent="0.35">
      <c r="A565" s="235"/>
      <c r="B565" s="450"/>
      <c r="C565" s="512" t="s">
        <v>5366</v>
      </c>
      <c r="D565" s="1110"/>
      <c r="E565" s="1243" t="s">
        <v>5373</v>
      </c>
      <c r="F565" s="1377">
        <f ca="1">OFFSET($E$773,0,F$8)</f>
        <v>0</v>
      </c>
      <c r="G565" s="1050">
        <f t="shared" ref="G565:M565" ca="1" si="245">G$773</f>
        <v>0</v>
      </c>
      <c r="H565" s="1050">
        <f t="shared" ca="1" si="245"/>
        <v>0</v>
      </c>
      <c r="I565" s="1050">
        <f t="shared" ca="1" si="245"/>
        <v>0</v>
      </c>
      <c r="J565" s="1050">
        <f t="shared" ca="1" si="245"/>
        <v>0</v>
      </c>
      <c r="K565" s="1050">
        <f t="shared" ca="1" si="245"/>
        <v>0</v>
      </c>
      <c r="L565" s="1050">
        <f t="shared" ca="1" si="245"/>
        <v>0</v>
      </c>
      <c r="M565" s="1050">
        <f t="shared" ca="1" si="245"/>
        <v>0</v>
      </c>
      <c r="N565" s="1263"/>
      <c r="O565" s="326"/>
      <c r="P565" s="324" t="s">
        <v>73</v>
      </c>
    </row>
    <row r="566" spans="1:16" ht="11.25" hidden="1" customHeight="1" x14ac:dyDescent="0.35">
      <c r="A566" s="235"/>
      <c r="B566" s="450"/>
      <c r="C566" s="439" t="s">
        <v>5375</v>
      </c>
      <c r="D566" s="1111"/>
      <c r="E566" s="1242" t="s">
        <v>5374</v>
      </c>
      <c r="F566" s="1375">
        <f ca="1">SUM(OFFSET(F565,0,-1))-F565</f>
        <v>0</v>
      </c>
      <c r="G566" s="1021"/>
      <c r="H566" s="1021"/>
      <c r="I566" s="1021"/>
      <c r="J566" s="1021"/>
      <c r="K566" s="1021"/>
      <c r="L566" s="1021"/>
      <c r="M566" s="1021"/>
      <c r="N566" s="1247">
        <f ca="1">IF(AND(N$5=-99,NoResCol=1),0,OFFSET($E$565,0,N$8-1)-OFFSET($E$565,0,N$8))</f>
        <v>0</v>
      </c>
      <c r="O566" s="326"/>
      <c r="P566" s="324" t="s">
        <v>73</v>
      </c>
    </row>
    <row r="567" spans="1:16" ht="11.25" customHeight="1" x14ac:dyDescent="0.35">
      <c r="A567" s="439"/>
      <c r="B567" s="450"/>
      <c r="C567" s="512" t="s">
        <v>703</v>
      </c>
      <c r="D567" s="1110"/>
      <c r="E567" s="513" t="s">
        <v>704</v>
      </c>
      <c r="F567" s="1377"/>
      <c r="G567" s="1050">
        <f ca="1">-OFFSET(G567,1,0)</f>
        <v>0</v>
      </c>
      <c r="H567" s="1050">
        <f t="shared" ref="H567:M567" ca="1" si="246">OFFSET(H567,0,-1)-OFFSET(H567,1,0)</f>
        <v>0</v>
      </c>
      <c r="I567" s="1050">
        <f t="shared" ca="1" si="246"/>
        <v>0</v>
      </c>
      <c r="J567" s="1050">
        <f t="shared" ca="1" si="246"/>
        <v>0</v>
      </c>
      <c r="K567" s="1050">
        <f t="shared" ca="1" si="246"/>
        <v>0</v>
      </c>
      <c r="L567" s="1050">
        <f t="shared" ca="1" si="246"/>
        <v>0</v>
      </c>
      <c r="M567" s="1050">
        <f t="shared" ca="1" si="246"/>
        <v>0</v>
      </c>
      <c r="N567" s="1263"/>
      <c r="O567" s="386"/>
      <c r="P567" s="324" t="s">
        <v>71</v>
      </c>
    </row>
    <row r="568" spans="1:16" ht="11.25" customHeight="1" x14ac:dyDescent="0.35">
      <c r="A568" s="235"/>
      <c r="B568" s="450"/>
      <c r="C568" s="511" t="s">
        <v>705</v>
      </c>
      <c r="D568" s="1118"/>
      <c r="E568" s="390" t="s">
        <v>706</v>
      </c>
      <c r="F568" s="1378"/>
      <c r="G568" s="1026"/>
      <c r="H568" s="1026"/>
      <c r="I568" s="1026"/>
      <c r="J568" s="1026"/>
      <c r="K568" s="1026"/>
      <c r="L568" s="1026"/>
      <c r="M568" s="1026"/>
      <c r="N568" s="1249">
        <f ca="1">IF(AND(N$5=-99,NoResCol=1),0,OFFSET($E$567,0,N$8-1)-OFFSET($E$567,0,N$8))</f>
        <v>0</v>
      </c>
      <c r="O568" s="326"/>
      <c r="P568" s="324" t="s">
        <v>71</v>
      </c>
    </row>
    <row r="569" spans="1:16" ht="11.25" customHeight="1" x14ac:dyDescent="0.35">
      <c r="A569" s="235"/>
      <c r="B569" s="514"/>
      <c r="C569" s="515" t="s">
        <v>707</v>
      </c>
      <c r="D569" s="1137"/>
      <c r="E569" s="342" t="s">
        <v>708</v>
      </c>
      <c r="F569" s="1379">
        <f ca="1">F544+IF(ReceivablesSpec,F548+F552+F556+F560,0)+OFFSET($E$562,0,F$8)+OFFSET($E$564,0,F$8)+OFFSET($E$566,0,F$8)+OFFSET($E$568,0,F$8)</f>
        <v>0</v>
      </c>
      <c r="G569" s="1052">
        <f ca="1">IF(NoZeroCol=1,0,G544+IF(ReceivablesSpec,G548+G552+G556+G560,0)+OFFSET($E$562,0,G$8)+OFFSET($E$564,0,G$8)+OFFSET($E$566,0,G$8)+OFFSET($E$568,0,G$8))</f>
        <v>0</v>
      </c>
      <c r="H569" s="1052">
        <f t="shared" ref="H569:M569" ca="1" si="247">H544+IF(ReceivablesSpec,H548+H552+H556+H560,0)+OFFSET($E$562,0,H$8)+OFFSET($E$564,0,H$8)+OFFSET($E$566,0,H$8)+OFFSET($E$568,0,H$8)</f>
        <v>-11461080.606711309</v>
      </c>
      <c r="I569" s="1052">
        <f t="shared" ca="1" si="247"/>
        <v>7861589.9832825568</v>
      </c>
      <c r="J569" s="1052">
        <f t="shared" ca="1" si="247"/>
        <v>-809885.39027146902</v>
      </c>
      <c r="K569" s="1052">
        <f t="shared" ca="1" si="247"/>
        <v>-992109.60308255069</v>
      </c>
      <c r="L569" s="1052">
        <f t="shared" ca="1" si="247"/>
        <v>-1215334.2637761226</v>
      </c>
      <c r="M569" s="1052">
        <f t="shared" ca="1" si="247"/>
        <v>-1488784.4731257521</v>
      </c>
      <c r="N569" s="1264">
        <f ca="1">IF(NoResCol=1,0,N544+IF(ReceivablesSpec,N548+N552+N556+N560,0)+OFFSET($E$562,0,N$8)+OFFSET($E$564,0,N$8)+OFFSET($E$566,0,N$8)+OFFSET($E$568,0,N$8))</f>
        <v>8105604.353684647</v>
      </c>
      <c r="O569" s="326"/>
      <c r="P569" s="324" t="s">
        <v>71</v>
      </c>
    </row>
    <row r="570" spans="1:16" ht="11.25" customHeight="1" x14ac:dyDescent="0.35">
      <c r="A570" s="235"/>
      <c r="B570" s="446" t="s">
        <v>709</v>
      </c>
      <c r="C570" s="508"/>
      <c r="D570" s="1110"/>
      <c r="E570" s="385" t="s">
        <v>710</v>
      </c>
      <c r="F570" s="1377"/>
      <c r="G570" s="1049">
        <f>-G591</f>
        <v>0</v>
      </c>
      <c r="H570" s="1049">
        <f t="shared" ref="H570:N570" ca="1" si="248">OFFSET(H570,0,-1)-H591</f>
        <v>10721995.522435302</v>
      </c>
      <c r="I570" s="1049">
        <f t="shared" ca="1" si="248"/>
        <v>3272920.296190354</v>
      </c>
      <c r="J570" s="1049">
        <f t="shared" ca="1" si="248"/>
        <v>4009327.3628331842</v>
      </c>
      <c r="K570" s="1049">
        <f t="shared" ca="1" si="248"/>
        <v>4911426.0194706507</v>
      </c>
      <c r="L570" s="1049">
        <f t="shared" ca="1" si="248"/>
        <v>6016496.873851547</v>
      </c>
      <c r="M570" s="1049">
        <f t="shared" ref="M570" ca="1" si="249">OFFSET(M570,0,-1)-M591</f>
        <v>7370208.6704681441</v>
      </c>
      <c r="N570" s="1260">
        <f t="shared" ca="1" si="248"/>
        <v>0</v>
      </c>
      <c r="O570" s="326"/>
      <c r="P570" s="324" t="s">
        <v>71</v>
      </c>
    </row>
    <row r="571" spans="1:16" ht="11.25" customHeight="1" x14ac:dyDescent="0.35">
      <c r="A571" s="235"/>
      <c r="B571" s="509" t="str">
        <f>IF(InventoriesSpec,"1","")</f>
        <v/>
      </c>
      <c r="C571" s="439" t="s">
        <v>5142</v>
      </c>
      <c r="D571" s="1111"/>
      <c r="E571" s="329" t="s">
        <v>713</v>
      </c>
      <c r="F571" s="1373">
        <f>IF((+F$457)&lt;&gt;0,(F572/ABS(+F$457))*(F$539*30),0)</f>
        <v>0</v>
      </c>
      <c r="G571" s="1021"/>
      <c r="H571" s="1021"/>
      <c r="I571" s="1021"/>
      <c r="J571" s="1021"/>
      <c r="K571" s="1021"/>
      <c r="L571" s="1021"/>
      <c r="M571" s="1021"/>
      <c r="N571" s="1247"/>
      <c r="O571" s="326"/>
      <c r="P571" s="324" t="s">
        <v>71</v>
      </c>
    </row>
    <row r="572" spans="1:16" ht="11.25" customHeight="1" x14ac:dyDescent="0.35">
      <c r="A572" s="235"/>
      <c r="B572" s="450"/>
      <c r="C572" s="510" t="str">
        <f>$B$570</f>
        <v>Inventories</v>
      </c>
      <c r="D572" s="1116"/>
      <c r="E572" s="329" t="s">
        <v>712</v>
      </c>
      <c r="F572" s="1375">
        <f ca="1">OFFSET($G$769, 0, F$5)</f>
        <v>0</v>
      </c>
      <c r="G572" s="1022">
        <f ca="1">IF(ISBLANK(OFFSET(G572,1,0)),IF(OFFSET(G572,-1,0)&lt;0,0,OFFSET(G572,0,-1)),OFFSET(G572,1,0))</f>
        <v>0</v>
      </c>
      <c r="H572" s="1022">
        <f ca="1">IF(ISBLANK(OFFSET(H572,1,0)),OFFSET(H572,0,-1)-H574,OFFSET(H572,1,0))</f>
        <v>10721995.522435302</v>
      </c>
      <c r="I572" s="1022">
        <f t="shared" ref="I572:N572" ca="1" si="250">IF(ISBLANK(OFFSET(I572,1,0)),OFFSET(I572,0,-1)-I574,OFFSET(I572,1,0))</f>
        <v>3272920.296190354</v>
      </c>
      <c r="J572" s="1022">
        <f t="shared" ca="1" si="250"/>
        <v>4009327.3628331842</v>
      </c>
      <c r="K572" s="1022">
        <f t="shared" ca="1" si="250"/>
        <v>4911426.0194706507</v>
      </c>
      <c r="L572" s="1022">
        <f t="shared" ca="1" si="250"/>
        <v>6016496.873851547</v>
      </c>
      <c r="M572" s="1022">
        <f t="shared" ref="M572" ca="1" si="251">IF(ISBLANK(OFFSET(M572,1,0)),OFFSET(M572,0,-1)-M574,OFFSET(M572,1,0))</f>
        <v>7370208.6704681441</v>
      </c>
      <c r="N572" s="1247">
        <f t="shared" ca="1" si="250"/>
        <v>0</v>
      </c>
      <c r="O572" s="326"/>
      <c r="P572" s="324" t="s">
        <v>71</v>
      </c>
    </row>
    <row r="573" spans="1:16" ht="11.25" customHeight="1" x14ac:dyDescent="0.35">
      <c r="A573" s="235"/>
      <c r="B573" s="450"/>
      <c r="C573" s="439" t="s">
        <v>5141</v>
      </c>
      <c r="D573" s="1111"/>
      <c r="E573" s="329" t="s">
        <v>5117</v>
      </c>
      <c r="F573" s="1382"/>
      <c r="G573" s="1021"/>
      <c r="H573" s="1021">
        <v>10721995.522435302</v>
      </c>
      <c r="I573" s="1021">
        <v>3272920.296190354</v>
      </c>
      <c r="J573" s="1021">
        <v>4009327.3628331842</v>
      </c>
      <c r="K573" s="1021">
        <v>4911426.0194706507</v>
      </c>
      <c r="L573" s="1021">
        <v>6016496.873851547</v>
      </c>
      <c r="M573" s="1021">
        <v>7370208.6704681441</v>
      </c>
      <c r="N573" s="1261">
        <v>0</v>
      </c>
      <c r="O573" s="326"/>
      <c r="P573" s="324" t="s">
        <v>71</v>
      </c>
    </row>
    <row r="574" spans="1:16" ht="11.25" customHeight="1" x14ac:dyDescent="0.35">
      <c r="A574" s="235"/>
      <c r="B574" s="450"/>
      <c r="C574" s="511" t="s">
        <v>5171</v>
      </c>
      <c r="D574" s="1118"/>
      <c r="E574" s="390" t="s">
        <v>711</v>
      </c>
      <c r="F574" s="1378">
        <f ca="1">SUM(OFFSET(F572,0,-1))-F572</f>
        <v>0</v>
      </c>
      <c r="G574" s="1053">
        <f ca="1">IF(NOT(ISBLANK(OFFSET(G$572,1,0))),OFFSET(G$572,0,-1)-G$572,IF(OFFSET(G$572,-1,0)&lt;0,OFFSET(G$572,0,-1),0))</f>
        <v>0</v>
      </c>
      <c r="H574" s="1053">
        <f t="shared" ref="H574:M574" ca="1" si="252">IF(NOT(ISBLANK(H$573)),OFFSET(H$572,0,-1)-H$572,IF(H$571&lt;&gt;0,(IF(H$571&gt;0,MIN(H$571,H$539*30),MAX(H$571,-H$539*30))/(H$539*30))*(+H$457),0))</f>
        <v>-10721995.522435302</v>
      </c>
      <c r="I574" s="1053">
        <f t="shared" ca="1" si="252"/>
        <v>7449075.2262449479</v>
      </c>
      <c r="J574" s="1053">
        <f t="shared" ca="1" si="252"/>
        <v>-736407.06664283015</v>
      </c>
      <c r="K574" s="1053">
        <f t="shared" ca="1" si="252"/>
        <v>-902098.65663746651</v>
      </c>
      <c r="L574" s="1053">
        <f t="shared" ca="1" si="252"/>
        <v>-1105070.8543808963</v>
      </c>
      <c r="M574" s="1053">
        <f t="shared" ca="1" si="252"/>
        <v>-1353711.7966165971</v>
      </c>
      <c r="N574" s="1249">
        <f ca="1">IF(AND(N$5=-99,NoResCol=1),0,OFFSET(N572,0,-1)-OFFSET(N572,1,0))</f>
        <v>7370208.6704681441</v>
      </c>
      <c r="O574" s="326"/>
      <c r="P574" s="324" t="s">
        <v>71</v>
      </c>
    </row>
    <row r="575" spans="1:16" ht="11.25" hidden="1" customHeight="1" x14ac:dyDescent="0.35">
      <c r="A575" s="235"/>
      <c r="B575" s="450">
        <v>2</v>
      </c>
      <c r="C575" s="439" t="s">
        <v>5142</v>
      </c>
      <c r="D575" s="1111"/>
      <c r="E575" s="329" t="s">
        <v>4958</v>
      </c>
      <c r="F575" s="1373">
        <f>IF((+F$457)&lt;&gt;0,(F576/ABS(+F$457))*(F$539*30),0)</f>
        <v>0</v>
      </c>
      <c r="G575" s="1021"/>
      <c r="H575" s="1021"/>
      <c r="I575" s="1021"/>
      <c r="J575" s="1021"/>
      <c r="K575" s="1021"/>
      <c r="L575" s="1021"/>
      <c r="M575" s="1021"/>
      <c r="N575" s="1247"/>
      <c r="O575" s="326"/>
      <c r="P575" s="324" t="s">
        <v>73</v>
      </c>
    </row>
    <row r="576" spans="1:16" ht="11.25" hidden="1" customHeight="1" x14ac:dyDescent="0.35">
      <c r="A576" s="235"/>
      <c r="B576" s="450"/>
      <c r="C576" s="1380" t="s">
        <v>5012</v>
      </c>
      <c r="D576" s="1116"/>
      <c r="E576" s="329" t="s">
        <v>4957</v>
      </c>
      <c r="F576" s="1384"/>
      <c r="G576" s="1022">
        <f ca="1">IF(ISBLANK(OFFSET(G576,1,0)),IF(OFFSET(G576,-1,0)&lt;0,0,OFFSET(G576,0,-1)),OFFSET(G576,1,0))</f>
        <v>0</v>
      </c>
      <c r="H576" s="1022">
        <f ca="1">IF(ISBLANK(OFFSET(H576,1,0)),OFFSET(H576,0,-1)-H578,OFFSET(H576,1,0))</f>
        <v>0</v>
      </c>
      <c r="I576" s="1022">
        <f t="shared" ref="I576:N576" ca="1" si="253">IF(ISBLANK(OFFSET(I576,1,0)),OFFSET(I576,0,-1)-I578,OFFSET(I576,1,0))</f>
        <v>0</v>
      </c>
      <c r="J576" s="1022">
        <f t="shared" ca="1" si="253"/>
        <v>0</v>
      </c>
      <c r="K576" s="1022">
        <f t="shared" ca="1" si="253"/>
        <v>0</v>
      </c>
      <c r="L576" s="1022">
        <f t="shared" ca="1" si="253"/>
        <v>0</v>
      </c>
      <c r="M576" s="1022">
        <f t="shared" ref="M576" ca="1" si="254">IF(ISBLANK(OFFSET(M576,1,0)),OFFSET(M576,0,-1)-M578,OFFSET(M576,1,0))</f>
        <v>0</v>
      </c>
      <c r="N576" s="1247">
        <f t="shared" ca="1" si="253"/>
        <v>0</v>
      </c>
      <c r="O576" s="326"/>
      <c r="P576" s="324" t="s">
        <v>73</v>
      </c>
    </row>
    <row r="577" spans="1:16" ht="11.25" hidden="1" customHeight="1" x14ac:dyDescent="0.35">
      <c r="A577" s="235"/>
      <c r="B577" s="450"/>
      <c r="C577" s="439" t="s">
        <v>5116</v>
      </c>
      <c r="D577" s="1111"/>
      <c r="E577" s="329" t="s">
        <v>5118</v>
      </c>
      <c r="F577" s="1373"/>
      <c r="G577" s="1021"/>
      <c r="H577" s="1021">
        <v>0</v>
      </c>
      <c r="I577" s="1021">
        <v>0</v>
      </c>
      <c r="J577" s="1021">
        <v>0</v>
      </c>
      <c r="K577" s="1021">
        <v>0</v>
      </c>
      <c r="L577" s="1021">
        <v>0</v>
      </c>
      <c r="M577" s="1021">
        <v>0</v>
      </c>
      <c r="N577" s="1261">
        <v>0</v>
      </c>
      <c r="O577" s="326"/>
      <c r="P577" s="324" t="s">
        <v>73</v>
      </c>
    </row>
    <row r="578" spans="1:16" ht="11.25" hidden="1" customHeight="1" x14ac:dyDescent="0.35">
      <c r="A578" s="235"/>
      <c r="B578" s="450"/>
      <c r="C578" s="511" t="s">
        <v>5171</v>
      </c>
      <c r="D578" s="1118"/>
      <c r="E578" s="390" t="s">
        <v>4956</v>
      </c>
      <c r="F578" s="1378">
        <f ca="1">IF(InventoriesSpec,SUM(OFFSET(F576,0,-1))-F576,0)</f>
        <v>0</v>
      </c>
      <c r="G578" s="1053">
        <f ca="1">IF(NOT(ISBLANK(OFFSET(G$576,1,0))),OFFSET(G$576,0,-1)-G$576,IF(OFFSET(G$576,-1,0)&lt;0,OFFSET(G$576,0,-1),0))</f>
        <v>0</v>
      </c>
      <c r="H578" s="1053">
        <f t="shared" ref="H578:M578" ca="1" si="255">IF(NOT(ISBLANK(H$577)),OFFSET(H$576,0,-1)-H$576,IF(H$575&lt;&gt;0,(IF(H$575&gt;0,MIN(H$575,H$539*30),MAX(H$575,-H$539*30))/(H$539*30))*(+H$457),0))</f>
        <v>0</v>
      </c>
      <c r="I578" s="1053">
        <f t="shared" ca="1" si="255"/>
        <v>0</v>
      </c>
      <c r="J578" s="1053">
        <f t="shared" ca="1" si="255"/>
        <v>0</v>
      </c>
      <c r="K578" s="1053">
        <f t="shared" ca="1" si="255"/>
        <v>0</v>
      </c>
      <c r="L578" s="1053">
        <f t="shared" ca="1" si="255"/>
        <v>0</v>
      </c>
      <c r="M578" s="1053">
        <f t="shared" ca="1" si="255"/>
        <v>0</v>
      </c>
      <c r="N578" s="1249">
        <f ca="1">IF(AND(N$5=-99,NoResCol=1),0,OFFSET(N576,0,-1)-OFFSET(N576,1,0))</f>
        <v>0</v>
      </c>
      <c r="O578" s="326"/>
      <c r="P578" s="324" t="s">
        <v>73</v>
      </c>
    </row>
    <row r="579" spans="1:16" ht="11.25" hidden="1" customHeight="1" x14ac:dyDescent="0.35">
      <c r="A579" s="235"/>
      <c r="B579" s="450">
        <v>3</v>
      </c>
      <c r="C579" s="439" t="s">
        <v>5142</v>
      </c>
      <c r="D579" s="1111"/>
      <c r="E579" s="329" t="s">
        <v>4961</v>
      </c>
      <c r="F579" s="1373">
        <f>IF((+F$457)&lt;&gt;0,(F580/ABS(+F$457))*(F$539*30),0)</f>
        <v>0</v>
      </c>
      <c r="G579" s="1021"/>
      <c r="H579" s="1021"/>
      <c r="I579" s="1021"/>
      <c r="J579" s="1021"/>
      <c r="K579" s="1021"/>
      <c r="L579" s="1021"/>
      <c r="M579" s="1021"/>
      <c r="N579" s="1247"/>
      <c r="O579" s="326"/>
      <c r="P579" s="324" t="s">
        <v>73</v>
      </c>
    </row>
    <row r="580" spans="1:16" ht="11.25" hidden="1" customHeight="1" x14ac:dyDescent="0.35">
      <c r="A580" s="235"/>
      <c r="B580" s="450"/>
      <c r="C580" s="1380" t="s">
        <v>5013</v>
      </c>
      <c r="D580" s="1116"/>
      <c r="E580" s="329" t="s">
        <v>4960</v>
      </c>
      <c r="F580" s="1384"/>
      <c r="G580" s="1022">
        <f ca="1">IF(ISBLANK(OFFSET(G580,1,0)),IF(OFFSET(G580,-1,0)&lt;0,0,OFFSET(G580,0,-1)),OFFSET(G580,1,0))</f>
        <v>0</v>
      </c>
      <c r="H580" s="1022">
        <f ca="1">IF(ISBLANK(OFFSET(H580,1,0)),OFFSET(H580,0,-1)-H582,OFFSET(H580,1,0))</f>
        <v>0</v>
      </c>
      <c r="I580" s="1022">
        <f t="shared" ref="I580:N580" ca="1" si="256">IF(ISBLANK(OFFSET(I580,1,0)),OFFSET(I580,0,-1)-I582,OFFSET(I580,1,0))</f>
        <v>0</v>
      </c>
      <c r="J580" s="1022">
        <f t="shared" ca="1" si="256"/>
        <v>0</v>
      </c>
      <c r="K580" s="1022">
        <f t="shared" ca="1" si="256"/>
        <v>0</v>
      </c>
      <c r="L580" s="1022">
        <f t="shared" ca="1" si="256"/>
        <v>0</v>
      </c>
      <c r="M580" s="1022">
        <f t="shared" ref="M580" ca="1" si="257">IF(ISBLANK(OFFSET(M580,1,0)),OFFSET(M580,0,-1)-M582,OFFSET(M580,1,0))</f>
        <v>0</v>
      </c>
      <c r="N580" s="1247">
        <f t="shared" ca="1" si="256"/>
        <v>0</v>
      </c>
      <c r="O580" s="326"/>
      <c r="P580" s="324" t="s">
        <v>73</v>
      </c>
    </row>
    <row r="581" spans="1:16" ht="11.25" hidden="1" customHeight="1" x14ac:dyDescent="0.35">
      <c r="A581" s="235"/>
      <c r="B581" s="450"/>
      <c r="C581" s="439" t="s">
        <v>5141</v>
      </c>
      <c r="D581" s="1111"/>
      <c r="E581" s="329" t="s">
        <v>5119</v>
      </c>
      <c r="F581" s="1373"/>
      <c r="G581" s="1021"/>
      <c r="H581" s="1021">
        <v>0</v>
      </c>
      <c r="I581" s="1021">
        <v>0</v>
      </c>
      <c r="J581" s="1021">
        <v>0</v>
      </c>
      <c r="K581" s="1021">
        <v>0</v>
      </c>
      <c r="L581" s="1021">
        <v>0</v>
      </c>
      <c r="M581" s="1021">
        <v>0</v>
      </c>
      <c r="N581" s="1261">
        <v>0</v>
      </c>
      <c r="O581" s="326"/>
      <c r="P581" s="324" t="s">
        <v>73</v>
      </c>
    </row>
    <row r="582" spans="1:16" ht="11.25" hidden="1" customHeight="1" x14ac:dyDescent="0.35">
      <c r="A582" s="235"/>
      <c r="B582" s="450"/>
      <c r="C582" s="511" t="s">
        <v>5171</v>
      </c>
      <c r="D582" s="1118"/>
      <c r="E582" s="390" t="s">
        <v>4959</v>
      </c>
      <c r="F582" s="1378">
        <f ca="1">IF(InventoriesSpec,SUM(OFFSET(F580,0,-1))-F580,0)</f>
        <v>0</v>
      </c>
      <c r="G582" s="1053">
        <f ca="1">IF(NOT(ISBLANK(OFFSET(G$580,1,0))),OFFSET(G$580,0,-1)-G$580,IF(OFFSET(G$580,-1,0)&lt;0,OFFSET(G$580,0,-1),0))</f>
        <v>0</v>
      </c>
      <c r="H582" s="1053">
        <f t="shared" ref="H582:M582" ca="1" si="258">IF(NOT(ISBLANK(H$581)),OFFSET(H$580,0,-1)-H$580,IF(H$579&lt;&gt;0,(IF(H$579&gt;0,MIN(H$579,H$539*30),MAX(H$579,-H$539*30))/(H$539*30))*(+H$457),0))</f>
        <v>0</v>
      </c>
      <c r="I582" s="1053">
        <f t="shared" ca="1" si="258"/>
        <v>0</v>
      </c>
      <c r="J582" s="1053">
        <f t="shared" ca="1" si="258"/>
        <v>0</v>
      </c>
      <c r="K582" s="1053">
        <f t="shared" ca="1" si="258"/>
        <v>0</v>
      </c>
      <c r="L582" s="1053">
        <f t="shared" ca="1" si="258"/>
        <v>0</v>
      </c>
      <c r="M582" s="1053">
        <f t="shared" ca="1" si="258"/>
        <v>0</v>
      </c>
      <c r="N582" s="1249">
        <f ca="1">IF(AND(N$5=-99,NoResCol=1),0,OFFSET(N580,0,-1)-OFFSET(N580,1,0))</f>
        <v>0</v>
      </c>
      <c r="O582" s="326"/>
      <c r="P582" s="324" t="s">
        <v>73</v>
      </c>
    </row>
    <row r="583" spans="1:16" ht="11.25" hidden="1" customHeight="1" x14ac:dyDescent="0.35">
      <c r="A583" s="235"/>
      <c r="B583" s="450">
        <v>4</v>
      </c>
      <c r="C583" s="439" t="s">
        <v>5142</v>
      </c>
      <c r="D583" s="1111"/>
      <c r="E583" s="329" t="s">
        <v>5123</v>
      </c>
      <c r="F583" s="1373">
        <f>IF((+F$457)&lt;&gt;0,(F584/ABS(+F$457))*(F$539*30),0)</f>
        <v>0</v>
      </c>
      <c r="G583" s="1021"/>
      <c r="H583" s="1021"/>
      <c r="I583" s="1021"/>
      <c r="J583" s="1021"/>
      <c r="K583" s="1021"/>
      <c r="L583" s="1021"/>
      <c r="M583" s="1021"/>
      <c r="N583" s="1247"/>
      <c r="O583" s="326"/>
      <c r="P583" s="324" t="s">
        <v>73</v>
      </c>
    </row>
    <row r="584" spans="1:16" ht="11.25" hidden="1" customHeight="1" x14ac:dyDescent="0.35">
      <c r="A584" s="235"/>
      <c r="B584" s="450"/>
      <c r="C584" s="1380" t="s">
        <v>5014</v>
      </c>
      <c r="D584" s="1116"/>
      <c r="E584" s="329" t="s">
        <v>4963</v>
      </c>
      <c r="F584" s="1384"/>
      <c r="G584" s="1022">
        <f ca="1">IF(ISBLANK(OFFSET(G584,1,0)),IF(OFFSET(G584,-1,0)&lt;0,0,OFFSET(G584,0,-1)),OFFSET(G584,1,0))</f>
        <v>0</v>
      </c>
      <c r="H584" s="1022">
        <f ca="1">IF(ISBLANK(OFFSET(H584,1,0)),OFFSET(H584,0,-1)-H586,OFFSET(H584,1,0))</f>
        <v>0</v>
      </c>
      <c r="I584" s="1022">
        <f t="shared" ref="I584:N584" ca="1" si="259">IF(ISBLANK(OFFSET(I584,1,0)),OFFSET(I584,0,-1)-I586,OFFSET(I584,1,0))</f>
        <v>0</v>
      </c>
      <c r="J584" s="1022">
        <f t="shared" ca="1" si="259"/>
        <v>0</v>
      </c>
      <c r="K584" s="1022">
        <f t="shared" ca="1" si="259"/>
        <v>0</v>
      </c>
      <c r="L584" s="1022">
        <f t="shared" ca="1" si="259"/>
        <v>0</v>
      </c>
      <c r="M584" s="1022">
        <f t="shared" ref="M584" ca="1" si="260">IF(ISBLANK(OFFSET(M584,1,0)),OFFSET(M584,0,-1)-M586,OFFSET(M584,1,0))</f>
        <v>0</v>
      </c>
      <c r="N584" s="1247">
        <f t="shared" ca="1" si="259"/>
        <v>0</v>
      </c>
      <c r="O584" s="326"/>
      <c r="P584" s="324" t="s">
        <v>73</v>
      </c>
    </row>
    <row r="585" spans="1:16" ht="11.25" hidden="1" customHeight="1" x14ac:dyDescent="0.35">
      <c r="A585" s="235"/>
      <c r="B585" s="450"/>
      <c r="C585" s="439" t="s">
        <v>5141</v>
      </c>
      <c r="D585" s="1111"/>
      <c r="E585" s="329" t="s">
        <v>5120</v>
      </c>
      <c r="F585" s="1373"/>
      <c r="G585" s="1021"/>
      <c r="H585" s="1021">
        <v>0</v>
      </c>
      <c r="I585" s="1021">
        <v>0</v>
      </c>
      <c r="J585" s="1021">
        <v>0</v>
      </c>
      <c r="K585" s="1021">
        <v>0</v>
      </c>
      <c r="L585" s="1021">
        <v>0</v>
      </c>
      <c r="M585" s="1021">
        <v>0</v>
      </c>
      <c r="N585" s="1261">
        <v>0</v>
      </c>
      <c r="O585" s="326"/>
      <c r="P585" s="324" t="s">
        <v>73</v>
      </c>
    </row>
    <row r="586" spans="1:16" ht="11.25" hidden="1" customHeight="1" x14ac:dyDescent="0.35">
      <c r="A586" s="235"/>
      <c r="B586" s="450"/>
      <c r="C586" s="511" t="s">
        <v>5171</v>
      </c>
      <c r="D586" s="1118"/>
      <c r="E586" s="390" t="s">
        <v>4962</v>
      </c>
      <c r="F586" s="1378">
        <f ca="1">IF(InventoriesSpec,SUM(OFFSET(F584,0,-1))-F584,0)</f>
        <v>0</v>
      </c>
      <c r="G586" s="1053">
        <f ca="1">IF(NOT(ISBLANK(OFFSET(G$584,1,0))),OFFSET(G$584,0,-1)-G$584,IF(OFFSET(G$584,-1,0)&lt;0,OFFSET(G$584,0,-1),0))</f>
        <v>0</v>
      </c>
      <c r="H586" s="1053">
        <f t="shared" ref="H586:M586" ca="1" si="261">IF(NOT(ISBLANK(H$585)),OFFSET(H$584,0,-1)-H$584,IF(H$583&lt;&gt;0,(IF(H$583&gt;0,MIN(H$583,H$539*30),MAX(H$583,-H$539*30))/(H$539*30))*(+H$457),0))</f>
        <v>0</v>
      </c>
      <c r="I586" s="1053">
        <f t="shared" ca="1" si="261"/>
        <v>0</v>
      </c>
      <c r="J586" s="1053">
        <f t="shared" ca="1" si="261"/>
        <v>0</v>
      </c>
      <c r="K586" s="1053">
        <f t="shared" ca="1" si="261"/>
        <v>0</v>
      </c>
      <c r="L586" s="1053">
        <f t="shared" ca="1" si="261"/>
        <v>0</v>
      </c>
      <c r="M586" s="1053">
        <f t="shared" ca="1" si="261"/>
        <v>0</v>
      </c>
      <c r="N586" s="1249">
        <f ca="1">IF(AND(N$5=-99,NoResCol=1),0,OFFSET(N584,0,-1)-OFFSET(N584,1,0))</f>
        <v>0</v>
      </c>
      <c r="O586" s="326"/>
      <c r="P586" s="324" t="s">
        <v>73</v>
      </c>
    </row>
    <row r="587" spans="1:16" ht="11.25" hidden="1" customHeight="1" x14ac:dyDescent="0.35">
      <c r="A587" s="235"/>
      <c r="B587" s="450">
        <v>5</v>
      </c>
      <c r="C587" s="439" t="s">
        <v>5142</v>
      </c>
      <c r="D587" s="1111"/>
      <c r="E587" s="329" t="s">
        <v>5009</v>
      </c>
      <c r="F587" s="1373">
        <f>IF((+F$457)&lt;&gt;0,(F588/ABS(+F$457))*(F$539*30),0)</f>
        <v>0</v>
      </c>
      <c r="G587" s="1021"/>
      <c r="H587" s="1021"/>
      <c r="I587" s="1021"/>
      <c r="J587" s="1021"/>
      <c r="K587" s="1021"/>
      <c r="L587" s="1021"/>
      <c r="M587" s="1021"/>
      <c r="N587" s="1247"/>
      <c r="O587" s="326"/>
      <c r="P587" s="324" t="s">
        <v>73</v>
      </c>
    </row>
    <row r="588" spans="1:16" ht="11.25" hidden="1" customHeight="1" x14ac:dyDescent="0.35">
      <c r="A588" s="235"/>
      <c r="B588" s="450"/>
      <c r="C588" s="1380" t="s">
        <v>5015</v>
      </c>
      <c r="D588" s="1116"/>
      <c r="E588" s="329" t="s">
        <v>5008</v>
      </c>
      <c r="F588" s="1384"/>
      <c r="G588" s="1022">
        <f ca="1">IF(ISBLANK(OFFSET(G588,1,0)),IF(OFFSET(G588,-1,0)&lt;0,0,OFFSET(G588,0,-1)),OFFSET(G588,1,0))</f>
        <v>0</v>
      </c>
      <c r="H588" s="1022">
        <f ca="1">IF(ISBLANK(OFFSET(H588,1,0)),OFFSET(H588,0,-1)-H590,OFFSET(H588,1,0))</f>
        <v>0</v>
      </c>
      <c r="I588" s="1022">
        <f t="shared" ref="I588:N588" ca="1" si="262">IF(ISBLANK(OFFSET(I588,1,0)),OFFSET(I588,0,-1)-I590,OFFSET(I588,1,0))</f>
        <v>0</v>
      </c>
      <c r="J588" s="1022">
        <f t="shared" ca="1" si="262"/>
        <v>0</v>
      </c>
      <c r="K588" s="1022">
        <f t="shared" ca="1" si="262"/>
        <v>0</v>
      </c>
      <c r="L588" s="1022">
        <f t="shared" ca="1" si="262"/>
        <v>0</v>
      </c>
      <c r="M588" s="1022">
        <f t="shared" ref="M588" ca="1" si="263">IF(ISBLANK(OFFSET(M588,1,0)),OFFSET(M588,0,-1)-M590,OFFSET(M588,1,0))</f>
        <v>0</v>
      </c>
      <c r="N588" s="1247">
        <f t="shared" ca="1" si="262"/>
        <v>0</v>
      </c>
      <c r="O588" s="326"/>
      <c r="P588" s="324" t="s">
        <v>73</v>
      </c>
    </row>
    <row r="589" spans="1:16" ht="11.25" hidden="1" customHeight="1" x14ac:dyDescent="0.35">
      <c r="A589" s="235"/>
      <c r="B589" s="450"/>
      <c r="C589" s="439" t="s">
        <v>5141</v>
      </c>
      <c r="D589" s="1111"/>
      <c r="E589" s="329" t="s">
        <v>5121</v>
      </c>
      <c r="F589" s="1373"/>
      <c r="G589" s="1021"/>
      <c r="H589" s="1021">
        <v>0</v>
      </c>
      <c r="I589" s="1021">
        <v>0</v>
      </c>
      <c r="J589" s="1021">
        <v>0</v>
      </c>
      <c r="K589" s="1021">
        <v>0</v>
      </c>
      <c r="L589" s="1021">
        <v>0</v>
      </c>
      <c r="M589" s="1021">
        <v>0</v>
      </c>
      <c r="N589" s="1261">
        <v>0</v>
      </c>
      <c r="O589" s="326"/>
      <c r="P589" s="324" t="s">
        <v>73</v>
      </c>
    </row>
    <row r="590" spans="1:16" ht="11.25" hidden="1" customHeight="1" x14ac:dyDescent="0.35">
      <c r="A590" s="235"/>
      <c r="B590" s="450"/>
      <c r="C590" s="511" t="s">
        <v>5171</v>
      </c>
      <c r="D590" s="1118"/>
      <c r="E590" s="390" t="s">
        <v>5007</v>
      </c>
      <c r="F590" s="1378">
        <f ca="1">IF(InventoriesSpec,SUM(OFFSET(F588,0,-1))-F588,0)</f>
        <v>0</v>
      </c>
      <c r="G590" s="1053">
        <f ca="1">IF(NOT(ISBLANK(OFFSET(G$588,1,0))),OFFSET(G$588,0,-1)-G$588,IF(OFFSET(G$588,-1,0)&lt;0,OFFSET(G$588,0,-1),0))</f>
        <v>0</v>
      </c>
      <c r="H590" s="1053">
        <f t="shared" ref="H590:M590" ca="1" si="264">IF(NOT(ISBLANK(H$589)),OFFSET(H$588,0,-1)-H$588,IF(H$587&lt;&gt;0,(IF(H$587&gt;0,MIN(H$587,H$539*30),MAX(H$587,-H$539*30))/(H$539*30))*(+H$457),0))</f>
        <v>0</v>
      </c>
      <c r="I590" s="1053">
        <f t="shared" ca="1" si="264"/>
        <v>0</v>
      </c>
      <c r="J590" s="1053">
        <f t="shared" ca="1" si="264"/>
        <v>0</v>
      </c>
      <c r="K590" s="1053">
        <f t="shared" ca="1" si="264"/>
        <v>0</v>
      </c>
      <c r="L590" s="1053">
        <f t="shared" ca="1" si="264"/>
        <v>0</v>
      </c>
      <c r="M590" s="1053">
        <f t="shared" ca="1" si="264"/>
        <v>0</v>
      </c>
      <c r="N590" s="1249">
        <f ca="1">IF(AND(N$5=-99,NoResCol=1),0,OFFSET(N588,0,-1)-OFFSET(N588,1,0))</f>
        <v>0</v>
      </c>
      <c r="O590" s="326"/>
      <c r="P590" s="324" t="s">
        <v>73</v>
      </c>
    </row>
    <row r="591" spans="1:16" ht="11.25" customHeight="1" x14ac:dyDescent="0.35">
      <c r="A591" s="235"/>
      <c r="B591" s="514"/>
      <c r="C591" s="515" t="s">
        <v>714</v>
      </c>
      <c r="D591" s="1137"/>
      <c r="E591" s="342" t="s">
        <v>715</v>
      </c>
      <c r="F591" s="1383">
        <f ca="1">F574+IF(InventoriesSpec,F578+F582+F586+F590,0)</f>
        <v>0</v>
      </c>
      <c r="G591" s="1052">
        <f>IF(NoZeroCol=1,0,G574+IF(InventoriesSpec,G578+G582+G586+G590))</f>
        <v>0</v>
      </c>
      <c r="H591" s="1052">
        <f t="shared" ref="H591:M591" ca="1" si="265">H574+IF(InventoriesSpec,H578+H582+H586+H590)</f>
        <v>-10721995.522435302</v>
      </c>
      <c r="I591" s="1052">
        <f t="shared" ca="1" si="265"/>
        <v>7449075.2262449479</v>
      </c>
      <c r="J591" s="1052">
        <f t="shared" ca="1" si="265"/>
        <v>-736407.06664283015</v>
      </c>
      <c r="K591" s="1052">
        <f t="shared" ca="1" si="265"/>
        <v>-902098.65663746651</v>
      </c>
      <c r="L591" s="1052">
        <f t="shared" ca="1" si="265"/>
        <v>-1105070.8543808963</v>
      </c>
      <c r="M591" s="1052">
        <f t="shared" ca="1" si="265"/>
        <v>-1353711.7966165971</v>
      </c>
      <c r="N591" s="1264">
        <f ca="1">IF(NoResCol=1,0,N574+IF(InventoriesSpec,N578+N582+N586+N590))</f>
        <v>7370208.6704681441</v>
      </c>
      <c r="O591" s="326"/>
      <c r="P591" s="324" t="s">
        <v>71</v>
      </c>
    </row>
    <row r="592" spans="1:16" ht="11.25" customHeight="1" x14ac:dyDescent="0.35">
      <c r="A592" s="235"/>
      <c r="B592" s="446" t="s">
        <v>716</v>
      </c>
      <c r="C592" s="508"/>
      <c r="D592" s="1110"/>
      <c r="E592" s="385" t="s">
        <v>717</v>
      </c>
      <c r="F592" s="1377"/>
      <c r="G592" s="1049">
        <f ca="1">-G619</f>
        <v>0</v>
      </c>
      <c r="H592" s="1049">
        <f t="shared" ref="H592:N592" ca="1" si="266">OFFSET(H592,0,-1)-H619</f>
        <v>-5731689.283867606</v>
      </c>
      <c r="I592" s="1049">
        <f t="shared" ca="1" si="266"/>
        <v>-1800106.1629046947</v>
      </c>
      <c r="J592" s="1049">
        <f t="shared" ca="1" si="266"/>
        <v>-2205130.0495582512</v>
      </c>
      <c r="K592" s="1049">
        <f t="shared" ca="1" si="266"/>
        <v>-2701284.3107088581</v>
      </c>
      <c r="L592" s="1049">
        <f t="shared" ca="1" si="266"/>
        <v>-3309073.280618351</v>
      </c>
      <c r="M592" s="1049">
        <f t="shared" ref="M592" ca="1" si="267">OFFSET(M592,0,-1)-M619</f>
        <v>-4053614.7687574802</v>
      </c>
      <c r="N592" s="1260">
        <f t="shared" ca="1" si="266"/>
        <v>0</v>
      </c>
      <c r="O592" s="326"/>
      <c r="P592" s="324" t="s">
        <v>71</v>
      </c>
    </row>
    <row r="593" spans="1:16" ht="11.25" customHeight="1" x14ac:dyDescent="0.35">
      <c r="A593" s="235"/>
      <c r="B593" s="509" t="str">
        <f>IF(PayablesSpec,"1","")</f>
        <v/>
      </c>
      <c r="C593" s="439" t="s">
        <v>5140</v>
      </c>
      <c r="D593" s="1111"/>
      <c r="E593" s="329" t="s">
        <v>718</v>
      </c>
      <c r="F593" s="1373">
        <f>IF((-F$457-F$458)&lt;&gt;0,(F594/ABS(-F$457-F$458))*(F$539*30),0)</f>
        <v>0</v>
      </c>
      <c r="G593" s="1021"/>
      <c r="H593" s="1021"/>
      <c r="I593" s="1021"/>
      <c r="J593" s="1021"/>
      <c r="K593" s="1021"/>
      <c r="L593" s="1021"/>
      <c r="M593" s="1021"/>
      <c r="N593" s="1247"/>
      <c r="O593" s="326"/>
      <c r="P593" s="324" t="s">
        <v>71</v>
      </c>
    </row>
    <row r="594" spans="1:16" ht="11.25" customHeight="1" x14ac:dyDescent="0.35">
      <c r="A594" s="235"/>
      <c r="B594" s="450"/>
      <c r="C594" s="517" t="str">
        <f>$C$816</f>
        <v>Accounts payable</v>
      </c>
      <c r="D594" s="1111"/>
      <c r="E594" s="329" t="s">
        <v>720</v>
      </c>
      <c r="F594" s="1375">
        <f ca="1">OFFSET($G$816, 0, F$5)</f>
        <v>0</v>
      </c>
      <c r="G594" s="1022">
        <f ca="1">IF(ISBLANK(OFFSET(G594,1,0)),IF(OFFSET(G594,-1,0)&lt;0,0,OFFSET(G594,0,-1)),OFFSET(G594,1,0))</f>
        <v>0</v>
      </c>
      <c r="H594" s="1022">
        <f ca="1">IF(ISBLANK(OFFSET(H594,1,0)),OFFSET(H594,0,-1)+H596,OFFSET(H594,1,0))</f>
        <v>5731689.283867606</v>
      </c>
      <c r="I594" s="1022">
        <f t="shared" ref="I594:N594" ca="1" si="268">IF(ISBLANK(OFFSET(I594,1,0)),OFFSET(I594,0,-1)+I596,OFFSET(I594,1,0))</f>
        <v>1800106.1629046949</v>
      </c>
      <c r="J594" s="1022">
        <f t="shared" ca="1" si="268"/>
        <v>2205130.0495582512</v>
      </c>
      <c r="K594" s="1022">
        <f t="shared" ca="1" si="268"/>
        <v>2701284.3107088581</v>
      </c>
      <c r="L594" s="1022">
        <f t="shared" ca="1" si="268"/>
        <v>3309073.280618351</v>
      </c>
      <c r="M594" s="1022">
        <f t="shared" ref="M594" ca="1" si="269">IF(ISBLANK(OFFSET(M594,1,0)),OFFSET(M594,0,-1)+M596,OFFSET(M594,1,0))</f>
        <v>4053614.7687574802</v>
      </c>
      <c r="N594" s="1247">
        <f t="shared" ca="1" si="268"/>
        <v>0</v>
      </c>
      <c r="O594" s="326"/>
      <c r="P594" s="324" t="s">
        <v>71</v>
      </c>
    </row>
    <row r="595" spans="1:16" ht="11.25" customHeight="1" x14ac:dyDescent="0.35">
      <c r="A595" s="235"/>
      <c r="B595" s="450"/>
      <c r="C595" s="439" t="s">
        <v>5141</v>
      </c>
      <c r="D595" s="1111"/>
      <c r="E595" s="329" t="s">
        <v>721</v>
      </c>
      <c r="F595" s="1374"/>
      <c r="G595" s="1021"/>
      <c r="H595" s="1021">
        <v>5731689.283867606</v>
      </c>
      <c r="I595" s="1021">
        <v>1800106.1629046949</v>
      </c>
      <c r="J595" s="1021">
        <v>2205130.0495582512</v>
      </c>
      <c r="K595" s="1021">
        <v>2701284.3107088581</v>
      </c>
      <c r="L595" s="1021">
        <v>3309073.280618351</v>
      </c>
      <c r="M595" s="1021">
        <v>4053614.7687574802</v>
      </c>
      <c r="N595" s="1261">
        <v>0</v>
      </c>
      <c r="O595" s="326"/>
      <c r="P595" s="324" t="s">
        <v>71</v>
      </c>
    </row>
    <row r="596" spans="1:16" ht="11.25" customHeight="1" x14ac:dyDescent="0.35">
      <c r="A596" s="235"/>
      <c r="B596" s="450"/>
      <c r="C596" s="439" t="s">
        <v>5209</v>
      </c>
      <c r="D596" s="1111"/>
      <c r="E596" s="329" t="s">
        <v>722</v>
      </c>
      <c r="F596" s="1378">
        <f ca="1">F594-SUM(OFFSET(F594,0,-1))</f>
        <v>0</v>
      </c>
      <c r="G596" s="1053">
        <f ca="1">IF(NOT(ISBLANK(OFFSET(G$594,1,0))),-OFFSET(G$594,0,-1)+G$594,IF(OFFSET(G$594,-1,0)&lt;0,-OFFSET($H$594,0,-1),0))</f>
        <v>0</v>
      </c>
      <c r="H596" s="1022">
        <f t="shared" ref="H596:M596" ca="1" si="270">IF(NOT(ISBLANK(H$595)),-OFFSET(H$594,0,-1)+H$594,IF(H$593&lt;&gt;0,(IF(H$593&gt;0,MIN(H$593,H$539*30),MAX(H$593,-H$539*30))/(H$539*30))*(-H$457-H$458),0))</f>
        <v>5731689.283867606</v>
      </c>
      <c r="I596" s="1022">
        <f t="shared" ca="1" si="270"/>
        <v>-3931583.1209629113</v>
      </c>
      <c r="J596" s="1022">
        <f t="shared" ca="1" si="270"/>
        <v>405023.88665355626</v>
      </c>
      <c r="K596" s="1022">
        <f t="shared" ca="1" si="270"/>
        <v>496154.26115060691</v>
      </c>
      <c r="L596" s="1022">
        <f t="shared" ca="1" si="270"/>
        <v>607788.96990949288</v>
      </c>
      <c r="M596" s="1022">
        <f t="shared" ca="1" si="270"/>
        <v>744541.48813912924</v>
      </c>
      <c r="N596" s="1247">
        <f ca="1">IF(AND(N$5=-99,NoResCol=1),0,OFFSET(N594,1,0)-OFFSET(N594,0,-1))</f>
        <v>-4053614.7687574802</v>
      </c>
      <c r="O596" s="326"/>
      <c r="P596" s="324" t="s">
        <v>71</v>
      </c>
    </row>
    <row r="597" spans="1:16" ht="11.25" hidden="1" customHeight="1" x14ac:dyDescent="0.35">
      <c r="A597" s="235"/>
      <c r="B597" s="450">
        <v>2</v>
      </c>
      <c r="C597" s="512" t="s">
        <v>5140</v>
      </c>
      <c r="D597" s="1110"/>
      <c r="E597" s="513" t="s">
        <v>5034</v>
      </c>
      <c r="F597" s="1373">
        <f>IF((-F$457-F$458)&lt;&gt;0,(F598/ABS(-F$457-F$458))*(F$539*30),0)</f>
        <v>0</v>
      </c>
      <c r="G597" s="1051"/>
      <c r="H597" s="1051"/>
      <c r="I597" s="1051"/>
      <c r="J597" s="1051"/>
      <c r="K597" s="1051"/>
      <c r="L597" s="1051"/>
      <c r="M597" s="1051"/>
      <c r="N597" s="1253"/>
      <c r="O597" s="326"/>
      <c r="P597" s="324" t="s">
        <v>73</v>
      </c>
    </row>
    <row r="598" spans="1:16" ht="11.25" hidden="1" customHeight="1" x14ac:dyDescent="0.35">
      <c r="A598" s="235"/>
      <c r="B598" s="450"/>
      <c r="C598" s="1386" t="s">
        <v>5072</v>
      </c>
      <c r="D598" s="1111"/>
      <c r="E598" s="329" t="s">
        <v>5035</v>
      </c>
      <c r="F598" s="1384"/>
      <c r="G598" s="1022">
        <f ca="1">IF(ISBLANK(OFFSET(G598,1,0)),IF(OFFSET(G598,-1,0)&lt;0,0,OFFSET(G598,0,-1)),OFFSET(G598,1,0))</f>
        <v>0</v>
      </c>
      <c r="H598" s="1022">
        <f ca="1">IF(ISBLANK(OFFSET(H598,1,0)),OFFSET(H598,0,-1)+H600,OFFSET(H598,1,0))</f>
        <v>0</v>
      </c>
      <c r="I598" s="1022">
        <f t="shared" ref="I598:N598" ca="1" si="271">IF(ISBLANK(OFFSET(I598,1,0)),OFFSET(I598,0,-1)+I600,OFFSET(I598,1,0))</f>
        <v>0</v>
      </c>
      <c r="J598" s="1022">
        <f t="shared" ca="1" si="271"/>
        <v>0</v>
      </c>
      <c r="K598" s="1022">
        <f t="shared" ca="1" si="271"/>
        <v>0</v>
      </c>
      <c r="L598" s="1022">
        <f t="shared" ca="1" si="271"/>
        <v>0</v>
      </c>
      <c r="M598" s="1022">
        <f t="shared" ref="M598" ca="1" si="272">IF(ISBLANK(OFFSET(M598,1,0)),OFFSET(M598,0,-1)+M600,OFFSET(M598,1,0))</f>
        <v>0</v>
      </c>
      <c r="N598" s="1247">
        <f t="shared" ca="1" si="271"/>
        <v>0</v>
      </c>
      <c r="O598" s="326"/>
      <c r="P598" s="324" t="s">
        <v>73</v>
      </c>
    </row>
    <row r="599" spans="1:16" ht="11.25" hidden="1" customHeight="1" x14ac:dyDescent="0.35">
      <c r="A599" s="235"/>
      <c r="B599" s="450"/>
      <c r="C599" s="439" t="s">
        <v>5141</v>
      </c>
      <c r="D599" s="1111"/>
      <c r="E599" s="329" t="s">
        <v>5042</v>
      </c>
      <c r="F599" s="1375"/>
      <c r="G599" s="1021"/>
      <c r="H599" s="1021">
        <v>0</v>
      </c>
      <c r="I599" s="1021">
        <v>0</v>
      </c>
      <c r="J599" s="1021">
        <v>0</v>
      </c>
      <c r="K599" s="1021">
        <v>0</v>
      </c>
      <c r="L599" s="1021">
        <v>0</v>
      </c>
      <c r="M599" s="1021">
        <v>0</v>
      </c>
      <c r="N599" s="1261">
        <v>0</v>
      </c>
      <c r="O599" s="326"/>
      <c r="P599" s="324" t="s">
        <v>73</v>
      </c>
    </row>
    <row r="600" spans="1:16" ht="11.25" hidden="1" customHeight="1" x14ac:dyDescent="0.35">
      <c r="A600" s="235"/>
      <c r="B600" s="450"/>
      <c r="C600" s="439" t="s">
        <v>5209</v>
      </c>
      <c r="D600" s="1111"/>
      <c r="E600" s="329" t="s">
        <v>5046</v>
      </c>
      <c r="F600" s="1378">
        <f ca="1">F598-SUM(OFFSET(F598,0,-1))</f>
        <v>0</v>
      </c>
      <c r="G600" s="1053">
        <f ca="1">IF(NOT(ISBLANK(OFFSET(G$598,1,0))),-OFFSET(G$598,0,-1)+G$598,IF(OFFSET(G$598,-1,0)&lt;0,-OFFSET($H$598,0,-1),0))</f>
        <v>0</v>
      </c>
      <c r="H600" s="1022">
        <f t="shared" ref="H600:M600" ca="1" si="273">IF(NOT(ISBLANK(H$599)),-OFFSET(H$598,0,-1)+H$598,IF(H$597&lt;&gt;0,(IF(H$597&gt;0,MIN(H$597,H$539*30),MAX(H$597,-H$539*30))/(H$539*30))*(-H$457-H$458),0))</f>
        <v>0</v>
      </c>
      <c r="I600" s="1022">
        <f t="shared" ca="1" si="273"/>
        <v>0</v>
      </c>
      <c r="J600" s="1022">
        <f t="shared" ca="1" si="273"/>
        <v>0</v>
      </c>
      <c r="K600" s="1022">
        <f t="shared" ca="1" si="273"/>
        <v>0</v>
      </c>
      <c r="L600" s="1022">
        <f t="shared" ca="1" si="273"/>
        <v>0</v>
      </c>
      <c r="M600" s="1022">
        <f t="shared" ca="1" si="273"/>
        <v>0</v>
      </c>
      <c r="N600" s="1247">
        <f ca="1">IF(AND(N$5=-99,NoResCol=1),0,OFFSET(N598,1,0)-OFFSET(N598,0,-1))</f>
        <v>0</v>
      </c>
      <c r="O600" s="326"/>
      <c r="P600" s="324" t="s">
        <v>73</v>
      </c>
    </row>
    <row r="601" spans="1:16" ht="11.25" hidden="1" customHeight="1" x14ac:dyDescent="0.35">
      <c r="A601" s="235"/>
      <c r="B601" s="450">
        <v>3</v>
      </c>
      <c r="C601" s="512" t="s">
        <v>5140</v>
      </c>
      <c r="D601" s="1110"/>
      <c r="E601" s="513" t="s">
        <v>5036</v>
      </c>
      <c r="F601" s="1373">
        <f>IF((-F$457-F$458)&lt;&gt;0,(F602/ABS(-F$457-F$458))*(F$539*30),0)</f>
        <v>0</v>
      </c>
      <c r="G601" s="1051"/>
      <c r="H601" s="1051"/>
      <c r="I601" s="1051"/>
      <c r="J601" s="1051"/>
      <c r="K601" s="1051"/>
      <c r="L601" s="1051"/>
      <c r="M601" s="1051"/>
      <c r="N601" s="1253"/>
      <c r="O601" s="326"/>
      <c r="P601" s="324" t="s">
        <v>73</v>
      </c>
    </row>
    <row r="602" spans="1:16" ht="11.25" hidden="1" customHeight="1" x14ac:dyDescent="0.35">
      <c r="A602" s="235"/>
      <c r="B602" s="450"/>
      <c r="C602" s="1386" t="s">
        <v>5073</v>
      </c>
      <c r="D602" s="1111"/>
      <c r="E602" s="329" t="s">
        <v>5037</v>
      </c>
      <c r="F602" s="1384"/>
      <c r="G602" s="1022">
        <f ca="1">IF(ISBLANK(OFFSET(G602,1,0)),IF(OFFSET(G602,-1,0)&lt;0,0,OFFSET(G602,0,-1)),OFFSET(G602,1,0))</f>
        <v>0</v>
      </c>
      <c r="H602" s="1022">
        <f ca="1">IF(ISBLANK(OFFSET(H602,1,0)),OFFSET(H602,0,-1)+H604,OFFSET(H602,1,0))</f>
        <v>0</v>
      </c>
      <c r="I602" s="1022">
        <f t="shared" ref="I602:N602" ca="1" si="274">IF(ISBLANK(OFFSET(I602,1,0)),OFFSET(I602,0,-1)+I604,OFFSET(I602,1,0))</f>
        <v>0</v>
      </c>
      <c r="J602" s="1022">
        <f t="shared" ca="1" si="274"/>
        <v>0</v>
      </c>
      <c r="K602" s="1022">
        <f t="shared" ca="1" si="274"/>
        <v>0</v>
      </c>
      <c r="L602" s="1022">
        <f t="shared" ca="1" si="274"/>
        <v>0</v>
      </c>
      <c r="M602" s="1022">
        <f t="shared" ref="M602" ca="1" si="275">IF(ISBLANK(OFFSET(M602,1,0)),OFFSET(M602,0,-1)+M604,OFFSET(M602,1,0))</f>
        <v>0</v>
      </c>
      <c r="N602" s="1247">
        <f t="shared" ca="1" si="274"/>
        <v>0</v>
      </c>
      <c r="O602" s="326"/>
      <c r="P602" s="324" t="s">
        <v>73</v>
      </c>
    </row>
    <row r="603" spans="1:16" ht="11.25" hidden="1" customHeight="1" x14ac:dyDescent="0.35">
      <c r="A603" s="235"/>
      <c r="B603" s="450"/>
      <c r="C603" s="439" t="s">
        <v>5141</v>
      </c>
      <c r="D603" s="1111"/>
      <c r="E603" s="329" t="s">
        <v>5043</v>
      </c>
      <c r="F603" s="1375"/>
      <c r="G603" s="1021"/>
      <c r="H603" s="1021">
        <v>0</v>
      </c>
      <c r="I603" s="1021">
        <v>0</v>
      </c>
      <c r="J603" s="1021">
        <v>0</v>
      </c>
      <c r="K603" s="1021">
        <v>0</v>
      </c>
      <c r="L603" s="1021">
        <v>0</v>
      </c>
      <c r="M603" s="1021">
        <v>0</v>
      </c>
      <c r="N603" s="1261">
        <v>0</v>
      </c>
      <c r="O603" s="326"/>
      <c r="P603" s="324" t="s">
        <v>73</v>
      </c>
    </row>
    <row r="604" spans="1:16" ht="11.25" hidden="1" customHeight="1" x14ac:dyDescent="0.35">
      <c r="A604" s="235"/>
      <c r="B604" s="450"/>
      <c r="C604" s="439" t="s">
        <v>5209</v>
      </c>
      <c r="D604" s="1111"/>
      <c r="E604" s="329" t="s">
        <v>5047</v>
      </c>
      <c r="F604" s="1378">
        <f ca="1">F602-SUM(OFFSET(F602,0,-1))</f>
        <v>0</v>
      </c>
      <c r="G604" s="1053">
        <f ca="1">IF(NOT(ISBLANK(OFFSET(G$602,1,0))),-OFFSET(G$602,0,-1)+G$602,IF(OFFSET(G$602,-1,0)&lt;0,-OFFSET($H$602,0,-1),0))</f>
        <v>0</v>
      </c>
      <c r="H604" s="1022">
        <f t="shared" ref="H604:M604" ca="1" si="276">IF(NOT(ISBLANK(H$603)),-OFFSET(H$602,0,-1)+H$602,IF(H$601&lt;&gt;0,(IF(H$601&gt;0,MIN(H$601,H$539*30),MAX(H$601,-H$539*30))/(H$539*30))*(-H$457-H$458),0))</f>
        <v>0</v>
      </c>
      <c r="I604" s="1022">
        <f t="shared" ca="1" si="276"/>
        <v>0</v>
      </c>
      <c r="J604" s="1022">
        <f t="shared" ca="1" si="276"/>
        <v>0</v>
      </c>
      <c r="K604" s="1022">
        <f t="shared" ca="1" si="276"/>
        <v>0</v>
      </c>
      <c r="L604" s="1022">
        <f t="shared" ca="1" si="276"/>
        <v>0</v>
      </c>
      <c r="M604" s="1022">
        <f t="shared" ca="1" si="276"/>
        <v>0</v>
      </c>
      <c r="N604" s="1247">
        <f ca="1">IF(AND(N$5=-99,NoResCol=1),0,OFFSET(N602,1,0)-OFFSET(N602,0,-1))</f>
        <v>0</v>
      </c>
      <c r="O604" s="326"/>
      <c r="P604" s="324" t="s">
        <v>73</v>
      </c>
    </row>
    <row r="605" spans="1:16" ht="11.25" hidden="1" customHeight="1" x14ac:dyDescent="0.35">
      <c r="A605" s="235"/>
      <c r="B605" s="450">
        <v>4</v>
      </c>
      <c r="C605" s="512" t="s">
        <v>5140</v>
      </c>
      <c r="D605" s="1110"/>
      <c r="E605" s="513" t="s">
        <v>5038</v>
      </c>
      <c r="F605" s="1373">
        <f>IF((-F$457-F$458)&lt;&gt;0,(F606/ABS(-F$457-F$458))*(F$539*30),0)</f>
        <v>0</v>
      </c>
      <c r="G605" s="1051"/>
      <c r="H605" s="1051"/>
      <c r="I605" s="1051"/>
      <c r="J605" s="1051"/>
      <c r="K605" s="1051"/>
      <c r="L605" s="1051"/>
      <c r="M605" s="1051"/>
      <c r="N605" s="1253"/>
      <c r="O605" s="326"/>
      <c r="P605" s="324" t="s">
        <v>73</v>
      </c>
    </row>
    <row r="606" spans="1:16" ht="11.25" hidden="1" customHeight="1" x14ac:dyDescent="0.35">
      <c r="A606" s="235"/>
      <c r="B606" s="450"/>
      <c r="C606" s="1386" t="s">
        <v>5074</v>
      </c>
      <c r="D606" s="1111"/>
      <c r="E606" s="329" t="s">
        <v>5039</v>
      </c>
      <c r="F606" s="1384"/>
      <c r="G606" s="1022">
        <f ca="1">IF(ISBLANK(OFFSET(G606,1,0)),IF(OFFSET(G606,-1,0)&lt;0,0,OFFSET(G606,0,-1)),OFFSET(G606,1,0))</f>
        <v>0</v>
      </c>
      <c r="H606" s="1022">
        <f ca="1">IF(ISBLANK(OFFSET(H606,1,0)),OFFSET(H606,0,-1)+H608,OFFSET(H606,1,0))</f>
        <v>0</v>
      </c>
      <c r="I606" s="1022">
        <f t="shared" ref="I606:N606" ca="1" si="277">IF(ISBLANK(OFFSET(I606,1,0)),OFFSET(I606,0,-1)+I608,OFFSET(I606,1,0))</f>
        <v>0</v>
      </c>
      <c r="J606" s="1022">
        <f t="shared" ca="1" si="277"/>
        <v>0</v>
      </c>
      <c r="K606" s="1022">
        <f t="shared" ca="1" si="277"/>
        <v>0</v>
      </c>
      <c r="L606" s="1022">
        <f t="shared" ca="1" si="277"/>
        <v>0</v>
      </c>
      <c r="M606" s="1022">
        <f t="shared" ref="M606" ca="1" si="278">IF(ISBLANK(OFFSET(M606,1,0)),OFFSET(M606,0,-1)+M608,OFFSET(M606,1,0))</f>
        <v>0</v>
      </c>
      <c r="N606" s="1247">
        <f t="shared" ca="1" si="277"/>
        <v>0</v>
      </c>
      <c r="O606" s="326"/>
      <c r="P606" s="324" t="s">
        <v>73</v>
      </c>
    </row>
    <row r="607" spans="1:16" ht="11.25" hidden="1" customHeight="1" x14ac:dyDescent="0.35">
      <c r="A607" s="235"/>
      <c r="B607" s="450"/>
      <c r="C607" s="439" t="s">
        <v>5141</v>
      </c>
      <c r="D607" s="1111"/>
      <c r="E607" s="329" t="s">
        <v>5044</v>
      </c>
      <c r="F607" s="1375"/>
      <c r="G607" s="1021"/>
      <c r="H607" s="1021">
        <v>0</v>
      </c>
      <c r="I607" s="1021">
        <v>0</v>
      </c>
      <c r="J607" s="1021">
        <v>0</v>
      </c>
      <c r="K607" s="1021">
        <v>0</v>
      </c>
      <c r="L607" s="1021">
        <v>0</v>
      </c>
      <c r="M607" s="1021">
        <v>0</v>
      </c>
      <c r="N607" s="1261">
        <v>0</v>
      </c>
      <c r="O607" s="326"/>
      <c r="P607" s="324" t="s">
        <v>73</v>
      </c>
    </row>
    <row r="608" spans="1:16" ht="11.25" hidden="1" customHeight="1" x14ac:dyDescent="0.35">
      <c r="A608" s="235"/>
      <c r="B608" s="450"/>
      <c r="C608" s="439" t="s">
        <v>5209</v>
      </c>
      <c r="D608" s="1111"/>
      <c r="E608" s="329" t="s">
        <v>5048</v>
      </c>
      <c r="F608" s="1378">
        <f ca="1">F606-SUM(OFFSET(F606,0,-1))</f>
        <v>0</v>
      </c>
      <c r="G608" s="1053">
        <f ca="1">IF(NOT(ISBLANK(OFFSET(G$606,1,0))),-OFFSET(G$606,0,-1)+G$606,IF(OFFSET(G$606,-1,0)&lt;0,-OFFSET($H$606,0,-1),0))</f>
        <v>0</v>
      </c>
      <c r="H608" s="1022">
        <f t="shared" ref="H608:M608" ca="1" si="279">IF(NOT(ISBLANK(H$607)),-OFFSET(H$606,0,-1)+H$606,IF(H$605&lt;&gt;0,(IF(H$605&gt;0,MIN(H$605,H$539*30),MAX(H$605,-H$539*30))/(H$539*30))*(-H$457-H$458),0))</f>
        <v>0</v>
      </c>
      <c r="I608" s="1022">
        <f t="shared" ca="1" si="279"/>
        <v>0</v>
      </c>
      <c r="J608" s="1022">
        <f t="shared" ca="1" si="279"/>
        <v>0</v>
      </c>
      <c r="K608" s="1022">
        <f t="shared" ca="1" si="279"/>
        <v>0</v>
      </c>
      <c r="L608" s="1022">
        <f t="shared" ca="1" si="279"/>
        <v>0</v>
      </c>
      <c r="M608" s="1022">
        <f t="shared" ca="1" si="279"/>
        <v>0</v>
      </c>
      <c r="N608" s="1247">
        <f ca="1">IF(AND(N$5=-99,NoResCol=1),0,OFFSET(N606,1,0)-OFFSET(N606,0,-1))</f>
        <v>0</v>
      </c>
      <c r="O608" s="326"/>
      <c r="P608" s="324" t="s">
        <v>73</v>
      </c>
    </row>
    <row r="609" spans="1:16" ht="11.25" hidden="1" customHeight="1" x14ac:dyDescent="0.35">
      <c r="A609" s="235"/>
      <c r="B609" s="450">
        <v>5</v>
      </c>
      <c r="C609" s="512" t="s">
        <v>5140</v>
      </c>
      <c r="D609" s="1110"/>
      <c r="E609" s="513" t="s">
        <v>5040</v>
      </c>
      <c r="F609" s="1373">
        <f>IF((-F$457-F$458)&lt;&gt;0,(F610/ABS(-F$457-F$458))*(F$539*30),0)</f>
        <v>0</v>
      </c>
      <c r="G609" s="1051"/>
      <c r="H609" s="1051"/>
      <c r="I609" s="1051"/>
      <c r="J609" s="1051"/>
      <c r="K609" s="1051"/>
      <c r="L609" s="1051"/>
      <c r="M609" s="1051"/>
      <c r="N609" s="1253"/>
      <c r="O609" s="326"/>
      <c r="P609" s="324" t="s">
        <v>73</v>
      </c>
    </row>
    <row r="610" spans="1:16" ht="11.25" hidden="1" customHeight="1" x14ac:dyDescent="0.35">
      <c r="A610" s="235"/>
      <c r="B610" s="450"/>
      <c r="C610" s="1386" t="s">
        <v>5075</v>
      </c>
      <c r="D610" s="1111"/>
      <c r="E610" s="329" t="s">
        <v>5041</v>
      </c>
      <c r="F610" s="1384"/>
      <c r="G610" s="1022">
        <f ca="1">IF(ISBLANK(OFFSET(G610,1,0)),IF(OFFSET(G610,-1,0)&lt;0,0,OFFSET(G610,0,-1)),OFFSET(G610,1,0))</f>
        <v>0</v>
      </c>
      <c r="H610" s="1022">
        <f ca="1">IF(ISBLANK(OFFSET(H610,1,0)),OFFSET(H610,0,-1)+H612,OFFSET(H610,1,0))</f>
        <v>0</v>
      </c>
      <c r="I610" s="1022">
        <f t="shared" ref="I610:N610" ca="1" si="280">IF(ISBLANK(OFFSET(I610,1,0)),OFFSET(I610,0,-1)+I612,OFFSET(I610,1,0))</f>
        <v>0</v>
      </c>
      <c r="J610" s="1022">
        <f t="shared" ca="1" si="280"/>
        <v>0</v>
      </c>
      <c r="K610" s="1022">
        <f t="shared" ca="1" si="280"/>
        <v>0</v>
      </c>
      <c r="L610" s="1022">
        <f t="shared" ca="1" si="280"/>
        <v>0</v>
      </c>
      <c r="M610" s="1022">
        <f t="shared" ref="M610" ca="1" si="281">IF(ISBLANK(OFFSET(M610,1,0)),OFFSET(M610,0,-1)+M612,OFFSET(M610,1,0))</f>
        <v>0</v>
      </c>
      <c r="N610" s="1247">
        <f t="shared" ca="1" si="280"/>
        <v>0</v>
      </c>
      <c r="O610" s="326"/>
      <c r="P610" s="324" t="s">
        <v>73</v>
      </c>
    </row>
    <row r="611" spans="1:16" ht="11.25" hidden="1" customHeight="1" x14ac:dyDescent="0.35">
      <c r="A611" s="235"/>
      <c r="B611" s="450"/>
      <c r="C611" s="439" t="s">
        <v>5141</v>
      </c>
      <c r="D611" s="1111"/>
      <c r="E611" s="329" t="s">
        <v>5045</v>
      </c>
      <c r="F611" s="1375"/>
      <c r="G611" s="1021"/>
      <c r="H611" s="1021">
        <v>0</v>
      </c>
      <c r="I611" s="1021">
        <v>0</v>
      </c>
      <c r="J611" s="1021">
        <v>0</v>
      </c>
      <c r="K611" s="1021">
        <v>0</v>
      </c>
      <c r="L611" s="1021">
        <v>0</v>
      </c>
      <c r="M611" s="1021">
        <v>0</v>
      </c>
      <c r="N611" s="1261">
        <v>0</v>
      </c>
      <c r="O611" s="326"/>
      <c r="P611" s="324" t="s">
        <v>73</v>
      </c>
    </row>
    <row r="612" spans="1:16" ht="11.25" hidden="1" customHeight="1" x14ac:dyDescent="0.35">
      <c r="A612" s="235"/>
      <c r="B612" s="450"/>
      <c r="C612" s="439" t="s">
        <v>5209</v>
      </c>
      <c r="D612" s="1111"/>
      <c r="E612" s="329" t="s">
        <v>5049</v>
      </c>
      <c r="F612" s="1375">
        <f ca="1">F610-SUM(OFFSET(F610,0,-1))</f>
        <v>0</v>
      </c>
      <c r="G612" s="1022">
        <f ca="1">IF(NOT(ISBLANK(OFFSET(G$610,1,0))),-OFFSET(G$610,0,-1)+G$610,IF(OFFSET(G$610,-1,0)&lt;0,-OFFSET($H$610,0,-1),0))</f>
        <v>0</v>
      </c>
      <c r="H612" s="1022">
        <f t="shared" ref="H612:M612" ca="1" si="282">IF(NOT(ISBLANK(H$611)),-OFFSET(H$610,0,-1)+H$610,IF(H$609&lt;&gt;0,(IF(H$609&gt;0,MIN(H$609,H$539*30),MAX(H$609,-H$539*30))/(H$539*30))*(-H$457-H$458),0))</f>
        <v>0</v>
      </c>
      <c r="I612" s="1022">
        <f t="shared" ca="1" si="282"/>
        <v>0</v>
      </c>
      <c r="J612" s="1022">
        <f t="shared" ca="1" si="282"/>
        <v>0</v>
      </c>
      <c r="K612" s="1022">
        <f t="shared" ca="1" si="282"/>
        <v>0</v>
      </c>
      <c r="L612" s="1022">
        <f t="shared" ca="1" si="282"/>
        <v>0</v>
      </c>
      <c r="M612" s="1022">
        <f t="shared" ca="1" si="282"/>
        <v>0</v>
      </c>
      <c r="N612" s="1247">
        <f ca="1">IF(AND(N$5=-99,NoResCol=1),0,OFFSET(N610,1,0)-OFFSET(N610,0,-1))</f>
        <v>0</v>
      </c>
      <c r="O612" s="326"/>
      <c r="P612" s="324" t="s">
        <v>73</v>
      </c>
    </row>
    <row r="613" spans="1:16" ht="11.25" hidden="1" customHeight="1" x14ac:dyDescent="0.35">
      <c r="A613" s="235"/>
      <c r="B613" s="450"/>
      <c r="C613" s="512" t="s">
        <v>5377</v>
      </c>
      <c r="D613" s="1110"/>
      <c r="E613" s="1243" t="s">
        <v>5385</v>
      </c>
      <c r="F613" s="1377">
        <f ca="1">OFFSET($E$817,0,F$8)</f>
        <v>0</v>
      </c>
      <c r="G613" s="1050">
        <f t="shared" ref="G613:M613" ca="1" si="283">G$817</f>
        <v>0</v>
      </c>
      <c r="H613" s="1050">
        <f t="shared" ca="1" si="283"/>
        <v>0</v>
      </c>
      <c r="I613" s="1050">
        <f t="shared" ca="1" si="283"/>
        <v>0</v>
      </c>
      <c r="J613" s="1050">
        <f t="shared" ca="1" si="283"/>
        <v>0</v>
      </c>
      <c r="K613" s="1050">
        <f t="shared" ca="1" si="283"/>
        <v>0</v>
      </c>
      <c r="L613" s="1050">
        <f t="shared" ca="1" si="283"/>
        <v>0</v>
      </c>
      <c r="M613" s="1050">
        <f t="shared" ca="1" si="283"/>
        <v>0</v>
      </c>
      <c r="N613" s="1263"/>
      <c r="O613" s="326"/>
      <c r="P613" s="324" t="s">
        <v>73</v>
      </c>
    </row>
    <row r="614" spans="1:16" ht="11.25" hidden="1" customHeight="1" x14ac:dyDescent="0.35">
      <c r="A614" s="235"/>
      <c r="B614" s="450"/>
      <c r="C614" s="439" t="s">
        <v>5378</v>
      </c>
      <c r="D614" s="1111"/>
      <c r="E614" s="1242" t="s">
        <v>5386</v>
      </c>
      <c r="F614" s="1385">
        <f ca="1">F613-SUM(OFFSET(F613,0,-1))</f>
        <v>0</v>
      </c>
      <c r="G614" s="1026"/>
      <c r="H614" s="1026"/>
      <c r="I614" s="1026"/>
      <c r="J614" s="1026"/>
      <c r="K614" s="1026"/>
      <c r="L614" s="1026"/>
      <c r="M614" s="1026"/>
      <c r="N614" s="1249">
        <f ca="1">IF(AND(N$5=-99,NoResCol=1),0,-OFFSET($E$613,0,N$8-1)+OFFSET($E$613,0,N$8))</f>
        <v>0</v>
      </c>
      <c r="O614" s="326"/>
      <c r="P614" s="324" t="s">
        <v>73</v>
      </c>
    </row>
    <row r="615" spans="1:16" ht="11.25" customHeight="1" x14ac:dyDescent="0.35">
      <c r="A615" s="235"/>
      <c r="B615" s="450"/>
      <c r="C615" s="512" t="s">
        <v>723</v>
      </c>
      <c r="D615" s="1110"/>
      <c r="E615" s="513" t="s">
        <v>724</v>
      </c>
      <c r="F615" s="1377">
        <f ca="1">OFFSET($E$818,0,F$8)</f>
        <v>0</v>
      </c>
      <c r="G615" s="1050">
        <f ca="1">G$818</f>
        <v>0</v>
      </c>
      <c r="H615" s="1050">
        <f t="shared" ref="H615:M615" ca="1" si="284">OFFSET(H615,0,-1)+OFFSET(H615,1,0)</f>
        <v>0</v>
      </c>
      <c r="I615" s="1050">
        <f t="shared" ca="1" si="284"/>
        <v>0</v>
      </c>
      <c r="J615" s="1050">
        <f t="shared" ca="1" si="284"/>
        <v>0</v>
      </c>
      <c r="K615" s="1050">
        <f t="shared" ca="1" si="284"/>
        <v>0</v>
      </c>
      <c r="L615" s="1050">
        <f t="shared" ca="1" si="284"/>
        <v>0</v>
      </c>
      <c r="M615" s="1050">
        <f t="shared" ca="1" si="284"/>
        <v>0</v>
      </c>
      <c r="N615" s="1263"/>
      <c r="O615" s="326"/>
      <c r="P615" s="324" t="s">
        <v>71</v>
      </c>
    </row>
    <row r="616" spans="1:16" ht="11.25" customHeight="1" x14ac:dyDescent="0.35">
      <c r="A616" s="235"/>
      <c r="B616" s="450"/>
      <c r="C616" s="518" t="s">
        <v>5389</v>
      </c>
      <c r="D616" s="1138"/>
      <c r="E616" s="519" t="s">
        <v>725</v>
      </c>
      <c r="F616" s="1385">
        <f ca="1">F615-SUM(OFFSET(F615,0,-1))</f>
        <v>0</v>
      </c>
      <c r="G616" s="1026"/>
      <c r="H616" s="1026"/>
      <c r="I616" s="1026"/>
      <c r="J616" s="1026"/>
      <c r="K616" s="1026"/>
      <c r="L616" s="1026"/>
      <c r="M616" s="1026"/>
      <c r="N616" s="1249">
        <f ca="1">IF(AND(N$5=-99,NoResCol=1),0,-OFFSET($E$615,0,N$8-1)+OFFSET($E$615,0,N$8))</f>
        <v>0</v>
      </c>
      <c r="O616" s="326"/>
      <c r="P616" s="324" t="s">
        <v>71</v>
      </c>
    </row>
    <row r="617" spans="1:16" ht="11.25" hidden="1" customHeight="1" x14ac:dyDescent="0.35">
      <c r="A617" s="235"/>
      <c r="B617" s="450"/>
      <c r="C617" s="439" t="s">
        <v>5390</v>
      </c>
      <c r="D617" s="1111"/>
      <c r="E617" s="1242" t="s">
        <v>5387</v>
      </c>
      <c r="F617" s="1377">
        <f ca="1">OFFSET($E$819,0,F$8)</f>
        <v>0</v>
      </c>
      <c r="G617" s="1050">
        <f t="shared" ref="G617:M617" ca="1" si="285">G$819</f>
        <v>0</v>
      </c>
      <c r="H617" s="1050">
        <f t="shared" ca="1" si="285"/>
        <v>0</v>
      </c>
      <c r="I617" s="1050">
        <f t="shared" ca="1" si="285"/>
        <v>0</v>
      </c>
      <c r="J617" s="1050">
        <f t="shared" ca="1" si="285"/>
        <v>0</v>
      </c>
      <c r="K617" s="1050">
        <f t="shared" ca="1" si="285"/>
        <v>0</v>
      </c>
      <c r="L617" s="1050">
        <f t="shared" ca="1" si="285"/>
        <v>0</v>
      </c>
      <c r="M617" s="1050">
        <f t="shared" ca="1" si="285"/>
        <v>0</v>
      </c>
      <c r="N617" s="1263"/>
      <c r="O617" s="326"/>
      <c r="P617" s="324" t="s">
        <v>73</v>
      </c>
    </row>
    <row r="618" spans="1:16" ht="11.25" hidden="1" customHeight="1" x14ac:dyDescent="0.35">
      <c r="A618" s="235"/>
      <c r="B618" s="450"/>
      <c r="C618" s="439" t="s">
        <v>5420</v>
      </c>
      <c r="D618" s="1111"/>
      <c r="E618" s="1242" t="s">
        <v>5388</v>
      </c>
      <c r="F618" s="1385">
        <f ca="1">F617-SUM(OFFSET(F617,0,-1))</f>
        <v>0</v>
      </c>
      <c r="G618" s="1026"/>
      <c r="H618" s="1026"/>
      <c r="I618" s="1026"/>
      <c r="J618" s="1026"/>
      <c r="K618" s="1026"/>
      <c r="L618" s="1026"/>
      <c r="M618" s="1026"/>
      <c r="N618" s="1249">
        <f ca="1">IF(AND(N$5=-99,NoResCol=1),0,-OFFSET($E$617,0,N$8-1)+OFFSET($E$617,0,N$8))</f>
        <v>0</v>
      </c>
      <c r="O618" s="326"/>
      <c r="P618" s="324" t="s">
        <v>73</v>
      </c>
    </row>
    <row r="619" spans="1:16" ht="11.25" customHeight="1" x14ac:dyDescent="0.35">
      <c r="A619" s="235"/>
      <c r="B619" s="514"/>
      <c r="C619" s="515" t="s">
        <v>726</v>
      </c>
      <c r="D619" s="1137"/>
      <c r="E619" s="342" t="s">
        <v>727</v>
      </c>
      <c r="F619" s="1379">
        <f ca="1">F596+IF(PayablesSpec,F600+F604+F608+F612,0)+OFFSET($E$614,0,F$8)+OFFSET($E$616,0,F$8)+OFFSET($E$618,0,F$8)</f>
        <v>0</v>
      </c>
      <c r="G619" s="1052">
        <f ca="1">IF(NoZeroCol=1,0,G596+IF(PayablesSpec,G600+G604+G608+G612,0)+OFFSET($E$614,0,G$8)+OFFSET($E$616,0,G$8)+OFFSET($E$618,0,G$8))</f>
        <v>0</v>
      </c>
      <c r="H619" s="1052">
        <f t="shared" ref="H619:M619" ca="1" si="286">H596+IF(PayablesSpec,H600+H604+H608+H612,0)+OFFSET($E$614,0,H$8)+OFFSET($E$616,0,H$8)+OFFSET($E$618,0,H$8)</f>
        <v>5731689.283867606</v>
      </c>
      <c r="I619" s="1052">
        <f t="shared" ca="1" si="286"/>
        <v>-3931583.1209629113</v>
      </c>
      <c r="J619" s="1052">
        <f t="shared" ca="1" si="286"/>
        <v>405023.88665355626</v>
      </c>
      <c r="K619" s="1052">
        <f t="shared" ca="1" si="286"/>
        <v>496154.26115060691</v>
      </c>
      <c r="L619" s="1052">
        <f t="shared" ca="1" si="286"/>
        <v>607788.96990949288</v>
      </c>
      <c r="M619" s="1052">
        <f t="shared" ca="1" si="286"/>
        <v>744541.48813912924</v>
      </c>
      <c r="N619" s="1264">
        <f ca="1">IF(NoResCol=1,0,N596+IF(PayablesSpec,N600+N604+N608+N612,0)+N614+N616+N618)</f>
        <v>-4053614.7687574802</v>
      </c>
      <c r="O619" s="326"/>
      <c r="P619" s="324" t="s">
        <v>71</v>
      </c>
    </row>
    <row r="620" spans="1:16" ht="11.25" customHeight="1" x14ac:dyDescent="0.35">
      <c r="A620" s="235"/>
      <c r="B620" s="520" t="s">
        <v>728</v>
      </c>
      <c r="C620" s="521"/>
      <c r="D620" s="1137"/>
      <c r="E620" s="342" t="s">
        <v>729</v>
      </c>
      <c r="F620" s="954">
        <f ca="1">SUM(OFFSET(F621,0,-1))-F621</f>
        <v>0</v>
      </c>
      <c r="G620" s="1054">
        <f t="shared" ref="G620:N620" si="287">IF(OR(AND(G$5=0,NoZeroCol=1),AND(G$5=-99,NoResCol=1)),0,G569+G591+G619)</f>
        <v>0</v>
      </c>
      <c r="H620" s="1054">
        <f t="shared" ca="1" si="287"/>
        <v>-16451386.845279008</v>
      </c>
      <c r="I620" s="1054">
        <f t="shared" ca="1" si="287"/>
        <v>11379082.088564593</v>
      </c>
      <c r="J620" s="1054">
        <f t="shared" ca="1" si="287"/>
        <v>-1141268.5702607429</v>
      </c>
      <c r="K620" s="1054">
        <f t="shared" ca="1" si="287"/>
        <v>-1398053.9985694103</v>
      </c>
      <c r="L620" s="1054">
        <f t="shared" ca="1" si="287"/>
        <v>-1712616.148247526</v>
      </c>
      <c r="M620" s="1054">
        <f t="shared" ref="M620" ca="1" si="288">IF(OR(AND(M$5=0,NoZeroCol=1),AND(M$5=-99,NoResCol=1)),0,M569+M591+M619)</f>
        <v>-2097954.7816032199</v>
      </c>
      <c r="N620" s="1254">
        <f t="shared" ca="1" si="287"/>
        <v>11422198.255395312</v>
      </c>
      <c r="O620" s="326"/>
      <c r="P620" s="324" t="s">
        <v>392</v>
      </c>
    </row>
    <row r="621" spans="1:16" ht="11.25" customHeight="1" x14ac:dyDescent="0.35">
      <c r="A621" s="235"/>
      <c r="B621" s="346" t="s">
        <v>730</v>
      </c>
      <c r="C621" s="515"/>
      <c r="D621" s="1137"/>
      <c r="E621" s="342" t="s">
        <v>731</v>
      </c>
      <c r="F621" s="954">
        <f ca="1">F542+F563+F572-F594-F615+IF(ReceivablesSpec,F546+F550+F554+F558,0)+IF(InventoriesSpec,F576+F580+F584+F588,0)-IF(PayablesSpec,F598+F602+F606+F610,0)</f>
        <v>0</v>
      </c>
      <c r="G621" s="1052">
        <f t="shared" ref="G621:N621" ca="1" si="289">-G620+OFFSET(G621,0,-1)</f>
        <v>0</v>
      </c>
      <c r="H621" s="1052">
        <f t="shared" ca="1" si="289"/>
        <v>16451386.845279008</v>
      </c>
      <c r="I621" s="1052">
        <f t="shared" ca="1" si="289"/>
        <v>5072304.7567144148</v>
      </c>
      <c r="J621" s="1052">
        <f t="shared" ca="1" si="289"/>
        <v>6213573.3269751575</v>
      </c>
      <c r="K621" s="1052">
        <f t="shared" ca="1" si="289"/>
        <v>7611627.3255445678</v>
      </c>
      <c r="L621" s="1052">
        <f t="shared" ca="1" si="289"/>
        <v>9324243.4737920947</v>
      </c>
      <c r="M621" s="1052">
        <f t="shared" ref="M621" ca="1" si="290">-M620+OFFSET(M621,0,-1)</f>
        <v>11422198.255395316</v>
      </c>
      <c r="N621" s="1264">
        <f t="shared" ca="1" si="289"/>
        <v>0</v>
      </c>
      <c r="O621" s="326"/>
      <c r="P621" s="324" t="s">
        <v>392</v>
      </c>
    </row>
    <row r="622" spans="1:16" ht="5.15" customHeight="1" x14ac:dyDescent="0.35">
      <c r="A622" s="235"/>
      <c r="B622" s="235"/>
      <c r="C622" s="235"/>
      <c r="D622" s="235"/>
      <c r="E622" s="322" t="s">
        <v>39</v>
      </c>
      <c r="F622" s="522"/>
      <c r="G622" s="523"/>
      <c r="H622" s="523"/>
      <c r="I622" s="523"/>
      <c r="J622" s="523"/>
      <c r="K622" s="523"/>
      <c r="L622" s="523"/>
      <c r="M622" s="523"/>
      <c r="N622" s="523"/>
      <c r="O622" s="326"/>
      <c r="P622" s="324" t="s">
        <v>66</v>
      </c>
    </row>
    <row r="623" spans="1:16" ht="12" customHeight="1" x14ac:dyDescent="0.35">
      <c r="A623" s="235"/>
      <c r="B623" s="336" t="s">
        <v>732</v>
      </c>
      <c r="C623" s="235"/>
      <c r="D623" s="235"/>
      <c r="E623" s="329" t="s">
        <v>733</v>
      </c>
      <c r="F623" s="322"/>
      <c r="G623" s="506"/>
      <c r="H623" s="506"/>
      <c r="I623" s="506"/>
      <c r="J623" s="506"/>
      <c r="K623" s="506"/>
      <c r="L623" s="506"/>
      <c r="M623" s="506"/>
      <c r="N623" s="506"/>
      <c r="O623" s="326"/>
      <c r="P623" s="324" t="s">
        <v>54</v>
      </c>
    </row>
    <row r="624" spans="1:16" ht="12" customHeight="1" x14ac:dyDescent="0.35">
      <c r="A624" s="235"/>
      <c r="B624" s="439"/>
      <c r="C624" s="439"/>
      <c r="D624" s="439"/>
      <c r="E624" s="329" t="s">
        <v>734</v>
      </c>
      <c r="F624" s="322"/>
      <c r="G624" s="524"/>
      <c r="H624" s="524"/>
      <c r="I624" s="524"/>
      <c r="J624" s="524"/>
      <c r="K624" s="524"/>
      <c r="L624" s="524"/>
      <c r="M624" s="524"/>
      <c r="N624" s="524"/>
      <c r="O624" s="326"/>
      <c r="P624" s="324" t="s">
        <v>54</v>
      </c>
    </row>
    <row r="625" spans="1:16" ht="16" customHeight="1" x14ac:dyDescent="0.35">
      <c r="A625" s="235"/>
      <c r="B625" s="525" t="s">
        <v>735</v>
      </c>
      <c r="C625" s="439"/>
      <c r="D625" s="439"/>
      <c r="E625" s="329" t="s">
        <v>736</v>
      </c>
      <c r="F625" s="322"/>
      <c r="G625" s="524"/>
      <c r="H625" s="524"/>
      <c r="I625" s="524"/>
      <c r="J625" s="524"/>
      <c r="K625" s="524"/>
      <c r="L625" s="524"/>
      <c r="M625" s="524"/>
      <c r="N625" s="524"/>
      <c r="O625" s="326"/>
      <c r="P625" s="324" t="s">
        <v>66</v>
      </c>
    </row>
    <row r="626" spans="1:16" ht="11.25" customHeight="1" x14ac:dyDescent="0.35">
      <c r="A626" s="406"/>
      <c r="B626" s="339" t="str">
        <f>IF(PrintMode=0,"           ","")&amp;IF(Figures&gt;1,Figures&amp;" ","")&amp;Currency</f>
        <v xml:space="preserve">           Euro</v>
      </c>
      <c r="C626" s="440"/>
      <c r="D626" s="1097"/>
      <c r="E626" s="342" t="s">
        <v>737</v>
      </c>
      <c r="F626" s="946" t="str">
        <f>F$1&amp;"/"&amp;F$3</f>
        <v>8/2019</v>
      </c>
      <c r="G626" s="947" t="str">
        <f>G$1&amp;"/"&amp;G$3</f>
        <v>9/2019</v>
      </c>
      <c r="H626" s="948" t="str">
        <f t="shared" ref="H626:M626" si="291">H$440</f>
        <v>12/2019</v>
      </c>
      <c r="I626" s="948" t="str">
        <f t="shared" si="291"/>
        <v>12/2020</v>
      </c>
      <c r="J626" s="948" t="str">
        <f t="shared" si="291"/>
        <v>12/2021</v>
      </c>
      <c r="K626" s="948" t="str">
        <f t="shared" si="291"/>
        <v>12/2022</v>
      </c>
      <c r="L626" s="948" t="str">
        <f t="shared" si="291"/>
        <v>12/2023</v>
      </c>
      <c r="M626" s="948" t="str">
        <f t="shared" si="291"/>
        <v>12/2024</v>
      </c>
      <c r="N626" s="1250" t="str">
        <f ca="1">N$16</f>
        <v>Residual</v>
      </c>
      <c r="O626" s="326"/>
      <c r="P626" s="324" t="s">
        <v>66</v>
      </c>
    </row>
    <row r="627" spans="1:16" ht="14.15" customHeight="1" x14ac:dyDescent="0.35">
      <c r="A627" s="235"/>
      <c r="B627" s="346" t="s">
        <v>59</v>
      </c>
      <c r="C627" s="347"/>
      <c r="D627" s="1098"/>
      <c r="E627" s="397" t="s">
        <v>738</v>
      </c>
      <c r="F627" s="949">
        <f>F$17</f>
        <v>12</v>
      </c>
      <c r="G627" s="950"/>
      <c r="H627" s="950">
        <f t="shared" ref="H627:N627" si="292">H$17</f>
        <v>4</v>
      </c>
      <c r="I627" s="950">
        <f t="shared" si="292"/>
        <v>12</v>
      </c>
      <c r="J627" s="950">
        <f t="shared" si="292"/>
        <v>12</v>
      </c>
      <c r="K627" s="950">
        <f t="shared" si="292"/>
        <v>12</v>
      </c>
      <c r="L627" s="950">
        <f t="shared" si="292"/>
        <v>12</v>
      </c>
      <c r="M627" s="950">
        <f t="shared" si="292"/>
        <v>12</v>
      </c>
      <c r="N627" s="1251" t="str">
        <f t="shared" ca="1" si="292"/>
        <v>(12/2024)</v>
      </c>
      <c r="O627" s="326"/>
      <c r="P627" s="324" t="s">
        <v>71</v>
      </c>
    </row>
    <row r="628" spans="1:16" ht="14.15" customHeight="1" x14ac:dyDescent="0.35">
      <c r="A628" s="235"/>
      <c r="B628" s="441" t="s">
        <v>739</v>
      </c>
      <c r="C628" s="396"/>
      <c r="D628" s="1130"/>
      <c r="E628" s="329" t="s">
        <v>740</v>
      </c>
      <c r="F628" s="955"/>
      <c r="G628" s="1055"/>
      <c r="H628" s="1055"/>
      <c r="I628" s="1055"/>
      <c r="J628" s="1055"/>
      <c r="K628" s="1055"/>
      <c r="L628" s="1055"/>
      <c r="M628" s="1055"/>
      <c r="N628" s="1252"/>
      <c r="O628" s="326"/>
      <c r="P628" s="324" t="s">
        <v>71</v>
      </c>
    </row>
    <row r="629" spans="1:16" ht="12" customHeight="1" x14ac:dyDescent="0.35">
      <c r="A629" s="235"/>
      <c r="B629" s="450"/>
      <c r="C629" s="439" t="s">
        <v>565</v>
      </c>
      <c r="D629" s="1111"/>
      <c r="E629" s="329" t="s">
        <v>741</v>
      </c>
      <c r="F629" s="967">
        <f t="shared" ref="F629:N629" ca="1" si="293">IF(OR(AND(F$5=0,NoZeroCol=1),AND(F$5=-99,NoResCol=1)),0,F453+OFFSET($E$455,0,F$8))</f>
        <v>0</v>
      </c>
      <c r="G629" s="1022">
        <f t="shared" ca="1" si="293"/>
        <v>0</v>
      </c>
      <c r="H629" s="1022">
        <f t="shared" ca="1" si="293"/>
        <v>11461080.606711309</v>
      </c>
      <c r="I629" s="1022">
        <f t="shared" ca="1" si="293"/>
        <v>43193887.481145039</v>
      </c>
      <c r="J629" s="1022">
        <f t="shared" ca="1" si="293"/>
        <v>52912512.164402664</v>
      </c>
      <c r="K629" s="1022">
        <f t="shared" ca="1" si="293"/>
        <v>64817827.401393265</v>
      </c>
      <c r="L629" s="1022">
        <f t="shared" ca="1" si="293"/>
        <v>79401838.566706747</v>
      </c>
      <c r="M629" s="1022">
        <f t="shared" ref="M629" ca="1" si="294">IF(OR(AND(M$5=0,NoZeroCol=1),AND(M$5=-99,NoResCol=1)),0,M453+OFFSET($E$455,0,M$8))</f>
        <v>97267252.244215772</v>
      </c>
      <c r="N629" s="1247">
        <f t="shared" ca="1" si="293"/>
        <v>0</v>
      </c>
      <c r="O629" s="326"/>
      <c r="P629" s="324" t="s">
        <v>71</v>
      </c>
    </row>
    <row r="630" spans="1:16" ht="12" hidden="1" customHeight="1" x14ac:dyDescent="0.35">
      <c r="A630" s="235"/>
      <c r="B630" s="450"/>
      <c r="C630" s="526" t="str">
        <f ca="1">""&amp;OFFSET($E443,0,-2)</f>
        <v>Sales</v>
      </c>
      <c r="D630" s="1110"/>
      <c r="E630" s="385" t="s">
        <v>742</v>
      </c>
      <c r="F630" s="955">
        <f t="shared" ref="F630:N634" ca="1" si="295">IF(OR(AND(F$5=0,NoZeroCol=1),AND(F$5=-99,NoResCol=1)),0,OFFSET($E443,0,F$8))</f>
        <v>0</v>
      </c>
      <c r="G630" s="1050">
        <f t="shared" ca="1" si="295"/>
        <v>0</v>
      </c>
      <c r="H630" s="1050">
        <f t="shared" ca="1" si="295"/>
        <v>11461080.606711309</v>
      </c>
      <c r="I630" s="1050">
        <f t="shared" ca="1" si="295"/>
        <v>43193887.481145039</v>
      </c>
      <c r="J630" s="1050">
        <f t="shared" ca="1" si="295"/>
        <v>52912512.164402664</v>
      </c>
      <c r="K630" s="1050">
        <f t="shared" ca="1" si="295"/>
        <v>64817827.401393265</v>
      </c>
      <c r="L630" s="1050">
        <f t="shared" ca="1" si="295"/>
        <v>79401838.566706747</v>
      </c>
      <c r="M630" s="1050">
        <f t="shared" ref="M630" ca="1" si="296">IF(OR(AND(M$5=0,NoZeroCol=1),AND(M$5=-99,NoResCol=1)),0,OFFSET($E443,0,M$8))</f>
        <v>97267252.244215772</v>
      </c>
      <c r="N630" s="1253">
        <f t="shared" ca="1" si="295"/>
        <v>0</v>
      </c>
      <c r="O630" s="326" t="str">
        <f>O443</f>
        <v/>
      </c>
      <c r="P630" s="324" t="s">
        <v>79</v>
      </c>
    </row>
    <row r="631" spans="1:16" ht="12" hidden="1" customHeight="1" x14ac:dyDescent="0.35">
      <c r="A631" s="235"/>
      <c r="B631" s="450"/>
      <c r="C631" s="450" t="str">
        <f ca="1">""&amp;OFFSET($E444,0,-2)</f>
        <v/>
      </c>
      <c r="D631" s="1111"/>
      <c r="E631" s="329" t="s">
        <v>743</v>
      </c>
      <c r="F631" s="967">
        <f t="shared" ca="1" si="295"/>
        <v>0</v>
      </c>
      <c r="G631" s="1022">
        <f t="shared" ca="1" si="295"/>
        <v>0</v>
      </c>
      <c r="H631" s="1022">
        <f t="shared" ca="1" si="295"/>
        <v>0</v>
      </c>
      <c r="I631" s="1022">
        <f t="shared" ca="1" si="295"/>
        <v>0</v>
      </c>
      <c r="J631" s="1022">
        <f t="shared" ca="1" si="295"/>
        <v>0</v>
      </c>
      <c r="K631" s="1022">
        <f t="shared" ca="1" si="295"/>
        <v>0</v>
      </c>
      <c r="L631" s="1022">
        <f t="shared" ca="1" si="295"/>
        <v>0</v>
      </c>
      <c r="M631" s="1022">
        <f t="shared" ref="M631" ca="1" si="297">IF(OR(AND(M$5=0,NoZeroCol=1),AND(M$5=-99,NoResCol=1)),0,OFFSET($E444,0,M$8))</f>
        <v>0</v>
      </c>
      <c r="N631" s="1247">
        <f t="shared" ca="1" si="295"/>
        <v>0</v>
      </c>
      <c r="O631" s="326" t="str">
        <f>O444</f>
        <v/>
      </c>
      <c r="P631" s="324" t="s">
        <v>79</v>
      </c>
    </row>
    <row r="632" spans="1:16" ht="12" hidden="1" customHeight="1" x14ac:dyDescent="0.35">
      <c r="A632" s="235"/>
      <c r="B632" s="450"/>
      <c r="C632" s="450" t="str">
        <f ca="1">""&amp;OFFSET($E445,0,-2)</f>
        <v/>
      </c>
      <c r="D632" s="1111"/>
      <c r="E632" s="329" t="s">
        <v>744</v>
      </c>
      <c r="F632" s="967">
        <f t="shared" ca="1" si="295"/>
        <v>0</v>
      </c>
      <c r="G632" s="1022">
        <f t="shared" ca="1" si="295"/>
        <v>0</v>
      </c>
      <c r="H632" s="1022">
        <f t="shared" ca="1" si="295"/>
        <v>0</v>
      </c>
      <c r="I632" s="1022">
        <f t="shared" ca="1" si="295"/>
        <v>0</v>
      </c>
      <c r="J632" s="1022">
        <f t="shared" ca="1" si="295"/>
        <v>0</v>
      </c>
      <c r="K632" s="1022">
        <f t="shared" ca="1" si="295"/>
        <v>0</v>
      </c>
      <c r="L632" s="1022">
        <f t="shared" ca="1" si="295"/>
        <v>0</v>
      </c>
      <c r="M632" s="1022">
        <f t="shared" ref="M632" ca="1" si="298">IF(OR(AND(M$5=0,NoZeroCol=1),AND(M$5=-99,NoResCol=1)),0,OFFSET($E445,0,M$8))</f>
        <v>0</v>
      </c>
      <c r="N632" s="1247">
        <f t="shared" ca="1" si="295"/>
        <v>0</v>
      </c>
      <c r="O632" s="326" t="str">
        <f>O445</f>
        <v/>
      </c>
      <c r="P632" s="324" t="s">
        <v>79</v>
      </c>
    </row>
    <row r="633" spans="1:16" ht="12" hidden="1" customHeight="1" x14ac:dyDescent="0.35">
      <c r="A633" s="235"/>
      <c r="B633" s="450"/>
      <c r="C633" s="450" t="str">
        <f ca="1">""&amp;OFFSET($E446,0,-2)</f>
        <v/>
      </c>
      <c r="D633" s="1111"/>
      <c r="E633" s="329" t="s">
        <v>745</v>
      </c>
      <c r="F633" s="967">
        <f t="shared" ca="1" si="295"/>
        <v>0</v>
      </c>
      <c r="G633" s="1022">
        <f t="shared" ca="1" si="295"/>
        <v>0</v>
      </c>
      <c r="H633" s="1022">
        <f t="shared" ca="1" si="295"/>
        <v>0</v>
      </c>
      <c r="I633" s="1022">
        <f t="shared" ca="1" si="295"/>
        <v>0</v>
      </c>
      <c r="J633" s="1022">
        <f t="shared" ca="1" si="295"/>
        <v>0</v>
      </c>
      <c r="K633" s="1022">
        <f t="shared" ca="1" si="295"/>
        <v>0</v>
      </c>
      <c r="L633" s="1022">
        <f t="shared" ca="1" si="295"/>
        <v>0</v>
      </c>
      <c r="M633" s="1022">
        <f t="shared" ref="M633" ca="1" si="299">IF(OR(AND(M$5=0,NoZeroCol=1),AND(M$5=-99,NoResCol=1)),0,OFFSET($E446,0,M$8))</f>
        <v>0</v>
      </c>
      <c r="N633" s="1247">
        <f t="shared" ca="1" si="295"/>
        <v>0</v>
      </c>
      <c r="O633" s="326" t="str">
        <f>O446</f>
        <v/>
      </c>
      <c r="P633" s="324" t="s">
        <v>79</v>
      </c>
    </row>
    <row r="634" spans="1:16" ht="12" hidden="1" customHeight="1" x14ac:dyDescent="0.35">
      <c r="A634" s="235"/>
      <c r="B634" s="450"/>
      <c r="C634" s="450" t="str">
        <f t="shared" ref="C634:C639" ca="1" si="300">""&amp;OFFSET($E447,0,-2)</f>
        <v/>
      </c>
      <c r="D634" s="1111"/>
      <c r="E634" s="329" t="s">
        <v>746</v>
      </c>
      <c r="F634" s="967">
        <f t="shared" ca="1" si="295"/>
        <v>0</v>
      </c>
      <c r="G634" s="1022">
        <f t="shared" ca="1" si="295"/>
        <v>0</v>
      </c>
      <c r="H634" s="1022">
        <f t="shared" ca="1" si="295"/>
        <v>0</v>
      </c>
      <c r="I634" s="1022">
        <f t="shared" ca="1" si="295"/>
        <v>0</v>
      </c>
      <c r="J634" s="1022">
        <f t="shared" ca="1" si="295"/>
        <v>0</v>
      </c>
      <c r="K634" s="1022">
        <f t="shared" ca="1" si="295"/>
        <v>0</v>
      </c>
      <c r="L634" s="1022">
        <f t="shared" ca="1" si="295"/>
        <v>0</v>
      </c>
      <c r="M634" s="1022">
        <f t="shared" ref="M634" ca="1" si="301">IF(OR(AND(M$5=0,NoZeroCol=1),AND(M$5=-99,NoResCol=1)),0,OFFSET($E447,0,M$8))</f>
        <v>0</v>
      </c>
      <c r="N634" s="1247">
        <f t="shared" ca="1" si="295"/>
        <v>0</v>
      </c>
      <c r="O634" s="326" t="str">
        <f>O447</f>
        <v/>
      </c>
      <c r="P634" s="324" t="s">
        <v>79</v>
      </c>
    </row>
    <row r="635" spans="1:16" ht="12" hidden="1" customHeight="1" x14ac:dyDescent="0.35">
      <c r="A635" s="235"/>
      <c r="B635" s="450"/>
      <c r="C635" s="450" t="str">
        <f t="shared" ca="1" si="300"/>
        <v/>
      </c>
      <c r="D635" s="1111"/>
      <c r="E635" s="329" t="s">
        <v>4920</v>
      </c>
      <c r="F635" s="967">
        <f t="shared" ref="F635:N635" ca="1" si="302">IF(OR(AND(F$5=0,NoZeroCol=1),AND(F$5=-99,NoResCol=1)),0,OFFSET($E448,0,F$8))</f>
        <v>0</v>
      </c>
      <c r="G635" s="1022">
        <f t="shared" ca="1" si="302"/>
        <v>0</v>
      </c>
      <c r="H635" s="1022">
        <f t="shared" ca="1" si="302"/>
        <v>0</v>
      </c>
      <c r="I635" s="1022">
        <f t="shared" ca="1" si="302"/>
        <v>0</v>
      </c>
      <c r="J635" s="1022">
        <f t="shared" ca="1" si="302"/>
        <v>0</v>
      </c>
      <c r="K635" s="1022">
        <f t="shared" ca="1" si="302"/>
        <v>0</v>
      </c>
      <c r="L635" s="1022">
        <f t="shared" ca="1" si="302"/>
        <v>0</v>
      </c>
      <c r="M635" s="1022">
        <f t="shared" ref="M635" ca="1" si="303">IF(OR(AND(M$5=0,NoZeroCol=1),AND(M$5=-99,NoResCol=1)),0,OFFSET($E448,0,M$8))</f>
        <v>0</v>
      </c>
      <c r="N635" s="1247">
        <f t="shared" ca="1" si="302"/>
        <v>0</v>
      </c>
      <c r="O635" s="326" t="str">
        <f t="shared" ref="O635:O639" si="304">O448</f>
        <v/>
      </c>
      <c r="P635" s="324" t="s">
        <v>79</v>
      </c>
    </row>
    <row r="636" spans="1:16" ht="12" hidden="1" customHeight="1" x14ac:dyDescent="0.35">
      <c r="A636" s="235"/>
      <c r="B636" s="450"/>
      <c r="C636" s="450" t="str">
        <f t="shared" ca="1" si="300"/>
        <v/>
      </c>
      <c r="D636" s="1111"/>
      <c r="E636" s="329" t="s">
        <v>4921</v>
      </c>
      <c r="F636" s="967">
        <f t="shared" ref="F636:N636" ca="1" si="305">IF(OR(AND(F$5=0,NoZeroCol=1),AND(F$5=-99,NoResCol=1)),0,OFFSET($E449,0,F$8))</f>
        <v>0</v>
      </c>
      <c r="G636" s="1022">
        <f t="shared" ca="1" si="305"/>
        <v>0</v>
      </c>
      <c r="H636" s="1022">
        <f t="shared" ca="1" si="305"/>
        <v>0</v>
      </c>
      <c r="I636" s="1022">
        <f t="shared" ca="1" si="305"/>
        <v>0</v>
      </c>
      <c r="J636" s="1022">
        <f t="shared" ca="1" si="305"/>
        <v>0</v>
      </c>
      <c r="K636" s="1022">
        <f t="shared" ca="1" si="305"/>
        <v>0</v>
      </c>
      <c r="L636" s="1022">
        <f t="shared" ca="1" si="305"/>
        <v>0</v>
      </c>
      <c r="M636" s="1022">
        <f t="shared" ref="M636" ca="1" si="306">IF(OR(AND(M$5=0,NoZeroCol=1),AND(M$5=-99,NoResCol=1)),0,OFFSET($E449,0,M$8))</f>
        <v>0</v>
      </c>
      <c r="N636" s="1247">
        <f t="shared" ca="1" si="305"/>
        <v>0</v>
      </c>
      <c r="O636" s="326" t="str">
        <f t="shared" si="304"/>
        <v/>
      </c>
      <c r="P636" s="324" t="s">
        <v>79</v>
      </c>
    </row>
    <row r="637" spans="1:16" ht="12" hidden="1" customHeight="1" x14ac:dyDescent="0.35">
      <c r="A637" s="235"/>
      <c r="B637" s="450"/>
      <c r="C637" s="450" t="str">
        <f t="shared" ca="1" si="300"/>
        <v/>
      </c>
      <c r="D637" s="1111"/>
      <c r="E637" s="329" t="s">
        <v>4922</v>
      </c>
      <c r="F637" s="967">
        <f t="shared" ref="F637:N637" ca="1" si="307">IF(OR(AND(F$5=0,NoZeroCol=1),AND(F$5=-99,NoResCol=1)),0,OFFSET($E450,0,F$8))</f>
        <v>0</v>
      </c>
      <c r="G637" s="1022">
        <f t="shared" ca="1" si="307"/>
        <v>0</v>
      </c>
      <c r="H637" s="1022">
        <f t="shared" ca="1" si="307"/>
        <v>0</v>
      </c>
      <c r="I637" s="1022">
        <f t="shared" ca="1" si="307"/>
        <v>0</v>
      </c>
      <c r="J637" s="1022">
        <f t="shared" ca="1" si="307"/>
        <v>0</v>
      </c>
      <c r="K637" s="1022">
        <f t="shared" ca="1" si="307"/>
        <v>0</v>
      </c>
      <c r="L637" s="1022">
        <f t="shared" ca="1" si="307"/>
        <v>0</v>
      </c>
      <c r="M637" s="1022">
        <f t="shared" ref="M637" ca="1" si="308">IF(OR(AND(M$5=0,NoZeroCol=1),AND(M$5=-99,NoResCol=1)),0,OFFSET($E450,0,M$8))</f>
        <v>0</v>
      </c>
      <c r="N637" s="1247">
        <f t="shared" ca="1" si="307"/>
        <v>0</v>
      </c>
      <c r="O637" s="326" t="str">
        <f t="shared" si="304"/>
        <v/>
      </c>
      <c r="P637" s="324" t="s">
        <v>79</v>
      </c>
    </row>
    <row r="638" spans="1:16" ht="12" hidden="1" customHeight="1" x14ac:dyDescent="0.35">
      <c r="A638" s="235"/>
      <c r="B638" s="450"/>
      <c r="C638" s="450" t="str">
        <f t="shared" ca="1" si="300"/>
        <v/>
      </c>
      <c r="D638" s="1111"/>
      <c r="E638" s="329" t="s">
        <v>4923</v>
      </c>
      <c r="F638" s="967">
        <f t="shared" ref="F638:N638" ca="1" si="309">IF(OR(AND(F$5=0,NoZeroCol=1),AND(F$5=-99,NoResCol=1)),0,OFFSET($E451,0,F$8))</f>
        <v>0</v>
      </c>
      <c r="G638" s="1022">
        <f t="shared" ca="1" si="309"/>
        <v>0</v>
      </c>
      <c r="H638" s="1022">
        <f t="shared" ca="1" si="309"/>
        <v>0</v>
      </c>
      <c r="I638" s="1022">
        <f t="shared" ca="1" si="309"/>
        <v>0</v>
      </c>
      <c r="J638" s="1022">
        <f t="shared" ca="1" si="309"/>
        <v>0</v>
      </c>
      <c r="K638" s="1022">
        <f t="shared" ca="1" si="309"/>
        <v>0</v>
      </c>
      <c r="L638" s="1022">
        <f t="shared" ca="1" si="309"/>
        <v>0</v>
      </c>
      <c r="M638" s="1022">
        <f t="shared" ref="M638" ca="1" si="310">IF(OR(AND(M$5=0,NoZeroCol=1),AND(M$5=-99,NoResCol=1)),0,OFFSET($E451,0,M$8))</f>
        <v>0</v>
      </c>
      <c r="N638" s="1247">
        <f t="shared" ca="1" si="309"/>
        <v>0</v>
      </c>
      <c r="O638" s="326" t="str">
        <f t="shared" si="304"/>
        <v/>
      </c>
      <c r="P638" s="324" t="s">
        <v>79</v>
      </c>
    </row>
    <row r="639" spans="1:16" ht="12" hidden="1" customHeight="1" x14ac:dyDescent="0.35">
      <c r="A639" s="235"/>
      <c r="B639" s="450"/>
      <c r="C639" s="527" t="str">
        <f t="shared" ca="1" si="300"/>
        <v/>
      </c>
      <c r="D639" s="1118"/>
      <c r="E639" s="390" t="s">
        <v>4930</v>
      </c>
      <c r="F639" s="957">
        <f t="shared" ref="F639:N639" ca="1" si="311">IF(OR(AND(F$5=0,NoZeroCol=1),AND(F$5=-99,NoResCol=1)),0,OFFSET($E452,0,F$8))</f>
        <v>0</v>
      </c>
      <c r="G639" s="1053">
        <f t="shared" ca="1" si="311"/>
        <v>0</v>
      </c>
      <c r="H639" s="1053">
        <f t="shared" ca="1" si="311"/>
        <v>0</v>
      </c>
      <c r="I639" s="1053">
        <f t="shared" ca="1" si="311"/>
        <v>0</v>
      </c>
      <c r="J639" s="1053">
        <f t="shared" ca="1" si="311"/>
        <v>0</v>
      </c>
      <c r="K639" s="1053">
        <f t="shared" ca="1" si="311"/>
        <v>0</v>
      </c>
      <c r="L639" s="1053">
        <f t="shared" ca="1" si="311"/>
        <v>0</v>
      </c>
      <c r="M639" s="1053">
        <f t="shared" ref="M639" ca="1" si="312">IF(OR(AND(M$5=0,NoZeroCol=1),AND(M$5=-99,NoResCol=1)),0,OFFSET($E452,0,M$8))</f>
        <v>0</v>
      </c>
      <c r="N639" s="1249">
        <f t="shared" ca="1" si="311"/>
        <v>0</v>
      </c>
      <c r="O639" s="326" t="str">
        <f t="shared" si="304"/>
        <v/>
      </c>
      <c r="P639" s="324" t="s">
        <v>79</v>
      </c>
    </row>
    <row r="640" spans="1:16" ht="12" customHeight="1" x14ac:dyDescent="0.35">
      <c r="A640" s="235"/>
      <c r="B640" s="450"/>
      <c r="C640" s="439" t="s">
        <v>569</v>
      </c>
      <c r="D640" s="1111"/>
      <c r="E640" s="329" t="s">
        <v>747</v>
      </c>
      <c r="F640" s="967">
        <f t="shared" ref="F640:N640" ca="1" si="313">F456</f>
        <v>0</v>
      </c>
      <c r="G640" s="1022">
        <f t="shared" ca="1" si="313"/>
        <v>0</v>
      </c>
      <c r="H640" s="1022">
        <f t="shared" ca="1" si="313"/>
        <v>-7815939.9325467376</v>
      </c>
      <c r="I640" s="1022">
        <f t="shared" ca="1" si="313"/>
        <v>-29456282.665713191</v>
      </c>
      <c r="J640" s="1022">
        <f t="shared" ca="1" si="313"/>
        <v>-36083946.265498661</v>
      </c>
      <c r="K640" s="1022">
        <f t="shared" ca="1" si="313"/>
        <v>-44202834.17523586</v>
      </c>
      <c r="L640" s="1022">
        <f t="shared" ca="1" si="313"/>
        <v>-54148471.864663929</v>
      </c>
      <c r="M640" s="1022">
        <f t="shared" ref="M640" ca="1" si="314">M456</f>
        <v>-66331878.034213312</v>
      </c>
      <c r="N640" s="1247">
        <f t="shared" ca="1" si="313"/>
        <v>0</v>
      </c>
      <c r="O640" s="326"/>
      <c r="P640" s="324" t="s">
        <v>71</v>
      </c>
    </row>
    <row r="641" spans="1:16" ht="12" hidden="1" customHeight="1" x14ac:dyDescent="0.35">
      <c r="A641" s="235"/>
      <c r="B641" s="450"/>
      <c r="C641" s="526" t="str">
        <f t="shared" ref="C641:C650" ca="1" si="315">""&amp;OFFSET($E457,0,-2)</f>
        <v>Raw materials and consumables</v>
      </c>
      <c r="D641" s="1110"/>
      <c r="E641" s="385" t="s">
        <v>748</v>
      </c>
      <c r="F641" s="955">
        <f t="shared" ref="F641:N645" ca="1" si="316">IF(OR(AND(F$5=0,NoZeroCol=1),AND(F$5=-99,NoResCol=1)),0,OFFSET($E457,0,F$8))</f>
        <v>0</v>
      </c>
      <c r="G641" s="1050">
        <f t="shared" ca="1" si="316"/>
        <v>0</v>
      </c>
      <c r="H641" s="1050">
        <f t="shared" ca="1" si="316"/>
        <v>-7815939.9325467376</v>
      </c>
      <c r="I641" s="1050">
        <f t="shared" ca="1" si="316"/>
        <v>-29456282.665713191</v>
      </c>
      <c r="J641" s="1050">
        <f t="shared" ca="1" si="316"/>
        <v>-36083946.265498661</v>
      </c>
      <c r="K641" s="1050">
        <f t="shared" ca="1" si="316"/>
        <v>-44202834.17523586</v>
      </c>
      <c r="L641" s="1050">
        <f t="shared" ca="1" si="316"/>
        <v>-54148471.864663929</v>
      </c>
      <c r="M641" s="1050">
        <f t="shared" ref="M641" ca="1" si="317">IF(OR(AND(M$5=0,NoZeroCol=1),AND(M$5=-99,NoResCol=1)),0,OFFSET($E457,0,M$8))</f>
        <v>-66331878.034213312</v>
      </c>
      <c r="N641" s="1253">
        <f t="shared" ca="1" si="316"/>
        <v>0</v>
      </c>
      <c r="O641" s="326" t="str">
        <f t="shared" ref="O641:O650" si="318">O457</f>
        <v/>
      </c>
      <c r="P641" s="324" t="s">
        <v>79</v>
      </c>
    </row>
    <row r="642" spans="1:16" ht="12" hidden="1" customHeight="1" x14ac:dyDescent="0.35">
      <c r="A642" s="235"/>
      <c r="B642" s="450"/>
      <c r="C642" s="450" t="str">
        <f t="shared" ca="1" si="315"/>
        <v>External charges</v>
      </c>
      <c r="D642" s="1111"/>
      <c r="E642" s="329" t="s">
        <v>749</v>
      </c>
      <c r="F642" s="967">
        <f t="shared" ca="1" si="316"/>
        <v>0</v>
      </c>
      <c r="G642" s="1022">
        <f t="shared" ca="1" si="316"/>
        <v>0</v>
      </c>
      <c r="H642" s="1022">
        <f t="shared" ca="1" si="316"/>
        <v>0</v>
      </c>
      <c r="I642" s="1022">
        <f t="shared" ca="1" si="316"/>
        <v>0</v>
      </c>
      <c r="J642" s="1022">
        <f t="shared" ca="1" si="316"/>
        <v>0</v>
      </c>
      <c r="K642" s="1022">
        <f t="shared" ca="1" si="316"/>
        <v>0</v>
      </c>
      <c r="L642" s="1022">
        <f t="shared" ca="1" si="316"/>
        <v>0</v>
      </c>
      <c r="M642" s="1022">
        <f t="shared" ref="M642" ca="1" si="319">IF(OR(AND(M$5=0,NoZeroCol=1),AND(M$5=-99,NoResCol=1)),0,OFFSET($E458,0,M$8))</f>
        <v>0</v>
      </c>
      <c r="N642" s="1247">
        <f t="shared" ca="1" si="316"/>
        <v>0</v>
      </c>
      <c r="O642" s="326" t="str">
        <f t="shared" si="318"/>
        <v/>
      </c>
      <c r="P642" s="324" t="s">
        <v>79</v>
      </c>
    </row>
    <row r="643" spans="1:16" ht="12" hidden="1" customHeight="1" x14ac:dyDescent="0.35">
      <c r="A643" s="235"/>
      <c r="B643" s="450"/>
      <c r="C643" s="450" t="str">
        <f t="shared" ca="1" si="315"/>
        <v>Staff costs</v>
      </c>
      <c r="D643" s="1111"/>
      <c r="E643" s="329" t="s">
        <v>750</v>
      </c>
      <c r="F643" s="967">
        <f t="shared" ca="1" si="316"/>
        <v>0</v>
      </c>
      <c r="G643" s="1022">
        <f t="shared" ca="1" si="316"/>
        <v>0</v>
      </c>
      <c r="H643" s="1022">
        <f t="shared" ca="1" si="316"/>
        <v>0</v>
      </c>
      <c r="I643" s="1022">
        <f t="shared" ca="1" si="316"/>
        <v>0</v>
      </c>
      <c r="J643" s="1022">
        <f t="shared" ca="1" si="316"/>
        <v>0</v>
      </c>
      <c r="K643" s="1022">
        <f t="shared" ca="1" si="316"/>
        <v>0</v>
      </c>
      <c r="L643" s="1022">
        <f t="shared" ca="1" si="316"/>
        <v>0</v>
      </c>
      <c r="M643" s="1022">
        <f t="shared" ref="M643" ca="1" si="320">IF(OR(AND(M$5=0,NoZeroCol=1),AND(M$5=-99,NoResCol=1)),0,OFFSET($E459,0,M$8))</f>
        <v>0</v>
      </c>
      <c r="N643" s="1247">
        <f t="shared" ca="1" si="316"/>
        <v>0</v>
      </c>
      <c r="O643" s="326" t="str">
        <f t="shared" si="318"/>
        <v/>
      </c>
      <c r="P643" s="324" t="s">
        <v>79</v>
      </c>
    </row>
    <row r="644" spans="1:16" ht="12" hidden="1" customHeight="1" x14ac:dyDescent="0.35">
      <c r="A644" s="235"/>
      <c r="B644" s="450"/>
      <c r="C644" s="450" t="str">
        <f t="shared" ca="1" si="315"/>
        <v>Other variable costs</v>
      </c>
      <c r="D644" s="1111"/>
      <c r="E644" s="329" t="s">
        <v>751</v>
      </c>
      <c r="F644" s="967">
        <f t="shared" ca="1" si="316"/>
        <v>0</v>
      </c>
      <c r="G644" s="1022">
        <f t="shared" ca="1" si="316"/>
        <v>0</v>
      </c>
      <c r="H644" s="1022">
        <f t="shared" ca="1" si="316"/>
        <v>0</v>
      </c>
      <c r="I644" s="1022">
        <f t="shared" ca="1" si="316"/>
        <v>0</v>
      </c>
      <c r="J644" s="1022">
        <f t="shared" ca="1" si="316"/>
        <v>0</v>
      </c>
      <c r="K644" s="1022">
        <f t="shared" ca="1" si="316"/>
        <v>0</v>
      </c>
      <c r="L644" s="1022">
        <f t="shared" ca="1" si="316"/>
        <v>0</v>
      </c>
      <c r="M644" s="1022">
        <f t="shared" ref="M644" ca="1" si="321">IF(OR(AND(M$5=0,NoZeroCol=1),AND(M$5=-99,NoResCol=1)),0,OFFSET($E460,0,M$8))</f>
        <v>0</v>
      </c>
      <c r="N644" s="1247">
        <f t="shared" ca="1" si="316"/>
        <v>0</v>
      </c>
      <c r="O644" s="326" t="str">
        <f t="shared" si="318"/>
        <v/>
      </c>
      <c r="P644" s="324" t="s">
        <v>79</v>
      </c>
    </row>
    <row r="645" spans="1:16" ht="12" hidden="1" customHeight="1" x14ac:dyDescent="0.35">
      <c r="A645" s="235"/>
      <c r="B645" s="450"/>
      <c r="C645" s="450" t="str">
        <f t="shared" ca="1" si="315"/>
        <v/>
      </c>
      <c r="D645" s="1111"/>
      <c r="E645" s="329" t="s">
        <v>752</v>
      </c>
      <c r="F645" s="967">
        <f t="shared" ca="1" si="316"/>
        <v>0</v>
      </c>
      <c r="G645" s="1022">
        <f t="shared" ca="1" si="316"/>
        <v>0</v>
      </c>
      <c r="H645" s="1022">
        <f t="shared" ca="1" si="316"/>
        <v>0</v>
      </c>
      <c r="I645" s="1022">
        <f t="shared" ca="1" si="316"/>
        <v>0</v>
      </c>
      <c r="J645" s="1022">
        <f t="shared" ca="1" si="316"/>
        <v>0</v>
      </c>
      <c r="K645" s="1022">
        <f t="shared" ca="1" si="316"/>
        <v>0</v>
      </c>
      <c r="L645" s="1022">
        <f t="shared" ca="1" si="316"/>
        <v>0</v>
      </c>
      <c r="M645" s="1022">
        <f t="shared" ref="M645" ca="1" si="322">IF(OR(AND(M$5=0,NoZeroCol=1),AND(M$5=-99,NoResCol=1)),0,OFFSET($E461,0,M$8))</f>
        <v>0</v>
      </c>
      <c r="N645" s="1247">
        <f t="shared" ca="1" si="316"/>
        <v>0</v>
      </c>
      <c r="O645" s="326" t="str">
        <f t="shared" si="318"/>
        <v/>
      </c>
      <c r="P645" s="324" t="s">
        <v>79</v>
      </c>
    </row>
    <row r="646" spans="1:16" ht="12" hidden="1" customHeight="1" x14ac:dyDescent="0.35">
      <c r="A646" s="235"/>
      <c r="B646" s="450"/>
      <c r="C646" s="450" t="str">
        <f t="shared" ca="1" si="315"/>
        <v/>
      </c>
      <c r="D646" s="1111"/>
      <c r="E646" s="329" t="s">
        <v>753</v>
      </c>
      <c r="F646" s="967">
        <f t="shared" ref="F646:N646" ca="1" si="323">IF(OR(AND(F$5=0,NoZeroCol=1),AND(F$5=-99,NoResCol=1)),0,OFFSET($E462,0,F$8))</f>
        <v>0</v>
      </c>
      <c r="G646" s="1022">
        <f t="shared" ca="1" si="323"/>
        <v>0</v>
      </c>
      <c r="H646" s="1022">
        <f t="shared" ca="1" si="323"/>
        <v>0</v>
      </c>
      <c r="I646" s="1022">
        <f t="shared" ca="1" si="323"/>
        <v>0</v>
      </c>
      <c r="J646" s="1022">
        <f t="shared" ca="1" si="323"/>
        <v>0</v>
      </c>
      <c r="K646" s="1022">
        <f t="shared" ca="1" si="323"/>
        <v>0</v>
      </c>
      <c r="L646" s="1022">
        <f t="shared" ca="1" si="323"/>
        <v>0</v>
      </c>
      <c r="M646" s="1022">
        <f t="shared" ref="M646" ca="1" si="324">IF(OR(AND(M$5=0,NoZeroCol=1),AND(M$5=-99,NoResCol=1)),0,OFFSET($E462,0,M$8))</f>
        <v>0</v>
      </c>
      <c r="N646" s="1247">
        <f t="shared" ca="1" si="323"/>
        <v>0</v>
      </c>
      <c r="O646" s="326" t="str">
        <f t="shared" si="318"/>
        <v/>
      </c>
      <c r="P646" s="324" t="s">
        <v>79</v>
      </c>
    </row>
    <row r="647" spans="1:16" ht="12" hidden="1" customHeight="1" x14ac:dyDescent="0.35">
      <c r="A647" s="235"/>
      <c r="B647" s="450"/>
      <c r="C647" s="450" t="str">
        <f t="shared" ca="1" si="315"/>
        <v/>
      </c>
      <c r="D647" s="1111"/>
      <c r="E647" s="329" t="s">
        <v>4924</v>
      </c>
      <c r="F647" s="967">
        <f t="shared" ref="F647:N647" ca="1" si="325">IF(OR(AND(F$5=0,NoZeroCol=1),AND(F$5=-99,NoResCol=1)),0,OFFSET($E463,0,F$8))</f>
        <v>0</v>
      </c>
      <c r="G647" s="1022">
        <f t="shared" ca="1" si="325"/>
        <v>0</v>
      </c>
      <c r="H647" s="1022">
        <f t="shared" ca="1" si="325"/>
        <v>0</v>
      </c>
      <c r="I647" s="1022">
        <f t="shared" ca="1" si="325"/>
        <v>0</v>
      </c>
      <c r="J647" s="1022">
        <f t="shared" ca="1" si="325"/>
        <v>0</v>
      </c>
      <c r="K647" s="1022">
        <f t="shared" ca="1" si="325"/>
        <v>0</v>
      </c>
      <c r="L647" s="1022">
        <f t="shared" ca="1" si="325"/>
        <v>0</v>
      </c>
      <c r="M647" s="1022">
        <f t="shared" ref="M647" ca="1" si="326">IF(OR(AND(M$5=0,NoZeroCol=1),AND(M$5=-99,NoResCol=1)),0,OFFSET($E463,0,M$8))</f>
        <v>0</v>
      </c>
      <c r="N647" s="1247">
        <f t="shared" ca="1" si="325"/>
        <v>0</v>
      </c>
      <c r="O647" s="326" t="str">
        <f t="shared" si="318"/>
        <v/>
      </c>
      <c r="P647" s="324" t="s">
        <v>79</v>
      </c>
    </row>
    <row r="648" spans="1:16" ht="12" hidden="1" customHeight="1" x14ac:dyDescent="0.35">
      <c r="A648" s="235"/>
      <c r="B648" s="450"/>
      <c r="C648" s="450" t="str">
        <f t="shared" ca="1" si="315"/>
        <v/>
      </c>
      <c r="D648" s="1111"/>
      <c r="E648" s="329" t="s">
        <v>4925</v>
      </c>
      <c r="F648" s="967">
        <f t="shared" ref="F648:N648" ca="1" si="327">IF(OR(AND(F$5=0,NoZeroCol=1),AND(F$5=-99,NoResCol=1)),0,OFFSET($E464,0,F$8))</f>
        <v>0</v>
      </c>
      <c r="G648" s="1022">
        <f t="shared" ca="1" si="327"/>
        <v>0</v>
      </c>
      <c r="H648" s="1022">
        <f t="shared" ca="1" si="327"/>
        <v>0</v>
      </c>
      <c r="I648" s="1022">
        <f t="shared" ca="1" si="327"/>
        <v>0</v>
      </c>
      <c r="J648" s="1022">
        <f t="shared" ca="1" si="327"/>
        <v>0</v>
      </c>
      <c r="K648" s="1022">
        <f t="shared" ca="1" si="327"/>
        <v>0</v>
      </c>
      <c r="L648" s="1022">
        <f t="shared" ca="1" si="327"/>
        <v>0</v>
      </c>
      <c r="M648" s="1022">
        <f t="shared" ref="M648" ca="1" si="328">IF(OR(AND(M$5=0,NoZeroCol=1),AND(M$5=-99,NoResCol=1)),0,OFFSET($E464,0,M$8))</f>
        <v>0</v>
      </c>
      <c r="N648" s="1247">
        <f t="shared" ca="1" si="327"/>
        <v>0</v>
      </c>
      <c r="O648" s="326" t="str">
        <f t="shared" si="318"/>
        <v/>
      </c>
      <c r="P648" s="324" t="s">
        <v>79</v>
      </c>
    </row>
    <row r="649" spans="1:16" ht="12" hidden="1" customHeight="1" x14ac:dyDescent="0.35">
      <c r="A649" s="235"/>
      <c r="B649" s="450"/>
      <c r="C649" s="450" t="str">
        <f t="shared" ca="1" si="315"/>
        <v/>
      </c>
      <c r="D649" s="1111"/>
      <c r="E649" s="329" t="s">
        <v>4926</v>
      </c>
      <c r="F649" s="967">
        <f t="shared" ref="F649:N649" ca="1" si="329">IF(OR(AND(F$5=0,NoZeroCol=1),AND(F$5=-99,NoResCol=1)),0,OFFSET($E465,0,F$8))</f>
        <v>0</v>
      </c>
      <c r="G649" s="1022">
        <f t="shared" ca="1" si="329"/>
        <v>0</v>
      </c>
      <c r="H649" s="1022">
        <f t="shared" ca="1" si="329"/>
        <v>0</v>
      </c>
      <c r="I649" s="1022">
        <f t="shared" ca="1" si="329"/>
        <v>0</v>
      </c>
      <c r="J649" s="1022">
        <f t="shared" ca="1" si="329"/>
        <v>0</v>
      </c>
      <c r="K649" s="1022">
        <f t="shared" ca="1" si="329"/>
        <v>0</v>
      </c>
      <c r="L649" s="1022">
        <f t="shared" ca="1" si="329"/>
        <v>0</v>
      </c>
      <c r="M649" s="1022">
        <f t="shared" ref="M649" ca="1" si="330">IF(OR(AND(M$5=0,NoZeroCol=1),AND(M$5=-99,NoResCol=1)),0,OFFSET($E465,0,M$8))</f>
        <v>0</v>
      </c>
      <c r="N649" s="1247">
        <f t="shared" ca="1" si="329"/>
        <v>0</v>
      </c>
      <c r="O649" s="326" t="str">
        <f t="shared" si="318"/>
        <v/>
      </c>
      <c r="P649" s="324" t="s">
        <v>79</v>
      </c>
    </row>
    <row r="650" spans="1:16" ht="12" hidden="1" customHeight="1" x14ac:dyDescent="0.35">
      <c r="A650" s="235"/>
      <c r="B650" s="450"/>
      <c r="C650" s="527" t="str">
        <f t="shared" ca="1" si="315"/>
        <v/>
      </c>
      <c r="D650" s="1118"/>
      <c r="E650" s="329" t="s">
        <v>4931</v>
      </c>
      <c r="F650" s="957">
        <f t="shared" ref="F650:N650" ca="1" si="331">IF(OR(AND(F$5=0,NoZeroCol=1),AND(F$5=-99,NoResCol=1)),0,OFFSET($E466,0,F$8))</f>
        <v>0</v>
      </c>
      <c r="G650" s="1053">
        <f t="shared" ca="1" si="331"/>
        <v>0</v>
      </c>
      <c r="H650" s="1053">
        <f t="shared" ca="1" si="331"/>
        <v>0</v>
      </c>
      <c r="I650" s="1053">
        <f t="shared" ca="1" si="331"/>
        <v>0</v>
      </c>
      <c r="J650" s="1053">
        <f t="shared" ca="1" si="331"/>
        <v>0</v>
      </c>
      <c r="K650" s="1053">
        <f t="shared" ca="1" si="331"/>
        <v>0</v>
      </c>
      <c r="L650" s="1053">
        <f t="shared" ca="1" si="331"/>
        <v>0</v>
      </c>
      <c r="M650" s="1053">
        <f t="shared" ref="M650" ca="1" si="332">IF(OR(AND(M$5=0,NoZeroCol=1),AND(M$5=-99,NoResCol=1)),0,OFFSET($E466,0,M$8))</f>
        <v>0</v>
      </c>
      <c r="N650" s="1249">
        <f t="shared" ca="1" si="331"/>
        <v>0</v>
      </c>
      <c r="O650" s="326" t="str">
        <f t="shared" si="318"/>
        <v/>
      </c>
      <c r="P650" s="324" t="s">
        <v>79</v>
      </c>
    </row>
    <row r="651" spans="1:16" ht="12" customHeight="1" x14ac:dyDescent="0.35">
      <c r="A651" s="235"/>
      <c r="B651" s="450"/>
      <c r="C651" s="439" t="s">
        <v>585</v>
      </c>
      <c r="D651" s="1111"/>
      <c r="E651" s="329" t="s">
        <v>754</v>
      </c>
      <c r="F651" s="967">
        <f t="shared" ref="F651:N651" ca="1" si="333">F470</f>
        <v>0</v>
      </c>
      <c r="G651" s="1022">
        <f t="shared" ca="1" si="333"/>
        <v>0</v>
      </c>
      <c r="H651" s="1022">
        <f t="shared" ca="1" si="333"/>
        <v>-2400000</v>
      </c>
      <c r="I651" s="1022">
        <f t="shared" ca="1" si="333"/>
        <v>-7200000</v>
      </c>
      <c r="J651" s="1022">
        <f t="shared" ca="1" si="333"/>
        <v>-7200000</v>
      </c>
      <c r="K651" s="1022">
        <f t="shared" ca="1" si="333"/>
        <v>-7200000</v>
      </c>
      <c r="L651" s="1022">
        <f t="shared" ca="1" si="333"/>
        <v>-7200000</v>
      </c>
      <c r="M651" s="1022">
        <f t="shared" ref="M651" ca="1" si="334">M470</f>
        <v>-7200000</v>
      </c>
      <c r="N651" s="1247">
        <f t="shared" ca="1" si="333"/>
        <v>0</v>
      </c>
      <c r="O651" s="326"/>
      <c r="P651" s="324" t="s">
        <v>71</v>
      </c>
    </row>
    <row r="652" spans="1:16" ht="12" hidden="1" customHeight="1" x14ac:dyDescent="0.35">
      <c r="A652" s="235"/>
      <c r="B652" s="450"/>
      <c r="C652" s="526" t="str">
        <f t="shared" ref="C652:C661" ca="1" si="335">""&amp;OFFSET($E471,0,-2)</f>
        <v>Staff costs</v>
      </c>
      <c r="D652" s="1110"/>
      <c r="E652" s="385" t="s">
        <v>755</v>
      </c>
      <c r="F652" s="955">
        <f t="shared" ref="F652:N656" ca="1" si="336">IF(OR(AND(F$5=0,NoZeroCol=1),AND(F$5=-99,NoResCol=1)),0,OFFSET($E471,0,F$8))</f>
        <v>0</v>
      </c>
      <c r="G652" s="1050">
        <f t="shared" ca="1" si="336"/>
        <v>0</v>
      </c>
      <c r="H652" s="1050">
        <f t="shared" ca="1" si="336"/>
        <v>0</v>
      </c>
      <c r="I652" s="1050">
        <f t="shared" ca="1" si="336"/>
        <v>0</v>
      </c>
      <c r="J652" s="1050">
        <f t="shared" ca="1" si="336"/>
        <v>0</v>
      </c>
      <c r="K652" s="1050">
        <f t="shared" ca="1" si="336"/>
        <v>0</v>
      </c>
      <c r="L652" s="1050">
        <f t="shared" ca="1" si="336"/>
        <v>0</v>
      </c>
      <c r="M652" s="1050">
        <f t="shared" ref="M652" ca="1" si="337">IF(OR(AND(M$5=0,NoZeroCol=1),AND(M$5=-99,NoResCol=1)),0,OFFSET($E471,0,M$8))</f>
        <v>0</v>
      </c>
      <c r="N652" s="1253">
        <f t="shared" ca="1" si="336"/>
        <v>0</v>
      </c>
      <c r="O652" s="326" t="str">
        <f t="shared" ref="O652:O661" si="338">O471</f>
        <v/>
      </c>
      <c r="P652" s="324" t="s">
        <v>79</v>
      </c>
    </row>
    <row r="653" spans="1:16" ht="12" hidden="1" customHeight="1" x14ac:dyDescent="0.35">
      <c r="A653" s="235"/>
      <c r="B653" s="450"/>
      <c r="C653" s="450" t="str">
        <f t="shared" ca="1" si="335"/>
        <v>Rents</v>
      </c>
      <c r="D653" s="1111"/>
      <c r="E653" s="329" t="s">
        <v>756</v>
      </c>
      <c r="F653" s="967">
        <f t="shared" ca="1" si="336"/>
        <v>0</v>
      </c>
      <c r="G653" s="1022">
        <f t="shared" ca="1" si="336"/>
        <v>0</v>
      </c>
      <c r="H653" s="1022">
        <f t="shared" ca="1" si="336"/>
        <v>0</v>
      </c>
      <c r="I653" s="1022">
        <f t="shared" ca="1" si="336"/>
        <v>0</v>
      </c>
      <c r="J653" s="1022">
        <f t="shared" ca="1" si="336"/>
        <v>0</v>
      </c>
      <c r="K653" s="1022">
        <f t="shared" ca="1" si="336"/>
        <v>0</v>
      </c>
      <c r="L653" s="1022">
        <f t="shared" ca="1" si="336"/>
        <v>0</v>
      </c>
      <c r="M653" s="1022">
        <f t="shared" ref="M653" ca="1" si="339">IF(OR(AND(M$5=0,NoZeroCol=1),AND(M$5=-99,NoResCol=1)),0,OFFSET($E472,0,M$8))</f>
        <v>0</v>
      </c>
      <c r="N653" s="1247">
        <f t="shared" ca="1" si="336"/>
        <v>0</v>
      </c>
      <c r="O653" s="326" t="str">
        <f t="shared" si="338"/>
        <v/>
      </c>
      <c r="P653" s="324" t="s">
        <v>79</v>
      </c>
    </row>
    <row r="654" spans="1:16" ht="12" hidden="1" customHeight="1" x14ac:dyDescent="0.35">
      <c r="A654" s="235"/>
      <c r="B654" s="450"/>
      <c r="C654" s="450" t="str">
        <f t="shared" ca="1" si="335"/>
        <v>Other fixed costs</v>
      </c>
      <c r="D654" s="1111"/>
      <c r="E654" s="329" t="s">
        <v>757</v>
      </c>
      <c r="F654" s="967">
        <f t="shared" ca="1" si="336"/>
        <v>0</v>
      </c>
      <c r="G654" s="1022">
        <f t="shared" ca="1" si="336"/>
        <v>0</v>
      </c>
      <c r="H654" s="1022">
        <f t="shared" ca="1" si="336"/>
        <v>-2400000</v>
      </c>
      <c r="I654" s="1022">
        <f t="shared" ca="1" si="336"/>
        <v>-7200000</v>
      </c>
      <c r="J654" s="1022">
        <f t="shared" ca="1" si="336"/>
        <v>-7200000</v>
      </c>
      <c r="K654" s="1022">
        <f t="shared" ca="1" si="336"/>
        <v>-7200000</v>
      </c>
      <c r="L654" s="1022">
        <f t="shared" ca="1" si="336"/>
        <v>-7200000</v>
      </c>
      <c r="M654" s="1022">
        <f t="shared" ref="M654" ca="1" si="340">IF(OR(AND(M$5=0,NoZeroCol=1),AND(M$5=-99,NoResCol=1)),0,OFFSET($E473,0,M$8))</f>
        <v>-7200000</v>
      </c>
      <c r="N654" s="1247">
        <f t="shared" ca="1" si="336"/>
        <v>0</v>
      </c>
      <c r="O654" s="326" t="str">
        <f t="shared" si="338"/>
        <v/>
      </c>
      <c r="P654" s="324" t="s">
        <v>79</v>
      </c>
    </row>
    <row r="655" spans="1:16" ht="12" hidden="1" customHeight="1" x14ac:dyDescent="0.35">
      <c r="A655" s="235"/>
      <c r="B655" s="450"/>
      <c r="C655" s="450" t="str">
        <f t="shared" ca="1" si="335"/>
        <v/>
      </c>
      <c r="D655" s="1111"/>
      <c r="E655" s="329" t="s">
        <v>758</v>
      </c>
      <c r="F655" s="967">
        <f t="shared" ca="1" si="336"/>
        <v>0</v>
      </c>
      <c r="G655" s="1022">
        <f t="shared" ca="1" si="336"/>
        <v>0</v>
      </c>
      <c r="H655" s="1022">
        <f t="shared" ca="1" si="336"/>
        <v>0</v>
      </c>
      <c r="I655" s="1022">
        <f t="shared" ca="1" si="336"/>
        <v>0</v>
      </c>
      <c r="J655" s="1022">
        <f t="shared" ca="1" si="336"/>
        <v>0</v>
      </c>
      <c r="K655" s="1022">
        <f t="shared" ca="1" si="336"/>
        <v>0</v>
      </c>
      <c r="L655" s="1022">
        <f t="shared" ca="1" si="336"/>
        <v>0</v>
      </c>
      <c r="M655" s="1022">
        <f t="shared" ref="M655" ca="1" si="341">IF(OR(AND(M$5=0,NoZeroCol=1),AND(M$5=-99,NoResCol=1)),0,OFFSET($E474,0,M$8))</f>
        <v>0</v>
      </c>
      <c r="N655" s="1247">
        <f t="shared" ca="1" si="336"/>
        <v>0</v>
      </c>
      <c r="O655" s="326" t="str">
        <f t="shared" si="338"/>
        <v/>
      </c>
      <c r="P655" s="324" t="s">
        <v>79</v>
      </c>
    </row>
    <row r="656" spans="1:16" ht="12" hidden="1" customHeight="1" x14ac:dyDescent="0.35">
      <c r="A656" s="235"/>
      <c r="B656" s="450"/>
      <c r="C656" s="450" t="str">
        <f t="shared" ca="1" si="335"/>
        <v/>
      </c>
      <c r="D656" s="1111"/>
      <c r="E656" s="329" t="s">
        <v>759</v>
      </c>
      <c r="F656" s="967">
        <f t="shared" ca="1" si="336"/>
        <v>0</v>
      </c>
      <c r="G656" s="1022">
        <f t="shared" ca="1" si="336"/>
        <v>0</v>
      </c>
      <c r="H656" s="1022">
        <f t="shared" ca="1" si="336"/>
        <v>0</v>
      </c>
      <c r="I656" s="1022">
        <f t="shared" ca="1" si="336"/>
        <v>0</v>
      </c>
      <c r="J656" s="1022">
        <f t="shared" ca="1" si="336"/>
        <v>0</v>
      </c>
      <c r="K656" s="1022">
        <f t="shared" ca="1" si="336"/>
        <v>0</v>
      </c>
      <c r="L656" s="1022">
        <f t="shared" ca="1" si="336"/>
        <v>0</v>
      </c>
      <c r="M656" s="1022">
        <f t="shared" ref="M656" ca="1" si="342">IF(OR(AND(M$5=0,NoZeroCol=1),AND(M$5=-99,NoResCol=1)),0,OFFSET($E475,0,M$8))</f>
        <v>0</v>
      </c>
      <c r="N656" s="1247">
        <f t="shared" ca="1" si="336"/>
        <v>0</v>
      </c>
      <c r="O656" s="326" t="str">
        <f t="shared" si="338"/>
        <v/>
      </c>
      <c r="P656" s="324" t="s">
        <v>79</v>
      </c>
    </row>
    <row r="657" spans="1:16" ht="12" hidden="1" customHeight="1" x14ac:dyDescent="0.35">
      <c r="A657" s="235"/>
      <c r="B657" s="450"/>
      <c r="C657" s="450" t="str">
        <f t="shared" ca="1" si="335"/>
        <v/>
      </c>
      <c r="D657" s="1111"/>
      <c r="E657" s="329" t="s">
        <v>760</v>
      </c>
      <c r="F657" s="967">
        <f t="shared" ref="F657:N657" ca="1" si="343">IF(OR(AND(F$5=0,NoZeroCol=1),AND(F$5=-99,NoResCol=1)),0,OFFSET($E476,0,F$8))</f>
        <v>0</v>
      </c>
      <c r="G657" s="1022">
        <f t="shared" ca="1" si="343"/>
        <v>0</v>
      </c>
      <c r="H657" s="1022">
        <f t="shared" ca="1" si="343"/>
        <v>0</v>
      </c>
      <c r="I657" s="1022">
        <f t="shared" ca="1" si="343"/>
        <v>0</v>
      </c>
      <c r="J657" s="1022">
        <f t="shared" ca="1" si="343"/>
        <v>0</v>
      </c>
      <c r="K657" s="1022">
        <f t="shared" ca="1" si="343"/>
        <v>0</v>
      </c>
      <c r="L657" s="1022">
        <f t="shared" ca="1" si="343"/>
        <v>0</v>
      </c>
      <c r="M657" s="1022">
        <f t="shared" ref="M657" ca="1" si="344">IF(OR(AND(M$5=0,NoZeroCol=1),AND(M$5=-99,NoResCol=1)),0,OFFSET($E476,0,M$8))</f>
        <v>0</v>
      </c>
      <c r="N657" s="1247">
        <f t="shared" ca="1" si="343"/>
        <v>0</v>
      </c>
      <c r="O657" s="326" t="str">
        <f t="shared" si="338"/>
        <v/>
      </c>
      <c r="P657" s="324" t="s">
        <v>79</v>
      </c>
    </row>
    <row r="658" spans="1:16" ht="12" hidden="1" customHeight="1" x14ac:dyDescent="0.35">
      <c r="A658" s="235"/>
      <c r="B658" s="450"/>
      <c r="C658" s="450" t="str">
        <f t="shared" ca="1" si="335"/>
        <v/>
      </c>
      <c r="D658" s="1111"/>
      <c r="E658" s="329" t="s">
        <v>4927</v>
      </c>
      <c r="F658" s="967">
        <f t="shared" ref="F658:N658" ca="1" si="345">IF(OR(AND(F$5=0,NoZeroCol=1),AND(F$5=-99,NoResCol=1)),0,OFFSET($E477,0,F$8))</f>
        <v>0</v>
      </c>
      <c r="G658" s="1022">
        <f t="shared" ca="1" si="345"/>
        <v>0</v>
      </c>
      <c r="H658" s="1022">
        <f t="shared" ca="1" si="345"/>
        <v>0</v>
      </c>
      <c r="I658" s="1022">
        <f t="shared" ca="1" si="345"/>
        <v>0</v>
      </c>
      <c r="J658" s="1022">
        <f t="shared" ca="1" si="345"/>
        <v>0</v>
      </c>
      <c r="K658" s="1022">
        <f t="shared" ca="1" si="345"/>
        <v>0</v>
      </c>
      <c r="L658" s="1022">
        <f t="shared" ca="1" si="345"/>
        <v>0</v>
      </c>
      <c r="M658" s="1022">
        <f t="shared" ref="M658" ca="1" si="346">IF(OR(AND(M$5=0,NoZeroCol=1),AND(M$5=-99,NoResCol=1)),0,OFFSET($E477,0,M$8))</f>
        <v>0</v>
      </c>
      <c r="N658" s="1247">
        <f t="shared" ca="1" si="345"/>
        <v>0</v>
      </c>
      <c r="O658" s="326" t="str">
        <f t="shared" si="338"/>
        <v/>
      </c>
      <c r="P658" s="324" t="s">
        <v>79</v>
      </c>
    </row>
    <row r="659" spans="1:16" ht="12" hidden="1" customHeight="1" x14ac:dyDescent="0.35">
      <c r="A659" s="235"/>
      <c r="B659" s="450"/>
      <c r="C659" s="450" t="str">
        <f t="shared" ca="1" si="335"/>
        <v/>
      </c>
      <c r="D659" s="1111"/>
      <c r="E659" s="329" t="s">
        <v>4928</v>
      </c>
      <c r="F659" s="967">
        <f t="shared" ref="F659:N659" ca="1" si="347">IF(OR(AND(F$5=0,NoZeroCol=1),AND(F$5=-99,NoResCol=1)),0,OFFSET($E478,0,F$8))</f>
        <v>0</v>
      </c>
      <c r="G659" s="1022">
        <f t="shared" ca="1" si="347"/>
        <v>0</v>
      </c>
      <c r="H659" s="1022">
        <f t="shared" ca="1" si="347"/>
        <v>0</v>
      </c>
      <c r="I659" s="1022">
        <f t="shared" ca="1" si="347"/>
        <v>0</v>
      </c>
      <c r="J659" s="1022">
        <f t="shared" ca="1" si="347"/>
        <v>0</v>
      </c>
      <c r="K659" s="1022">
        <f t="shared" ca="1" si="347"/>
        <v>0</v>
      </c>
      <c r="L659" s="1022">
        <f t="shared" ca="1" si="347"/>
        <v>0</v>
      </c>
      <c r="M659" s="1022">
        <f t="shared" ref="M659" ca="1" si="348">IF(OR(AND(M$5=0,NoZeroCol=1),AND(M$5=-99,NoResCol=1)),0,OFFSET($E478,0,M$8))</f>
        <v>0</v>
      </c>
      <c r="N659" s="1247">
        <f t="shared" ca="1" si="347"/>
        <v>0</v>
      </c>
      <c r="O659" s="326" t="str">
        <f t="shared" si="338"/>
        <v/>
      </c>
      <c r="P659" s="324" t="s">
        <v>79</v>
      </c>
    </row>
    <row r="660" spans="1:16" ht="12" hidden="1" customHeight="1" x14ac:dyDescent="0.35">
      <c r="A660" s="235"/>
      <c r="B660" s="450"/>
      <c r="C660" s="450" t="str">
        <f t="shared" ca="1" si="335"/>
        <v/>
      </c>
      <c r="D660" s="1111"/>
      <c r="E660" s="329" t="s">
        <v>4929</v>
      </c>
      <c r="F660" s="967">
        <f t="shared" ref="F660:N660" ca="1" si="349">IF(OR(AND(F$5=0,NoZeroCol=1),AND(F$5=-99,NoResCol=1)),0,OFFSET($E479,0,F$8))</f>
        <v>0</v>
      </c>
      <c r="G660" s="1022">
        <f t="shared" ca="1" si="349"/>
        <v>0</v>
      </c>
      <c r="H660" s="1022">
        <f t="shared" ca="1" si="349"/>
        <v>0</v>
      </c>
      <c r="I660" s="1022">
        <f t="shared" ca="1" si="349"/>
        <v>0</v>
      </c>
      <c r="J660" s="1022">
        <f t="shared" ca="1" si="349"/>
        <v>0</v>
      </c>
      <c r="K660" s="1022">
        <f t="shared" ca="1" si="349"/>
        <v>0</v>
      </c>
      <c r="L660" s="1022">
        <f t="shared" ca="1" si="349"/>
        <v>0</v>
      </c>
      <c r="M660" s="1022">
        <f t="shared" ref="M660" ca="1" si="350">IF(OR(AND(M$5=0,NoZeroCol=1),AND(M$5=-99,NoResCol=1)),0,OFFSET($E479,0,M$8))</f>
        <v>0</v>
      </c>
      <c r="N660" s="1247">
        <f t="shared" ca="1" si="349"/>
        <v>0</v>
      </c>
      <c r="O660" s="326" t="str">
        <f t="shared" si="338"/>
        <v/>
      </c>
      <c r="P660" s="324" t="s">
        <v>79</v>
      </c>
    </row>
    <row r="661" spans="1:16" ht="12" hidden="1" customHeight="1" x14ac:dyDescent="0.35">
      <c r="A661" s="235"/>
      <c r="B661" s="450"/>
      <c r="C661" s="527" t="str">
        <f t="shared" ca="1" si="335"/>
        <v/>
      </c>
      <c r="D661" s="1118"/>
      <c r="E661" s="390" t="s">
        <v>4932</v>
      </c>
      <c r="F661" s="957">
        <f t="shared" ref="F661:N661" ca="1" si="351">IF(OR(AND(F$5=0,NoZeroCol=1),AND(F$5=-99,NoResCol=1)),0,OFFSET($E480,0,F$8))</f>
        <v>0</v>
      </c>
      <c r="G661" s="1053">
        <f t="shared" ca="1" si="351"/>
        <v>0</v>
      </c>
      <c r="H661" s="1053">
        <f t="shared" ca="1" si="351"/>
        <v>0</v>
      </c>
      <c r="I661" s="1053">
        <f t="shared" ca="1" si="351"/>
        <v>0</v>
      </c>
      <c r="J661" s="1053">
        <f t="shared" ca="1" si="351"/>
        <v>0</v>
      </c>
      <c r="K661" s="1053">
        <f t="shared" ca="1" si="351"/>
        <v>0</v>
      </c>
      <c r="L661" s="1053">
        <f t="shared" ca="1" si="351"/>
        <v>0</v>
      </c>
      <c r="M661" s="1053">
        <f t="shared" ref="M661" ca="1" si="352">IF(OR(AND(M$5=0,NoZeroCol=1),AND(M$5=-99,NoResCol=1)),0,OFFSET($E480,0,M$8))</f>
        <v>0</v>
      </c>
      <c r="N661" s="1249">
        <f t="shared" ca="1" si="351"/>
        <v>0</v>
      </c>
      <c r="O661" s="326" t="str">
        <f t="shared" si="338"/>
        <v/>
      </c>
      <c r="P661" s="324" t="s">
        <v>79</v>
      </c>
    </row>
    <row r="662" spans="1:16" ht="12" customHeight="1" x14ac:dyDescent="0.35">
      <c r="A662" s="439"/>
      <c r="B662" s="450"/>
      <c r="C662" s="439" t="s">
        <v>761</v>
      </c>
      <c r="D662" s="1111"/>
      <c r="E662" s="329" t="s">
        <v>762</v>
      </c>
      <c r="F662" s="967">
        <f ca="1">IF(OR(AND(F$5=0,NoZeroCol=1),AND(F$5=-99,NoResCol=1)),0,F497+OFFSET($E$498,0,F$8))</f>
        <v>0</v>
      </c>
      <c r="G662" s="1022">
        <f t="shared" ref="G662:N662" ca="1" si="353">IF(OR(AND(G$5=0,NoZeroCol=1),AND(G$5=-99,NoResCol=1)),0,OFFSET($E$498,0,G$8))</f>
        <v>0</v>
      </c>
      <c r="H662" s="1022">
        <f t="shared" ca="1" si="353"/>
        <v>0</v>
      </c>
      <c r="I662" s="1022">
        <f t="shared" ca="1" si="353"/>
        <v>0</v>
      </c>
      <c r="J662" s="1022">
        <f t="shared" ca="1" si="353"/>
        <v>0</v>
      </c>
      <c r="K662" s="1022">
        <f t="shared" ca="1" si="353"/>
        <v>0</v>
      </c>
      <c r="L662" s="1022">
        <f t="shared" ca="1" si="353"/>
        <v>0</v>
      </c>
      <c r="M662" s="1022">
        <f t="shared" ca="1" si="353"/>
        <v>0</v>
      </c>
      <c r="N662" s="1247">
        <f t="shared" ca="1" si="353"/>
        <v>0</v>
      </c>
      <c r="O662" s="386"/>
      <c r="P662" s="324" t="s">
        <v>121</v>
      </c>
    </row>
    <row r="663" spans="1:16" ht="12" customHeight="1" x14ac:dyDescent="0.35">
      <c r="A663" s="439"/>
      <c r="B663" s="450"/>
      <c r="C663" s="439" t="str">
        <f ca="1">SpecsTxt!$H$22&amp;IF(SUM(TaxCorrection)&lt;&gt;0," ("&amp;SpecsTxt!$G$22&amp;")","")</f>
        <v>Income tax</v>
      </c>
      <c r="D663" s="1130"/>
      <c r="E663" s="329" t="s">
        <v>763</v>
      </c>
      <c r="F663" s="967">
        <f ca="1">OFFSET($E$503,0,F$8)</f>
        <v>0</v>
      </c>
      <c r="G663" s="1021"/>
      <c r="H663" s="1021">
        <v>-283399.38876608101</v>
      </c>
      <c r="I663" s="1021">
        <v>-1576534.3483209161</v>
      </c>
      <c r="J663" s="1021">
        <v>-2472322.2016931232</v>
      </c>
      <c r="K663" s="1021">
        <v>-3569435.9158240757</v>
      </c>
      <c r="L663" s="1021">
        <v>-4886416.0359469904</v>
      </c>
      <c r="M663" s="1021">
        <v>-6498142.2983319396</v>
      </c>
      <c r="N663" s="1261">
        <v>0</v>
      </c>
      <c r="O663" s="326" t="str">
        <f>O503</f>
        <v/>
      </c>
      <c r="P663" s="324" t="s">
        <v>71</v>
      </c>
    </row>
    <row r="664" spans="1:16" ht="12" customHeight="1" x14ac:dyDescent="0.35">
      <c r="A664" s="439"/>
      <c r="B664" s="450"/>
      <c r="C664" s="439" t="s">
        <v>728</v>
      </c>
      <c r="D664" s="1111"/>
      <c r="E664" s="329" t="s">
        <v>764</v>
      </c>
      <c r="F664" s="967">
        <f t="shared" ref="F664:N664" ca="1" si="354">F620</f>
        <v>0</v>
      </c>
      <c r="G664" s="1022">
        <f t="shared" si="354"/>
        <v>0</v>
      </c>
      <c r="H664" s="1022">
        <f t="shared" ca="1" si="354"/>
        <v>-16451386.845279008</v>
      </c>
      <c r="I664" s="1022">
        <f t="shared" ca="1" si="354"/>
        <v>11379082.088564593</v>
      </c>
      <c r="J664" s="1022">
        <f t="shared" ca="1" si="354"/>
        <v>-1141268.5702607429</v>
      </c>
      <c r="K664" s="1022">
        <f t="shared" ca="1" si="354"/>
        <v>-1398053.9985694103</v>
      </c>
      <c r="L664" s="1022">
        <f t="shared" ca="1" si="354"/>
        <v>-1712616.148247526</v>
      </c>
      <c r="M664" s="1022">
        <f t="shared" ref="M664" ca="1" si="355">M620</f>
        <v>-2097954.7816032199</v>
      </c>
      <c r="N664" s="1247">
        <f t="shared" ca="1" si="354"/>
        <v>11422198.255395312</v>
      </c>
      <c r="O664" s="386"/>
      <c r="P664" s="324" t="s">
        <v>71</v>
      </c>
    </row>
    <row r="665" spans="1:16" ht="12" hidden="1" customHeight="1" x14ac:dyDescent="0.35">
      <c r="A665" s="439"/>
      <c r="B665" s="450"/>
      <c r="C665" s="526" t="str">
        <f>""&amp;B540</f>
        <v>Short-term assets</v>
      </c>
      <c r="D665" s="1110"/>
      <c r="E665" s="385" t="s">
        <v>765</v>
      </c>
      <c r="F665" s="955">
        <f t="shared" ref="F665:N665" ca="1" si="356">IF(OR(AND(F$5=0,NoZeroCol=1),AND(F$5=-99,NoResCol=1)),0,F$569)</f>
        <v>0</v>
      </c>
      <c r="G665" s="1050">
        <f t="shared" si="356"/>
        <v>0</v>
      </c>
      <c r="H665" s="1050">
        <f t="shared" ca="1" si="356"/>
        <v>-11461080.606711309</v>
      </c>
      <c r="I665" s="1050">
        <f t="shared" ca="1" si="356"/>
        <v>7861589.9832825568</v>
      </c>
      <c r="J665" s="1050">
        <f t="shared" ca="1" si="356"/>
        <v>-809885.39027146902</v>
      </c>
      <c r="K665" s="1050">
        <f t="shared" ca="1" si="356"/>
        <v>-992109.60308255069</v>
      </c>
      <c r="L665" s="1050">
        <f t="shared" ca="1" si="356"/>
        <v>-1215334.2637761226</v>
      </c>
      <c r="M665" s="1050">
        <f t="shared" ca="1" si="356"/>
        <v>-1488784.4731257521</v>
      </c>
      <c r="N665" s="1253">
        <f t="shared" ca="1" si="356"/>
        <v>8105604.353684647</v>
      </c>
      <c r="O665" s="386"/>
      <c r="P665" s="324" t="s">
        <v>79</v>
      </c>
    </row>
    <row r="666" spans="1:16" ht="12" hidden="1" customHeight="1" x14ac:dyDescent="0.35">
      <c r="A666" s="439"/>
      <c r="B666" s="450"/>
      <c r="C666" s="450" t="str">
        <f>""&amp;B570</f>
        <v>Inventories</v>
      </c>
      <c r="D666" s="1111"/>
      <c r="E666" s="329" t="s">
        <v>766</v>
      </c>
      <c r="F666" s="967">
        <f t="shared" ref="F666:N666" ca="1" si="357">IF(OR(AND(F$5=0,NoZeroCol=1),AND(F$5=-99,NoResCol=1)),0,F$591)</f>
        <v>0</v>
      </c>
      <c r="G666" s="1022">
        <f t="shared" si="357"/>
        <v>0</v>
      </c>
      <c r="H666" s="1022">
        <f t="shared" ca="1" si="357"/>
        <v>-10721995.522435302</v>
      </c>
      <c r="I666" s="1022">
        <f t="shared" ca="1" si="357"/>
        <v>7449075.2262449479</v>
      </c>
      <c r="J666" s="1022">
        <f t="shared" ca="1" si="357"/>
        <v>-736407.06664283015</v>
      </c>
      <c r="K666" s="1022">
        <f t="shared" ca="1" si="357"/>
        <v>-902098.65663746651</v>
      </c>
      <c r="L666" s="1022">
        <f t="shared" ca="1" si="357"/>
        <v>-1105070.8543808963</v>
      </c>
      <c r="M666" s="1022">
        <f t="shared" ca="1" si="357"/>
        <v>-1353711.7966165971</v>
      </c>
      <c r="N666" s="1247">
        <f t="shared" ca="1" si="357"/>
        <v>7370208.6704681441</v>
      </c>
      <c r="O666" s="386"/>
      <c r="P666" s="324" t="s">
        <v>79</v>
      </c>
    </row>
    <row r="667" spans="1:16" ht="12" hidden="1" customHeight="1" x14ac:dyDescent="0.35">
      <c r="A667" s="439"/>
      <c r="B667" s="450"/>
      <c r="C667" s="527" t="str">
        <f>""&amp;B592</f>
        <v>Current liabilities</v>
      </c>
      <c r="D667" s="1118"/>
      <c r="E667" s="390" t="s">
        <v>767</v>
      </c>
      <c r="F667" s="957">
        <f t="shared" ref="F667:N667" ca="1" si="358">IF(OR(AND(F$5=0,NoZeroCol=1),AND(F$5=-99,NoResCol=1)),0,F$619)</f>
        <v>0</v>
      </c>
      <c r="G667" s="1053">
        <f t="shared" si="358"/>
        <v>0</v>
      </c>
      <c r="H667" s="1053">
        <f t="shared" ca="1" si="358"/>
        <v>5731689.283867606</v>
      </c>
      <c r="I667" s="1053">
        <f t="shared" ca="1" si="358"/>
        <v>-3931583.1209629113</v>
      </c>
      <c r="J667" s="1053">
        <f t="shared" ca="1" si="358"/>
        <v>405023.88665355626</v>
      </c>
      <c r="K667" s="1053">
        <f t="shared" ca="1" si="358"/>
        <v>496154.26115060691</v>
      </c>
      <c r="L667" s="1053">
        <f t="shared" ca="1" si="358"/>
        <v>607788.96990949288</v>
      </c>
      <c r="M667" s="1053">
        <f t="shared" ca="1" si="358"/>
        <v>744541.48813912924</v>
      </c>
      <c r="N667" s="1249">
        <f t="shared" ca="1" si="358"/>
        <v>-4053614.7687574802</v>
      </c>
      <c r="O667" s="386"/>
      <c r="P667" s="324" t="s">
        <v>79</v>
      </c>
    </row>
    <row r="668" spans="1:16" ht="14.15" customHeight="1" x14ac:dyDescent="0.35">
      <c r="A668" s="235"/>
      <c r="B668" s="520" t="s">
        <v>739</v>
      </c>
      <c r="C668" s="521"/>
      <c r="D668" s="1131"/>
      <c r="E668" s="342" t="s">
        <v>768</v>
      </c>
      <c r="F668" s="1052">
        <f ca="1">F$629+F$640+F$651+F$662+F$663+F$664</f>
        <v>0</v>
      </c>
      <c r="G668" s="1054">
        <f>IF(NoZeroCol=1,0,G$629+G$640+G$651+G$662+G$663+G$664)</f>
        <v>0</v>
      </c>
      <c r="H668" s="1054">
        <f t="shared" ref="H668:M668" ca="1" si="359">H$629+H$640+H$651+H$662+H$663+H$664</f>
        <v>-15489645.559880517</v>
      </c>
      <c r="I668" s="1054">
        <f t="shared" ca="1" si="359"/>
        <v>16340152.555675525</v>
      </c>
      <c r="J668" s="1054">
        <f t="shared" ca="1" si="359"/>
        <v>6014975.1269501373</v>
      </c>
      <c r="K668" s="1054">
        <f t="shared" ca="1" si="359"/>
        <v>8447503.311763918</v>
      </c>
      <c r="L668" s="1054">
        <f t="shared" ca="1" si="359"/>
        <v>11454334.517848302</v>
      </c>
      <c r="M668" s="1054">
        <f t="shared" ca="1" si="359"/>
        <v>15139277.1300673</v>
      </c>
      <c r="N668" s="1254">
        <f ca="1">IF(NoResCol=1,0,N$629+N$640+N$651+N$662+N$663+N$664)</f>
        <v>11422198.255395312</v>
      </c>
      <c r="O668" s="326"/>
      <c r="P668" s="324" t="s">
        <v>392</v>
      </c>
    </row>
    <row r="669" spans="1:16" ht="14.15" hidden="1" customHeight="1" x14ac:dyDescent="0.35">
      <c r="A669" s="235"/>
      <c r="B669" s="450" t="s">
        <v>57</v>
      </c>
      <c r="C669" s="439"/>
      <c r="D669" s="1111"/>
      <c r="E669" s="329" t="s">
        <v>769</v>
      </c>
      <c r="F669" s="967">
        <f ca="1">OFFSET($E$810,0,F$8)-SUM(OFFSET($E$810,0,F$8-1))</f>
        <v>0</v>
      </c>
      <c r="G669" s="1022">
        <f t="shared" ref="G669:N669" ca="1" si="360">IF(OR(AND(G$5=0,NoZeroCol=1),AND(G$5=-99,NoResCol=1)),0,OFFSET($E$13,0,G$8))</f>
        <v>0</v>
      </c>
      <c r="H669" s="1022">
        <f t="shared" ca="1" si="360"/>
        <v>0</v>
      </c>
      <c r="I669" s="1022">
        <f t="shared" ca="1" si="360"/>
        <v>0</v>
      </c>
      <c r="J669" s="1022">
        <f t="shared" ca="1" si="360"/>
        <v>0</v>
      </c>
      <c r="K669" s="1022">
        <f t="shared" ca="1" si="360"/>
        <v>0</v>
      </c>
      <c r="L669" s="1022">
        <f t="shared" ca="1" si="360"/>
        <v>0</v>
      </c>
      <c r="M669" s="1022">
        <f t="shared" ca="1" si="360"/>
        <v>0</v>
      </c>
      <c r="N669" s="1247">
        <f t="shared" ca="1" si="360"/>
        <v>0</v>
      </c>
      <c r="O669" s="326"/>
      <c r="P669" s="324" t="s">
        <v>61</v>
      </c>
    </row>
    <row r="670" spans="1:16" ht="14.15" customHeight="1" thickBot="1" x14ac:dyDescent="0.4">
      <c r="A670" s="235"/>
      <c r="B670" s="450" t="s">
        <v>770</v>
      </c>
      <c r="C670" s="439"/>
      <c r="D670" s="1111"/>
      <c r="E670" s="329" t="s">
        <v>771</v>
      </c>
      <c r="F670" s="967">
        <f ca="1">SUM(OFFSET($E$767,0,F$8-1))-OFFSET($E$767,0,F$8)+OFFSET($E$486,0,F$8)</f>
        <v>0</v>
      </c>
      <c r="G670" s="1022">
        <f t="shared" ref="G670:N670" ca="1" si="361">G$318+G$319+G$321</f>
        <v>0</v>
      </c>
      <c r="H670" s="1022">
        <f t="shared" ca="1" si="361"/>
        <v>-8100000</v>
      </c>
      <c r="I670" s="1022">
        <f t="shared" ca="1" si="361"/>
        <v>0</v>
      </c>
      <c r="J670" s="1022">
        <f t="shared" ca="1" si="361"/>
        <v>-270000</v>
      </c>
      <c r="K670" s="1022">
        <f t="shared" ca="1" si="361"/>
        <v>0</v>
      </c>
      <c r="L670" s="1022">
        <f t="shared" ca="1" si="361"/>
        <v>-135000</v>
      </c>
      <c r="M670" s="1022">
        <f t="shared" ca="1" si="361"/>
        <v>0</v>
      </c>
      <c r="N670" s="1247">
        <f t="shared" si="361"/>
        <v>1567500</v>
      </c>
      <c r="O670" s="326"/>
      <c r="P670" s="324" t="s">
        <v>392</v>
      </c>
    </row>
    <row r="671" spans="1:16" ht="14.15" hidden="1" customHeight="1" x14ac:dyDescent="0.35">
      <c r="A671" s="235"/>
      <c r="B671" s="528" t="s">
        <v>772</v>
      </c>
      <c r="C671" s="529"/>
      <c r="D671" s="1132"/>
      <c r="E671" s="329" t="s">
        <v>773</v>
      </c>
      <c r="F671" s="967"/>
      <c r="G671" s="1032">
        <f t="shared" ref="G671:N671" si="362">G672+G673+G674</f>
        <v>0</v>
      </c>
      <c r="H671" s="1032">
        <f t="shared" si="362"/>
        <v>0</v>
      </c>
      <c r="I671" s="1032">
        <f t="shared" si="362"/>
        <v>0</v>
      </c>
      <c r="J671" s="1032">
        <f t="shared" si="362"/>
        <v>0</v>
      </c>
      <c r="K671" s="1032">
        <f t="shared" si="362"/>
        <v>0</v>
      </c>
      <c r="L671" s="1032">
        <f t="shared" si="362"/>
        <v>0</v>
      </c>
      <c r="M671" s="1032">
        <f t="shared" ref="M671" si="363">M672+M673+M674</f>
        <v>0</v>
      </c>
      <c r="N671" s="1255">
        <f t="shared" si="362"/>
        <v>0</v>
      </c>
      <c r="O671" s="326"/>
      <c r="P671" s="324" t="s">
        <v>406</v>
      </c>
    </row>
    <row r="672" spans="1:16" ht="14.15" hidden="1" customHeight="1" x14ac:dyDescent="0.35">
      <c r="A672" s="235"/>
      <c r="B672" s="528"/>
      <c r="C672" s="529" t="s">
        <v>774</v>
      </c>
      <c r="D672" s="1132"/>
      <c r="E672" s="329" t="s">
        <v>775</v>
      </c>
      <c r="F672" s="1056"/>
      <c r="G672" s="1057">
        <f t="shared" ref="G672:N672" si="364">G$329+G$330+G$332</f>
        <v>0</v>
      </c>
      <c r="H672" s="1057">
        <f t="shared" si="364"/>
        <v>0</v>
      </c>
      <c r="I672" s="1057">
        <f t="shared" si="364"/>
        <v>0</v>
      </c>
      <c r="J672" s="1057">
        <f t="shared" si="364"/>
        <v>0</v>
      </c>
      <c r="K672" s="1057">
        <f t="shared" si="364"/>
        <v>0</v>
      </c>
      <c r="L672" s="1057">
        <f t="shared" si="364"/>
        <v>0</v>
      </c>
      <c r="M672" s="1057">
        <f t="shared" si="364"/>
        <v>0</v>
      </c>
      <c r="N672" s="1256">
        <f t="shared" si="364"/>
        <v>0</v>
      </c>
      <c r="O672" s="326"/>
      <c r="P672" s="324" t="s">
        <v>406</v>
      </c>
    </row>
    <row r="673" spans="1:16" ht="14.15" hidden="1" customHeight="1" x14ac:dyDescent="0.35">
      <c r="A673" s="235"/>
      <c r="B673" s="528"/>
      <c r="C673" s="529" t="str">
        <f>$B$496</f>
        <v>Extraordinary income and charges</v>
      </c>
      <c r="D673" s="1132"/>
      <c r="E673" s="329" t="s">
        <v>776</v>
      </c>
      <c r="F673" s="1056"/>
      <c r="G673" s="1057"/>
      <c r="H673" s="1057">
        <v>0</v>
      </c>
      <c r="I673" s="1057">
        <v>0</v>
      </c>
      <c r="J673" s="1057">
        <v>0</v>
      </c>
      <c r="K673" s="1057">
        <v>0</v>
      </c>
      <c r="L673" s="1057">
        <v>0</v>
      </c>
      <c r="M673" s="1057">
        <v>0</v>
      </c>
      <c r="N673" s="1256">
        <v>0</v>
      </c>
      <c r="O673" s="326"/>
      <c r="P673" s="324" t="s">
        <v>406</v>
      </c>
    </row>
    <row r="674" spans="1:16" ht="14.15" hidden="1" customHeight="1" thickBot="1" x14ac:dyDescent="0.4">
      <c r="A674" s="235"/>
      <c r="B674" s="528"/>
      <c r="C674" s="529" t="s">
        <v>777</v>
      </c>
      <c r="D674" s="1132"/>
      <c r="E674" s="329" t="s">
        <v>778</v>
      </c>
      <c r="F674" s="1056"/>
      <c r="G674" s="1370"/>
      <c r="H674" s="1370">
        <v>0</v>
      </c>
      <c r="I674" s="1370">
        <v>0</v>
      </c>
      <c r="J674" s="1370">
        <v>0</v>
      </c>
      <c r="K674" s="1370">
        <v>0</v>
      </c>
      <c r="L674" s="1370">
        <v>0</v>
      </c>
      <c r="M674" s="1370">
        <v>0</v>
      </c>
      <c r="N674" s="1371">
        <v>0</v>
      </c>
      <c r="O674" s="326"/>
      <c r="P674" s="324" t="s">
        <v>406</v>
      </c>
    </row>
    <row r="675" spans="1:16" ht="14.15" customHeight="1" thickBot="1" x14ac:dyDescent="0.4">
      <c r="A675" s="235"/>
      <c r="B675" s="530" t="str">
        <f>"Free cash flow "&amp;IF(FCFEinUse&lt;&gt;1,"(FCF)","to firm (FCFF)")</f>
        <v>Free cash flow (FCF)</v>
      </c>
      <c r="C675" s="531"/>
      <c r="D675" s="1133"/>
      <c r="E675" s="532" t="s">
        <v>779</v>
      </c>
      <c r="F675" s="1058">
        <f ca="1">F668+F669+F670+F671</f>
        <v>0</v>
      </c>
      <c r="G675" s="1059">
        <f>IF(NoZeroCol=1,0,G668+G669+G670+G671)</f>
        <v>0</v>
      </c>
      <c r="H675" s="1059">
        <f t="shared" ref="H675:M675" ca="1" si="365">H668+H669+H670+H671</f>
        <v>-23589645.559880517</v>
      </c>
      <c r="I675" s="1059">
        <f t="shared" ca="1" si="365"/>
        <v>16340152.555675525</v>
      </c>
      <c r="J675" s="1059">
        <f t="shared" ca="1" si="365"/>
        <v>5744975.1269501373</v>
      </c>
      <c r="K675" s="1059">
        <f t="shared" ca="1" si="365"/>
        <v>8447503.311763918</v>
      </c>
      <c r="L675" s="1059">
        <f t="shared" ca="1" si="365"/>
        <v>11319334.517848302</v>
      </c>
      <c r="M675" s="1059">
        <f t="shared" ca="1" si="365"/>
        <v>15139277.1300673</v>
      </c>
      <c r="N675" s="1257">
        <f ca="1">IF(NoResCol=1,0,N668+N669+N670+N671)</f>
        <v>12989698.255395312</v>
      </c>
      <c r="O675" s="326"/>
      <c r="P675" s="324" t="s">
        <v>392</v>
      </c>
    </row>
    <row r="676" spans="1:16" ht="14.15" customHeight="1" x14ac:dyDescent="0.35">
      <c r="A676" s="439"/>
      <c r="B676" s="526" t="str">
        <f>"Discounted free cash flow "&amp;IF(FCFEinUse&lt;&gt;1,"(DFCF)","to firm (DFCFF)")</f>
        <v>Discounted free cash flow (DFCF)</v>
      </c>
      <c r="C676" s="508"/>
      <c r="D676" s="1110"/>
      <c r="E676" s="385" t="s">
        <v>780</v>
      </c>
      <c r="F676" s="955"/>
      <c r="G676" s="1050">
        <f>IF(NoZeroCol=1,0,G$1065)</f>
        <v>0</v>
      </c>
      <c r="H676" s="1050">
        <f ca="1">H$1065</f>
        <v>-23377288.617723797</v>
      </c>
      <c r="I676" s="1050">
        <f t="shared" ref="I676:M676" ca="1" si="366">I$1065</f>
        <v>15759665.651577344</v>
      </c>
      <c r="J676" s="1050">
        <f t="shared" ca="1" si="366"/>
        <v>5392587.6751682218</v>
      </c>
      <c r="K676" s="1050">
        <f t="shared" ca="1" si="366"/>
        <v>7717126.1961859623</v>
      </c>
      <c r="L676" s="1050">
        <f t="shared" ca="1" si="366"/>
        <v>10063899.604356356</v>
      </c>
      <c r="M676" s="1050">
        <f t="shared" ca="1" si="366"/>
        <v>13099921.988282897</v>
      </c>
      <c r="N676" s="1253">
        <f ca="1">IF(NoResCol=1,0,N$1065)</f>
        <v>11239904.807545893</v>
      </c>
      <c r="O676" s="386"/>
      <c r="P676" s="324" t="s">
        <v>71</v>
      </c>
    </row>
    <row r="677" spans="1:16" ht="14.15" customHeight="1" x14ac:dyDescent="0.35">
      <c r="A677" s="235"/>
      <c r="B677" s="450" t="str">
        <f>"Cumulative discounted free cash flow"&amp;IF(FCFEinUse=1," to firm","")</f>
        <v>Cumulative discounted free cash flow</v>
      </c>
      <c r="C677" s="439"/>
      <c r="D677" s="1111"/>
      <c r="E677" s="329" t="s">
        <v>781</v>
      </c>
      <c r="F677" s="967"/>
      <c r="G677" s="1022">
        <f>G676</f>
        <v>0</v>
      </c>
      <c r="H677" s="1022">
        <f t="shared" ref="H677:N677" ca="1" si="367">OFFSET(H677,0,-1)+H676</f>
        <v>-23377288.617723797</v>
      </c>
      <c r="I677" s="1022">
        <f t="shared" ca="1" si="367"/>
        <v>-7617622.9661464524</v>
      </c>
      <c r="J677" s="1022">
        <f t="shared" ca="1" si="367"/>
        <v>-2225035.2909782305</v>
      </c>
      <c r="K677" s="1022">
        <f t="shared" ca="1" si="367"/>
        <v>5492090.9052077318</v>
      </c>
      <c r="L677" s="1022">
        <f t="shared" ca="1" si="367"/>
        <v>15555990.509564087</v>
      </c>
      <c r="M677" s="1022">
        <f t="shared" ref="M677" ca="1" si="368">OFFSET(M677,0,-1)+M676</f>
        <v>28655912.497846983</v>
      </c>
      <c r="N677" s="1247">
        <f t="shared" ca="1" si="367"/>
        <v>39895817.305392876</v>
      </c>
      <c r="O677" s="326"/>
      <c r="P677" s="324" t="s">
        <v>71</v>
      </c>
    </row>
    <row r="678" spans="1:16" ht="14.15" hidden="1" customHeight="1" x14ac:dyDescent="0.35">
      <c r="A678" s="533"/>
      <c r="B678" s="520" t="s">
        <v>782</v>
      </c>
      <c r="C678" s="521"/>
      <c r="D678" s="1131"/>
      <c r="E678" s="342" t="s">
        <v>783</v>
      </c>
      <c r="F678" s="1060"/>
      <c r="G678" s="1387">
        <f t="shared" ref="G678:N678" si="369">DiscYear</f>
        <v>2.75</v>
      </c>
      <c r="H678" s="1387">
        <f t="shared" si="369"/>
        <v>2.75</v>
      </c>
      <c r="I678" s="1387">
        <f t="shared" si="369"/>
        <v>2.75</v>
      </c>
      <c r="J678" s="1387">
        <f t="shared" si="369"/>
        <v>2.75</v>
      </c>
      <c r="K678" s="1387">
        <f t="shared" si="369"/>
        <v>2.75</v>
      </c>
      <c r="L678" s="1387">
        <f t="shared" si="369"/>
        <v>2.75</v>
      </c>
      <c r="M678" s="1387">
        <f t="shared" si="369"/>
        <v>2.75</v>
      </c>
      <c r="N678" s="1388">
        <f t="shared" si="369"/>
        <v>2.75</v>
      </c>
      <c r="O678" s="326"/>
      <c r="P678" s="324" t="s">
        <v>73</v>
      </c>
    </row>
    <row r="679" spans="1:16" ht="14.15" customHeight="1" x14ac:dyDescent="0.35">
      <c r="A679" s="235"/>
      <c r="B679" s="534" t="s">
        <v>784</v>
      </c>
      <c r="C679" s="535"/>
      <c r="D679" s="1134"/>
      <c r="E679" s="342" t="s">
        <v>785</v>
      </c>
      <c r="F679" s="1061"/>
      <c r="G679" s="1062"/>
      <c r="H679" s="1062"/>
      <c r="I679" s="1062"/>
      <c r="J679" s="1062"/>
      <c r="K679" s="1062"/>
      <c r="L679" s="1062"/>
      <c r="M679" s="1062"/>
      <c r="N679" s="1258"/>
      <c r="O679" s="326"/>
      <c r="P679" s="324" t="s">
        <v>121</v>
      </c>
    </row>
    <row r="680" spans="1:16" ht="14.15" hidden="1" customHeight="1" x14ac:dyDescent="0.35">
      <c r="A680" s="458"/>
      <c r="B680" s="536" t="s">
        <v>786</v>
      </c>
      <c r="C680" s="511"/>
      <c r="D680" s="1118"/>
      <c r="E680" s="390" t="s">
        <v>787</v>
      </c>
      <c r="F680" s="957"/>
      <c r="G680" s="1053">
        <f ca="1">IF(G$16=LastPeriod,"",IF(OFFSET(G$5,0,1)=-99,OFFSET(G$668,0,1)-OFFSET(G$663,0,1),NPV(IF(VariableRate=1,G$1057,DiscMonth),OFFSET(Specs2!$E$3,SUM($G$627:G$627),0):INDEX(PreTaxCashFlow,ROWS(PreTaxCashFlow)))))</f>
        <v>57245949.454775512</v>
      </c>
      <c r="H680" s="1053">
        <f ca="1">IF(H$16=LastPeriod,"",IF(OFFSET(H$5,0,1)=-99,OFFSET(H$668,0,1)-OFFSET(H$663,0,1),NPV(IF(VariableRate=1,H$1057,DiscMonth),OFFSET(Specs2!$E$3,SUM($G$627:H$627),0):INDEX(PreTaxCashFlow,ROWS(PreTaxCashFlow)))))</f>
        <v>81072212.08185558</v>
      </c>
      <c r="I680" s="1053">
        <f ca="1">IF(I$16=LastPeriod,"",IF(OFFSET(I$5,0,1)=-99,OFFSET(I$668,0,1)-OFFSET(I$663,0,1),NPV(IF(VariableRate=1,I$1057,DiscMonth),OFFSET(Specs2!$E$3,SUM($G$627:I$627),0):INDEX(PreTaxCashFlow,ROWS(PreTaxCashFlow)))))</f>
        <v>65385011.010110199</v>
      </c>
      <c r="J680" s="1053">
        <f ca="1">IF(J$16=LastPeriod,"",IF(OFFSET(J$5,0,1)=-99,OFFSET(J$668,0,1)-OFFSET(J$663,0,1),NPV(IF(VariableRate=1,J$1057,DiscMonth),OFFSET(Specs2!$E$3,SUM($G$627:J$627),0):INDEX(PreTaxCashFlow,ROWS(PreTaxCashFlow)))))</f>
        <v>58965801.484245002</v>
      </c>
      <c r="K680" s="1053">
        <f ca="1">IF(K$16=LastPeriod,"",IF(OFFSET(K$5,0,1)=-99,OFFSET(K$668,0,1)-OFFSET(K$663,0,1),NPV(IF(VariableRate=1,K$1057,DiscMonth),OFFSET(Specs2!$E$3,SUM($G$627:K$627),0):INDEX(PreTaxCashFlow,ROWS(PreTaxCashFlow)))))</f>
        <v>48570421.797473781</v>
      </c>
      <c r="L680" s="1053">
        <f ca="1">IF(L$16=LastPeriod,"",IF(OFFSET(L$5,0,1)=-99,OFFSET(L$668,0,1)-OFFSET(L$663,0,1),NPV(IF(VariableRate=1,L$1057,DiscMonth),OFFSET(Specs2!$E$3,SUM($G$627:L$627),0):INDEX(PreTaxCashFlow,ROWS(PreTaxCashFlow)))))</f>
        <v>33700357.843109034</v>
      </c>
      <c r="M680" s="1053" t="str">
        <f ca="1">IF(M$16=LastPeriod,"",IF(OFFSET(M$5,0,1)=-99,OFFSET(M$668,0,1)-OFFSET(M$663,0,1),NPV(IF(VariableRate=1,M$1057,DiscMonth),OFFSET(Specs2!$E$3,SUM($G$627:M$627),0):INDEX(PreTaxCashFlow,ROWS(PreTaxCashFlow)))))</f>
        <v/>
      </c>
      <c r="N680" s="1259"/>
      <c r="O680" s="326"/>
      <c r="P680" s="324" t="s">
        <v>788</v>
      </c>
    </row>
    <row r="681" spans="1:16" ht="13.5" customHeight="1" x14ac:dyDescent="0.35">
      <c r="A681" s="235"/>
      <c r="B681" s="526" t="s">
        <v>789</v>
      </c>
      <c r="C681" s="508"/>
      <c r="D681" s="1110"/>
      <c r="E681" s="385" t="s">
        <v>790</v>
      </c>
      <c r="F681" s="1049">
        <f ca="1">F682+F684+F691</f>
        <v>0</v>
      </c>
      <c r="G681" s="1049">
        <f t="shared" ref="G681:N681" ca="1" si="370">G682+G683+G684+OFFSET($E$691,0,G$8)</f>
        <v>0</v>
      </c>
      <c r="H681" s="1049">
        <f t="shared" ca="1" si="370"/>
        <v>0</v>
      </c>
      <c r="I681" s="1049">
        <f t="shared" ca="1" si="370"/>
        <v>0</v>
      </c>
      <c r="J681" s="1049">
        <f t="shared" ca="1" si="370"/>
        <v>0</v>
      </c>
      <c r="K681" s="1049">
        <f t="shared" ca="1" si="370"/>
        <v>0</v>
      </c>
      <c r="L681" s="1049">
        <f t="shared" ca="1" si="370"/>
        <v>0</v>
      </c>
      <c r="M681" s="1049">
        <f t="shared" ref="M681" ca="1" si="371">M682+M683+M684+OFFSET($E$691,0,M$8)</f>
        <v>0</v>
      </c>
      <c r="N681" s="1260">
        <f t="shared" ca="1" si="370"/>
        <v>0</v>
      </c>
      <c r="O681" s="326"/>
      <c r="P681" s="324" t="s">
        <v>392</v>
      </c>
    </row>
    <row r="682" spans="1:16" ht="12" customHeight="1" x14ac:dyDescent="0.35">
      <c r="A682" s="235"/>
      <c r="B682" s="450"/>
      <c r="C682" s="439" t="s">
        <v>791</v>
      </c>
      <c r="D682" s="1111"/>
      <c r="E682" s="329" t="s">
        <v>792</v>
      </c>
      <c r="F682" s="1022">
        <f ca="1">F$492</f>
        <v>0</v>
      </c>
      <c r="G682" s="1022">
        <f t="shared" ref="G682:N682" ca="1" si="372">OFFSET($E$493,0,G$8)+G$432+G$1240</f>
        <v>0</v>
      </c>
      <c r="H682" s="1022">
        <f t="shared" ca="1" si="372"/>
        <v>0</v>
      </c>
      <c r="I682" s="1022">
        <f t="shared" ca="1" si="372"/>
        <v>0</v>
      </c>
      <c r="J682" s="1022">
        <f t="shared" ca="1" si="372"/>
        <v>0</v>
      </c>
      <c r="K682" s="1022">
        <f t="shared" ca="1" si="372"/>
        <v>0</v>
      </c>
      <c r="L682" s="1022">
        <f t="shared" ca="1" si="372"/>
        <v>0</v>
      </c>
      <c r="M682" s="1022">
        <f t="shared" ca="1" si="372"/>
        <v>0</v>
      </c>
      <c r="N682" s="1247">
        <f t="shared" ca="1" si="372"/>
        <v>0</v>
      </c>
      <c r="O682" s="326"/>
      <c r="P682" s="324" t="s">
        <v>71</v>
      </c>
    </row>
    <row r="683" spans="1:16" ht="12" customHeight="1" x14ac:dyDescent="0.35">
      <c r="A683" s="235"/>
      <c r="B683" s="450"/>
      <c r="C683" s="439" t="s">
        <v>793</v>
      </c>
      <c r="D683" s="1111"/>
      <c r="E683" s="329" t="s">
        <v>794</v>
      </c>
      <c r="F683" s="1022"/>
      <c r="G683" s="1021"/>
      <c r="H683" s="1021">
        <v>0</v>
      </c>
      <c r="I683" s="1021">
        <v>0</v>
      </c>
      <c r="J683" s="1021">
        <v>0</v>
      </c>
      <c r="K683" s="1021">
        <v>0</v>
      </c>
      <c r="L683" s="1021">
        <v>0</v>
      </c>
      <c r="M683" s="1021">
        <v>0</v>
      </c>
      <c r="N683" s="1261">
        <v>0</v>
      </c>
      <c r="O683" s="326"/>
      <c r="P683" s="324" t="s">
        <v>71</v>
      </c>
    </row>
    <row r="684" spans="1:16" ht="12" customHeight="1" x14ac:dyDescent="0.35">
      <c r="A684" s="235"/>
      <c r="B684" s="450"/>
      <c r="C684" s="439" t="s">
        <v>795</v>
      </c>
      <c r="D684" s="1111"/>
      <c r="E684" s="329" t="s">
        <v>796</v>
      </c>
      <c r="F684" s="967">
        <f ca="1">OFFSET($E$805,0,F$8)-SUM(OFFSET($E$805,0,F$8-1))-F669+(OFFSET($E$814,0,F$8)-SUM(OFFSET($E$814,0,F$8-1)))</f>
        <v>0</v>
      </c>
      <c r="G684" s="1022">
        <f t="shared" ref="G684:N684" ca="1" si="373">IF(OR(AND(G$5=0,NoZeroCol=1),AND(G$5=-99,NoResCol=1)),0,G$685+OFFSET($E$689,0,G$8)+OFFSET($E$690,0,G$8))</f>
        <v>0</v>
      </c>
      <c r="H684" s="1022">
        <f t="shared" ca="1" si="373"/>
        <v>0</v>
      </c>
      <c r="I684" s="1022">
        <f t="shared" ca="1" si="373"/>
        <v>0</v>
      </c>
      <c r="J684" s="1022">
        <f t="shared" ca="1" si="373"/>
        <v>0</v>
      </c>
      <c r="K684" s="1022">
        <f t="shared" ca="1" si="373"/>
        <v>0</v>
      </c>
      <c r="L684" s="1022">
        <f t="shared" ca="1" si="373"/>
        <v>0</v>
      </c>
      <c r="M684" s="1022">
        <f t="shared" ca="1" si="373"/>
        <v>0</v>
      </c>
      <c r="N684" s="1247">
        <f t="shared" ca="1" si="373"/>
        <v>0</v>
      </c>
      <c r="O684" s="326"/>
      <c r="P684" s="324" t="s">
        <v>71</v>
      </c>
    </row>
    <row r="685" spans="1:16" ht="12" hidden="1" customHeight="1" x14ac:dyDescent="0.35">
      <c r="A685" s="235"/>
      <c r="B685" s="450"/>
      <c r="C685" s="537" t="s">
        <v>797</v>
      </c>
      <c r="D685" s="1110"/>
      <c r="E685" s="385" t="s">
        <v>798</v>
      </c>
      <c r="F685" s="1063"/>
      <c r="G685" s="1050">
        <f t="shared" ref="G685:N685" ca="1" si="374">IF(OR(AND(G$5=0,NoZeroCol=1),AND(G$5=-99,NoResCol=1)),0,G$687+G$688+OFFSET($E$686,0,G$8))</f>
        <v>0</v>
      </c>
      <c r="H685" s="1050">
        <f t="shared" ca="1" si="374"/>
        <v>0</v>
      </c>
      <c r="I685" s="1050">
        <f t="shared" ca="1" si="374"/>
        <v>0</v>
      </c>
      <c r="J685" s="1050">
        <f t="shared" ca="1" si="374"/>
        <v>0</v>
      </c>
      <c r="K685" s="1050">
        <f t="shared" ca="1" si="374"/>
        <v>0</v>
      </c>
      <c r="L685" s="1050">
        <f t="shared" ca="1" si="374"/>
        <v>0</v>
      </c>
      <c r="M685" s="1050">
        <f t="shared" ca="1" si="374"/>
        <v>0</v>
      </c>
      <c r="N685" s="1253">
        <f t="shared" ca="1" si="374"/>
        <v>0</v>
      </c>
      <c r="O685" s="326"/>
      <c r="P685" s="324" t="s">
        <v>79</v>
      </c>
    </row>
    <row r="686" spans="1:16" ht="12" hidden="1" customHeight="1" x14ac:dyDescent="0.35">
      <c r="A686" s="235"/>
      <c r="B686" s="450"/>
      <c r="C686" s="538" t="str">
        <f>C684</f>
        <v>Long-term debt, increase (+) / decrease (-)</v>
      </c>
      <c r="D686" s="1111"/>
      <c r="E686" s="329" t="s">
        <v>799</v>
      </c>
      <c r="F686" s="967"/>
      <c r="G686" s="1021"/>
      <c r="H686" s="1021">
        <v>0</v>
      </c>
      <c r="I686" s="1021">
        <v>0</v>
      </c>
      <c r="J686" s="1021">
        <v>0</v>
      </c>
      <c r="K686" s="1021">
        <v>0</v>
      </c>
      <c r="L686" s="1021">
        <v>0</v>
      </c>
      <c r="M686" s="1021">
        <v>0</v>
      </c>
      <c r="N686" s="1261"/>
      <c r="O686" s="326"/>
      <c r="P686" s="324" t="s">
        <v>79</v>
      </c>
    </row>
    <row r="687" spans="1:16" ht="12" hidden="1" customHeight="1" x14ac:dyDescent="0.35">
      <c r="A687" s="235"/>
      <c r="B687" s="450"/>
      <c r="C687" s="538" t="s">
        <v>800</v>
      </c>
      <c r="D687" s="1111"/>
      <c r="E687" s="329" t="s">
        <v>801</v>
      </c>
      <c r="F687" s="967"/>
      <c r="G687" s="1022"/>
      <c r="H687" s="1022"/>
      <c r="I687" s="1022"/>
      <c r="J687" s="1022"/>
      <c r="K687" s="1022"/>
      <c r="L687" s="1022"/>
      <c r="M687" s="1022"/>
      <c r="N687" s="1247"/>
      <c r="O687" s="326"/>
      <c r="P687" s="324" t="s">
        <v>79</v>
      </c>
    </row>
    <row r="688" spans="1:16" ht="12" hidden="1" customHeight="1" x14ac:dyDescent="0.35">
      <c r="A688" s="235"/>
      <c r="B688" s="450"/>
      <c r="C688" s="539" t="s">
        <v>802</v>
      </c>
      <c r="D688" s="1132"/>
      <c r="E688" s="329" t="s">
        <v>803</v>
      </c>
      <c r="F688" s="1056"/>
      <c r="G688" s="1057">
        <f t="shared" ref="G688:N688" ca="1" si="375">G$430-OFFSET(G$430,0,-1)+G$1117-IF(InvFileType&lt;&gt;2,G$1237)+IF(InvFileType&lt;&gt;2,G$1239,0)</f>
        <v>0</v>
      </c>
      <c r="H688" s="1057">
        <f t="shared" ca="1" si="375"/>
        <v>0</v>
      </c>
      <c r="I688" s="1057">
        <f t="shared" ca="1" si="375"/>
        <v>0</v>
      </c>
      <c r="J688" s="1057">
        <f t="shared" ca="1" si="375"/>
        <v>0</v>
      </c>
      <c r="K688" s="1057">
        <f t="shared" ca="1" si="375"/>
        <v>0</v>
      </c>
      <c r="L688" s="1057">
        <f t="shared" ca="1" si="375"/>
        <v>0</v>
      </c>
      <c r="M688" s="1057">
        <f t="shared" ca="1" si="375"/>
        <v>0</v>
      </c>
      <c r="N688" s="1256">
        <f t="shared" ca="1" si="375"/>
        <v>0</v>
      </c>
      <c r="O688" s="326"/>
      <c r="P688" s="324" t="s">
        <v>676</v>
      </c>
    </row>
    <row r="689" spans="1:16" s="1244" customFormat="1" ht="12" hidden="1" customHeight="1" x14ac:dyDescent="0.35">
      <c r="A689" s="235"/>
      <c r="B689" s="450"/>
      <c r="C689" s="542" t="s">
        <v>5397</v>
      </c>
      <c r="D689" s="1111"/>
      <c r="E689" s="1242" t="s">
        <v>5398</v>
      </c>
      <c r="F689" s="1248"/>
      <c r="G689" s="1021"/>
      <c r="H689" s="1021"/>
      <c r="I689" s="1021"/>
      <c r="J689" s="1021"/>
      <c r="K689" s="1021"/>
      <c r="L689" s="1021"/>
      <c r="M689" s="1021"/>
      <c r="N689" s="1261"/>
      <c r="O689" s="541"/>
      <c r="P689" s="324" t="s">
        <v>172</v>
      </c>
    </row>
    <row r="690" spans="1:16" ht="12" hidden="1" customHeight="1" x14ac:dyDescent="0.35">
      <c r="A690" s="235"/>
      <c r="B690" s="450"/>
      <c r="C690" s="540" t="s">
        <v>804</v>
      </c>
      <c r="D690" s="1118"/>
      <c r="E690" s="390" t="s">
        <v>805</v>
      </c>
      <c r="F690" s="1064"/>
      <c r="G690" s="1026"/>
      <c r="H690" s="1026"/>
      <c r="I690" s="1026"/>
      <c r="J690" s="1026"/>
      <c r="K690" s="1026"/>
      <c r="L690" s="1026"/>
      <c r="M690" s="1026"/>
      <c r="N690" s="1262"/>
      <c r="O690" s="326"/>
      <c r="P690" s="324" t="s">
        <v>79</v>
      </c>
    </row>
    <row r="691" spans="1:16" ht="12" customHeight="1" x14ac:dyDescent="0.35">
      <c r="A691" s="235"/>
      <c r="B691" s="450"/>
      <c r="C691" s="444" t="s">
        <v>806</v>
      </c>
      <c r="D691" s="1111"/>
      <c r="E691" s="329" t="s">
        <v>807</v>
      </c>
      <c r="F691" s="967">
        <f ca="1">OFFSET($E$813,0,F$8)-SUM(OFFSET($E$813,0,F$8-1))</f>
        <v>0</v>
      </c>
      <c r="G691" s="1021"/>
      <c r="H691" s="1021"/>
      <c r="I691" s="1021"/>
      <c r="J691" s="1021"/>
      <c r="K691" s="1021"/>
      <c r="L691" s="1021"/>
      <c r="M691" s="1021"/>
      <c r="N691" s="1261"/>
      <c r="O691" s="326"/>
      <c r="P691" s="324" t="s">
        <v>71</v>
      </c>
    </row>
    <row r="692" spans="1:16" ht="12" hidden="1" customHeight="1" thickBot="1" x14ac:dyDescent="0.4">
      <c r="A692" s="533"/>
      <c r="B692" s="530" t="s">
        <v>808</v>
      </c>
      <c r="C692" s="531"/>
      <c r="D692" s="1133"/>
      <c r="E692" s="532" t="s">
        <v>809</v>
      </c>
      <c r="F692" s="1065">
        <f t="shared" ref="F692:N692" ca="1" si="376">F675+F682+F683+F684+OFFSET($E$691,0,F$8)</f>
        <v>0</v>
      </c>
      <c r="G692" s="1059">
        <f t="shared" ca="1" si="376"/>
        <v>0</v>
      </c>
      <c r="H692" s="1059">
        <f t="shared" ca="1" si="376"/>
        <v>-23589645.559880517</v>
      </c>
      <c r="I692" s="1059">
        <f t="shared" ca="1" si="376"/>
        <v>16340152.555675525</v>
      </c>
      <c r="J692" s="1059">
        <f t="shared" ca="1" si="376"/>
        <v>5744975.1269501373</v>
      </c>
      <c r="K692" s="1059">
        <f t="shared" ca="1" si="376"/>
        <v>8447503.311763918</v>
      </c>
      <c r="L692" s="1059">
        <f t="shared" ca="1" si="376"/>
        <v>11319334.517848302</v>
      </c>
      <c r="M692" s="1059">
        <f t="shared" ref="M692" ca="1" si="377">M675+M682+M683+M684+OFFSET($E$691,0,M$8)</f>
        <v>15139277.1300673</v>
      </c>
      <c r="N692" s="1257">
        <f t="shared" ca="1" si="376"/>
        <v>12989698.255395312</v>
      </c>
      <c r="O692" s="541"/>
      <c r="P692" s="324" t="s">
        <v>392</v>
      </c>
    </row>
    <row r="693" spans="1:16" ht="12" hidden="1" customHeight="1" x14ac:dyDescent="0.35">
      <c r="A693" s="533"/>
      <c r="B693" s="450" t="s">
        <v>810</v>
      </c>
      <c r="C693" s="439"/>
      <c r="D693" s="1135"/>
      <c r="E693" s="329" t="s">
        <v>811</v>
      </c>
      <c r="F693" s="1066"/>
      <c r="G693" s="1022">
        <f ca="1">G$1202</f>
        <v>0</v>
      </c>
      <c r="H693" s="1022">
        <f t="shared" ref="H693:N693" ca="1" si="378">H$1202</f>
        <v>-23589645.559880517</v>
      </c>
      <c r="I693" s="1022">
        <f t="shared" ca="1" si="378"/>
        <v>16340152.555675525</v>
      </c>
      <c r="J693" s="1022">
        <f t="shared" ca="1" si="378"/>
        <v>5744975.1269501373</v>
      </c>
      <c r="K693" s="1022">
        <f t="shared" ca="1" si="378"/>
        <v>8447503.311763918</v>
      </c>
      <c r="L693" s="1022">
        <f t="shared" ca="1" si="378"/>
        <v>11319334.517848302</v>
      </c>
      <c r="M693" s="1022">
        <f t="shared" ca="1" si="378"/>
        <v>15139277.1300673</v>
      </c>
      <c r="N693" s="1247">
        <f t="shared" ca="1" si="378"/>
        <v>12989698.255395312</v>
      </c>
      <c r="O693" s="541"/>
      <c r="P693" s="324" t="s">
        <v>71</v>
      </c>
    </row>
    <row r="694" spans="1:16" ht="12" hidden="1" customHeight="1" x14ac:dyDescent="0.35">
      <c r="A694" s="533"/>
      <c r="B694" s="527" t="s">
        <v>812</v>
      </c>
      <c r="C694" s="511"/>
      <c r="D694" s="1136"/>
      <c r="E694" s="390" t="s">
        <v>813</v>
      </c>
      <c r="F694" s="1067"/>
      <c r="G694" s="1053">
        <f ca="1">G693</f>
        <v>0</v>
      </c>
      <c r="H694" s="1053">
        <f t="shared" ref="H694:N694" ca="1" si="379">OFFSET(H694,0,-1)+H693</f>
        <v>-23589645.559880517</v>
      </c>
      <c r="I694" s="1053">
        <f t="shared" ca="1" si="379"/>
        <v>-7249493.0042049922</v>
      </c>
      <c r="J694" s="1053">
        <f t="shared" ca="1" si="379"/>
        <v>-1504517.8772548549</v>
      </c>
      <c r="K694" s="1053">
        <f t="shared" ca="1" si="379"/>
        <v>6942985.4345090631</v>
      </c>
      <c r="L694" s="1053">
        <f t="shared" ca="1" si="379"/>
        <v>18262319.952357367</v>
      </c>
      <c r="M694" s="1053">
        <f t="shared" ref="M694" ca="1" si="380">OFFSET(M694,0,-1)+M693</f>
        <v>33401597.082424667</v>
      </c>
      <c r="N694" s="1249">
        <f t="shared" ca="1" si="379"/>
        <v>46391295.337819979</v>
      </c>
      <c r="O694" s="541"/>
      <c r="P694" s="324" t="s">
        <v>71</v>
      </c>
    </row>
    <row r="695" spans="1:16" ht="12" hidden="1" customHeight="1" x14ac:dyDescent="0.35">
      <c r="A695" s="533"/>
      <c r="B695" s="520" t="s">
        <v>814</v>
      </c>
      <c r="C695" s="521"/>
      <c r="D695" s="1131"/>
      <c r="E695" s="342" t="s">
        <v>815</v>
      </c>
      <c r="F695" s="1060"/>
      <c r="G695" s="1387">
        <f t="shared" ref="G695:N695" si="381">DiscYearEquity</f>
        <v>0</v>
      </c>
      <c r="H695" s="1387">
        <f t="shared" si="381"/>
        <v>0</v>
      </c>
      <c r="I695" s="1387">
        <f t="shared" si="381"/>
        <v>0</v>
      </c>
      <c r="J695" s="1387">
        <f t="shared" si="381"/>
        <v>0</v>
      </c>
      <c r="K695" s="1387">
        <f t="shared" si="381"/>
        <v>0</v>
      </c>
      <c r="L695" s="1387">
        <f t="shared" si="381"/>
        <v>0</v>
      </c>
      <c r="M695" s="1387">
        <f t="shared" si="381"/>
        <v>0</v>
      </c>
      <c r="N695" s="1388">
        <f t="shared" si="381"/>
        <v>0</v>
      </c>
      <c r="O695" s="541"/>
      <c r="P695" s="324" t="s">
        <v>73</v>
      </c>
    </row>
    <row r="696" spans="1:16" ht="12" customHeight="1" x14ac:dyDescent="0.35">
      <c r="A696" s="235"/>
      <c r="B696" s="450"/>
      <c r="C696" s="439" t="s">
        <v>816</v>
      </c>
      <c r="D696" s="1111"/>
      <c r="E696" s="329" t="s">
        <v>817</v>
      </c>
      <c r="F696" s="967">
        <f ca="1">OFFSET($E$800,0,F$8)-SUM(OFFSET($E$800,0,F$8-1))-F499-F663</f>
        <v>0</v>
      </c>
      <c r="G696" s="1022">
        <f t="shared" ref="G696:N696" ca="1" si="382">IF(OR(AND(G$5=0,NoZeroCol=1),AND(G$5=-99,NoResCol=1)),0,OFFSET($E$697,0,G$8)+OFFSET($E$698,0,G$8)+OFFSET($E$699,0,G$8)+G700+OFFSET($E$701,0,G$8))</f>
        <v>0</v>
      </c>
      <c r="H696" s="1022">
        <f t="shared" ca="1" si="382"/>
        <v>0</v>
      </c>
      <c r="I696" s="1022">
        <f t="shared" ca="1" si="382"/>
        <v>0</v>
      </c>
      <c r="J696" s="1022">
        <f t="shared" ca="1" si="382"/>
        <v>0</v>
      </c>
      <c r="K696" s="1022">
        <f t="shared" ca="1" si="382"/>
        <v>0</v>
      </c>
      <c r="L696" s="1022">
        <f t="shared" ca="1" si="382"/>
        <v>0</v>
      </c>
      <c r="M696" s="1022">
        <f t="shared" ref="M696" ca="1" si="383">IF(OR(AND(M$5=0,NoZeroCol=1),AND(M$5=-99,NoResCol=1)),0,OFFSET($E$697,0,M$8)+OFFSET($E$698,0,M$8)+OFFSET($E$699,0,M$8)+M700+OFFSET($E$701,0,M$8))</f>
        <v>0</v>
      </c>
      <c r="N696" s="1247">
        <f t="shared" ca="1" si="382"/>
        <v>0</v>
      </c>
      <c r="O696" s="326"/>
      <c r="P696" s="324" t="s">
        <v>71</v>
      </c>
    </row>
    <row r="697" spans="1:16" ht="12" hidden="1" customHeight="1" x14ac:dyDescent="0.35">
      <c r="A697" s="235"/>
      <c r="B697" s="450"/>
      <c r="C697" s="537" t="s">
        <v>818</v>
      </c>
      <c r="D697" s="1110"/>
      <c r="E697" s="385" t="s">
        <v>819</v>
      </c>
      <c r="F697" s="955"/>
      <c r="G697" s="1051"/>
      <c r="H697" s="1051"/>
      <c r="I697" s="1051"/>
      <c r="J697" s="1051"/>
      <c r="K697" s="1051"/>
      <c r="L697" s="1051"/>
      <c r="M697" s="1051"/>
      <c r="N697" s="1263"/>
      <c r="O697" s="326"/>
      <c r="P697" s="324" t="s">
        <v>79</v>
      </c>
    </row>
    <row r="698" spans="1:16" ht="12" hidden="1" customHeight="1" x14ac:dyDescent="0.35">
      <c r="A698" s="235"/>
      <c r="B698" s="450"/>
      <c r="C698" s="542" t="s">
        <v>820</v>
      </c>
      <c r="D698" s="1111"/>
      <c r="E698" s="329" t="s">
        <v>821</v>
      </c>
      <c r="F698" s="967"/>
      <c r="G698" s="1021"/>
      <c r="H698" s="1021"/>
      <c r="I698" s="1021"/>
      <c r="J698" s="1021"/>
      <c r="K698" s="1021"/>
      <c r="L698" s="1021"/>
      <c r="M698" s="1021"/>
      <c r="N698" s="1261"/>
      <c r="O698" s="326"/>
      <c r="P698" s="324" t="s">
        <v>79</v>
      </c>
    </row>
    <row r="699" spans="1:16" ht="12" hidden="1" customHeight="1" x14ac:dyDescent="0.35">
      <c r="A699" s="235"/>
      <c r="B699" s="450"/>
      <c r="C699" s="542" t="s">
        <v>822</v>
      </c>
      <c r="D699" s="1111"/>
      <c r="E699" s="329" t="s">
        <v>823</v>
      </c>
      <c r="F699" s="1068"/>
      <c r="G699" s="1021"/>
      <c r="H699" s="1021"/>
      <c r="I699" s="1021"/>
      <c r="J699" s="1021"/>
      <c r="K699" s="1021"/>
      <c r="L699" s="1021"/>
      <c r="M699" s="1021"/>
      <c r="N699" s="1261"/>
      <c r="O699" s="326"/>
      <c r="P699" s="324" t="s">
        <v>79</v>
      </c>
    </row>
    <row r="700" spans="1:16" ht="12" hidden="1" customHeight="1" x14ac:dyDescent="0.35">
      <c r="A700" s="235"/>
      <c r="B700" s="450"/>
      <c r="C700" s="543" t="s">
        <v>824</v>
      </c>
      <c r="D700" s="1132"/>
      <c r="E700" s="329" t="s">
        <v>825</v>
      </c>
      <c r="F700" s="1068"/>
      <c r="G700" s="1057">
        <f t="shared" ref="G700:N700" ca="1" si="384">OFFSET($E$429,0,G$8)-OFFSET($E$429,0,G$8-1)</f>
        <v>0</v>
      </c>
      <c r="H700" s="1057">
        <f t="shared" ca="1" si="384"/>
        <v>0</v>
      </c>
      <c r="I700" s="1057">
        <f t="shared" ca="1" si="384"/>
        <v>0</v>
      </c>
      <c r="J700" s="1057">
        <f t="shared" ca="1" si="384"/>
        <v>0</v>
      </c>
      <c r="K700" s="1057">
        <f t="shared" ca="1" si="384"/>
        <v>0</v>
      </c>
      <c r="L700" s="1057">
        <f t="shared" ca="1" si="384"/>
        <v>0</v>
      </c>
      <c r="M700" s="1057">
        <f t="shared" ca="1" si="384"/>
        <v>0</v>
      </c>
      <c r="N700" s="1256">
        <f t="shared" ca="1" si="384"/>
        <v>0</v>
      </c>
      <c r="O700" s="326"/>
      <c r="P700" s="324" t="s">
        <v>676</v>
      </c>
    </row>
    <row r="701" spans="1:16" ht="12" hidden="1" customHeight="1" x14ac:dyDescent="0.35">
      <c r="A701" s="235"/>
      <c r="B701" s="544"/>
      <c r="C701" s="540" t="s">
        <v>826</v>
      </c>
      <c r="D701" s="1118"/>
      <c r="E701" s="390" t="s">
        <v>827</v>
      </c>
      <c r="F701" s="957"/>
      <c r="G701" s="1026"/>
      <c r="H701" s="1026"/>
      <c r="I701" s="1026"/>
      <c r="J701" s="1026"/>
      <c r="K701" s="1026"/>
      <c r="L701" s="1026"/>
      <c r="M701" s="1026"/>
      <c r="N701" s="1262"/>
      <c r="O701" s="326"/>
      <c r="P701" s="324" t="s">
        <v>79</v>
      </c>
    </row>
    <row r="702" spans="1:16" ht="14.15" customHeight="1" x14ac:dyDescent="0.35">
      <c r="A702" s="235"/>
      <c r="B702" s="520" t="s">
        <v>828</v>
      </c>
      <c r="C702" s="521"/>
      <c r="D702" s="1131"/>
      <c r="E702" s="342" t="s">
        <v>829</v>
      </c>
      <c r="F702" s="954">
        <f t="shared" ref="F702:N702" ca="1" si="385">F$675+F$681+F$696</f>
        <v>0</v>
      </c>
      <c r="G702" s="1054">
        <f t="shared" ca="1" si="385"/>
        <v>0</v>
      </c>
      <c r="H702" s="1054">
        <f t="shared" ca="1" si="385"/>
        <v>-23589645.559880517</v>
      </c>
      <c r="I702" s="1054">
        <f t="shared" ca="1" si="385"/>
        <v>16340152.555675525</v>
      </c>
      <c r="J702" s="1054">
        <f t="shared" ca="1" si="385"/>
        <v>5744975.1269501373</v>
      </c>
      <c r="K702" s="1054">
        <f t="shared" ca="1" si="385"/>
        <v>8447503.311763918</v>
      </c>
      <c r="L702" s="1054">
        <f t="shared" ca="1" si="385"/>
        <v>11319334.517848302</v>
      </c>
      <c r="M702" s="1054">
        <f t="shared" ca="1" si="385"/>
        <v>15139277.1300673</v>
      </c>
      <c r="N702" s="1254">
        <f t="shared" ca="1" si="385"/>
        <v>12989698.255395312</v>
      </c>
      <c r="O702" s="326"/>
      <c r="P702" s="324" t="s">
        <v>392</v>
      </c>
    </row>
    <row r="703" spans="1:16" ht="14.15" customHeight="1" x14ac:dyDescent="0.35">
      <c r="A703" s="235"/>
      <c r="B703" s="346" t="s">
        <v>830</v>
      </c>
      <c r="C703" s="515"/>
      <c r="D703" s="1137"/>
      <c r="E703" s="342" t="s">
        <v>831</v>
      </c>
      <c r="F703" s="954">
        <f ca="1">OFFSET($E$774,0,F$8)</f>
        <v>0</v>
      </c>
      <c r="G703" s="1052">
        <f t="shared" ref="G703:N703" ca="1" si="386">G702+SUM(OFFSET(G703,0,-1))</f>
        <v>0</v>
      </c>
      <c r="H703" s="1052">
        <f t="shared" ca="1" si="386"/>
        <v>-23589645.559880517</v>
      </c>
      <c r="I703" s="1052">
        <f t="shared" ca="1" si="386"/>
        <v>-7249493.0042049922</v>
      </c>
      <c r="J703" s="1052">
        <f t="shared" ca="1" si="386"/>
        <v>-1504517.8772548549</v>
      </c>
      <c r="K703" s="1052">
        <f t="shared" ca="1" si="386"/>
        <v>6942985.4345090631</v>
      </c>
      <c r="L703" s="1052">
        <f t="shared" ca="1" si="386"/>
        <v>18262319.952357367</v>
      </c>
      <c r="M703" s="1052">
        <f t="shared" ref="M703" ca="1" si="387">M702+SUM(OFFSET(M703,0,-1))</f>
        <v>33401597.082424667</v>
      </c>
      <c r="N703" s="1264">
        <f t="shared" ca="1" si="386"/>
        <v>46391295.337819979</v>
      </c>
      <c r="O703" s="326"/>
      <c r="P703" s="324" t="s">
        <v>392</v>
      </c>
    </row>
    <row r="704" spans="1:16" ht="5.15" customHeight="1" x14ac:dyDescent="0.35">
      <c r="A704" s="235"/>
      <c r="B704" s="235"/>
      <c r="C704" s="235"/>
      <c r="D704" s="235"/>
      <c r="E704" s="507" t="s">
        <v>39</v>
      </c>
      <c r="F704" s="322"/>
      <c r="G704" s="235"/>
      <c r="H704" s="235"/>
      <c r="I704" s="235"/>
      <c r="J704" s="235"/>
      <c r="K704" s="235"/>
      <c r="L704" s="235"/>
      <c r="M704" s="235"/>
      <c r="N704" s="235"/>
      <c r="O704" s="326"/>
      <c r="P704" s="324" t="s">
        <v>66</v>
      </c>
    </row>
    <row r="705" spans="1:16" ht="11.25" customHeight="1" x14ac:dyDescent="0.35">
      <c r="A705" s="235"/>
      <c r="B705" s="336" t="s">
        <v>832</v>
      </c>
      <c r="C705" s="235"/>
      <c r="D705" s="235"/>
      <c r="E705" s="439" t="s">
        <v>833</v>
      </c>
      <c r="F705" s="439"/>
      <c r="G705" s="545"/>
      <c r="H705" s="235"/>
      <c r="I705" s="235"/>
      <c r="J705" s="235"/>
      <c r="K705" s="235"/>
      <c r="L705" s="235"/>
      <c r="M705" s="235"/>
      <c r="N705" s="235"/>
      <c r="O705" s="326"/>
      <c r="P705" s="324" t="s">
        <v>54</v>
      </c>
    </row>
    <row r="706" spans="1:16" ht="12" customHeight="1" x14ac:dyDescent="0.35">
      <c r="A706" s="235"/>
      <c r="B706" s="235"/>
      <c r="C706" s="235"/>
      <c r="D706" s="235"/>
      <c r="E706" s="439" t="s">
        <v>834</v>
      </c>
      <c r="F706" s="439"/>
      <c r="G706" s="235"/>
      <c r="H706" s="235"/>
      <c r="I706" s="235"/>
      <c r="J706" s="235"/>
      <c r="K706" s="235"/>
      <c r="L706" s="235"/>
      <c r="M706" s="235"/>
      <c r="N706" s="235"/>
      <c r="O706" s="326"/>
      <c r="P706" s="324" t="s">
        <v>54</v>
      </c>
    </row>
    <row r="707" spans="1:16" ht="16" customHeight="1" x14ac:dyDescent="0.35">
      <c r="A707" s="235"/>
      <c r="B707" s="525" t="s">
        <v>835</v>
      </c>
      <c r="C707" s="439"/>
      <c r="D707" s="439"/>
      <c r="E707" s="329" t="s">
        <v>836</v>
      </c>
      <c r="F707" s="322"/>
      <c r="G707" s="524"/>
      <c r="H707" s="524"/>
      <c r="I707" s="524"/>
      <c r="J707" s="524"/>
      <c r="K707" s="524"/>
      <c r="L707" s="524"/>
      <c r="M707" s="524"/>
      <c r="N707" s="524"/>
      <c r="O707" s="326"/>
      <c r="P707" s="324" t="s">
        <v>66</v>
      </c>
    </row>
    <row r="708" spans="1:16" ht="11.25" customHeight="1" x14ac:dyDescent="0.35">
      <c r="A708" s="406"/>
      <c r="B708" s="339" t="str">
        <f>IF(PrintMode=0,"           ","")&amp;IF(Figures&gt;1,Figures&amp;" ","")&amp;Currency</f>
        <v xml:space="preserve">           Euro</v>
      </c>
      <c r="C708" s="440"/>
      <c r="D708" s="1097"/>
      <c r="E708" s="342" t="s">
        <v>837</v>
      </c>
      <c r="F708" s="946" t="str">
        <f>F$1&amp;"/"&amp;F$3</f>
        <v>8/2019</v>
      </c>
      <c r="G708" s="947" t="str">
        <f>G$1&amp;"/"&amp;G$3</f>
        <v>9/2019</v>
      </c>
      <c r="H708" s="948" t="str">
        <f t="shared" ref="H708:M708" si="388">H$440</f>
        <v>12/2019</v>
      </c>
      <c r="I708" s="948" t="str">
        <f t="shared" si="388"/>
        <v>12/2020</v>
      </c>
      <c r="J708" s="948" t="str">
        <f t="shared" si="388"/>
        <v>12/2021</v>
      </c>
      <c r="K708" s="948" t="str">
        <f t="shared" si="388"/>
        <v>12/2022</v>
      </c>
      <c r="L708" s="948" t="str">
        <f t="shared" si="388"/>
        <v>12/2023</v>
      </c>
      <c r="M708" s="948" t="str">
        <f t="shared" si="388"/>
        <v>12/2024</v>
      </c>
      <c r="N708" s="943" t="str">
        <f ca="1">N$16</f>
        <v>Residual</v>
      </c>
      <c r="O708" s="326"/>
      <c r="P708" s="324" t="s">
        <v>66</v>
      </c>
    </row>
    <row r="709" spans="1:16" ht="11.25" customHeight="1" x14ac:dyDescent="0.35">
      <c r="A709" s="235"/>
      <c r="B709" s="526" t="s">
        <v>59</v>
      </c>
      <c r="C709" s="546"/>
      <c r="D709" s="1098"/>
      <c r="E709" s="397" t="s">
        <v>838</v>
      </c>
      <c r="F709" s="1069">
        <f>F$17</f>
        <v>12</v>
      </c>
      <c r="G709" s="1070"/>
      <c r="H709" s="1070">
        <f t="shared" ref="H709:N709" si="389">H$17</f>
        <v>4</v>
      </c>
      <c r="I709" s="1070">
        <f t="shared" si="389"/>
        <v>12</v>
      </c>
      <c r="J709" s="1070">
        <f t="shared" si="389"/>
        <v>12</v>
      </c>
      <c r="K709" s="1070">
        <f t="shared" si="389"/>
        <v>12</v>
      </c>
      <c r="L709" s="1070">
        <f t="shared" si="389"/>
        <v>12</v>
      </c>
      <c r="M709" s="1070">
        <f t="shared" si="389"/>
        <v>12</v>
      </c>
      <c r="N709" s="944" t="str">
        <f t="shared" ca="1" si="389"/>
        <v>(12/2024)</v>
      </c>
      <c r="O709" s="326"/>
      <c r="P709" s="324" t="s">
        <v>121</v>
      </c>
    </row>
    <row r="710" spans="1:16" ht="13" customHeight="1" x14ac:dyDescent="0.35">
      <c r="A710" s="235"/>
      <c r="B710" s="526" t="s">
        <v>839</v>
      </c>
      <c r="C710" s="508"/>
      <c r="D710" s="1121" t="s">
        <v>840</v>
      </c>
      <c r="E710" s="508" t="s">
        <v>841</v>
      </c>
      <c r="F710" s="1049">
        <f t="shared" ref="F710:N710" ca="1" si="390">F$776</f>
        <v>0</v>
      </c>
      <c r="G710" s="1049">
        <f t="shared" ca="1" si="390"/>
        <v>0</v>
      </c>
      <c r="H710" s="1049">
        <f t="shared" ca="1" si="390"/>
        <v>6460430.5692660958</v>
      </c>
      <c r="I710" s="1049">
        <f t="shared" ca="1" si="390"/>
        <v>6582792.9154141145</v>
      </c>
      <c r="J710" s="1049">
        <f t="shared" ca="1" si="390"/>
        <v>13345216.749278551</v>
      </c>
      <c r="K710" s="1049">
        <f t="shared" ca="1" si="390"/>
        <v>23019920.508262485</v>
      </c>
      <c r="L710" s="1049">
        <f t="shared" ca="1" si="390"/>
        <v>36192779.284892812</v>
      </c>
      <c r="M710" s="1049">
        <f t="shared" ca="1" si="390"/>
        <v>53646829.540171206</v>
      </c>
      <c r="N710" s="1047">
        <f t="shared" ca="1" si="390"/>
        <v>46391295.337819979</v>
      </c>
      <c r="O710" s="326"/>
      <c r="P710" s="324" t="s">
        <v>71</v>
      </c>
    </row>
    <row r="711" spans="1:16" ht="13" customHeight="1" x14ac:dyDescent="0.35">
      <c r="A711" s="235"/>
      <c r="B711" s="450" t="s">
        <v>842</v>
      </c>
      <c r="C711" s="439"/>
      <c r="D711" s="1111"/>
      <c r="E711" s="439" t="s">
        <v>843</v>
      </c>
      <c r="F711" s="1032">
        <f t="shared" ref="F711:N711" ca="1" si="391">F$767</f>
        <v>0</v>
      </c>
      <c r="G711" s="1032">
        <f t="shared" ca="1" si="391"/>
        <v>0</v>
      </c>
      <c r="H711" s="1032">
        <f t="shared" ca="1" si="391"/>
        <v>7867000</v>
      </c>
      <c r="I711" s="1032">
        <f t="shared" ca="1" si="391"/>
        <v>6959875</v>
      </c>
      <c r="J711" s="1032">
        <f t="shared" ca="1" si="391"/>
        <v>6431031.25</v>
      </c>
      <c r="K711" s="1032">
        <f t="shared" ca="1" si="391"/>
        <v>5764023.4375</v>
      </c>
      <c r="L711" s="1032">
        <f t="shared" ca="1" si="391"/>
        <v>5297142.578125</v>
      </c>
      <c r="M711" s="1032">
        <f t="shared" ca="1" si="391"/>
        <v>4769419.43359375</v>
      </c>
      <c r="N711" s="1011">
        <f t="shared" ca="1" si="391"/>
        <v>0</v>
      </c>
      <c r="O711" s="326"/>
      <c r="P711" s="324" t="s">
        <v>71</v>
      </c>
    </row>
    <row r="712" spans="1:16" ht="13" customHeight="1" x14ac:dyDescent="0.35">
      <c r="A712" s="235"/>
      <c r="B712" s="450"/>
      <c r="C712" s="439" t="s">
        <v>844</v>
      </c>
      <c r="D712" s="1116"/>
      <c r="E712" s="439" t="s">
        <v>845</v>
      </c>
      <c r="F712" s="1022">
        <f t="shared" ref="F712:N712" ca="1" si="392">F713+F717+F721+F725</f>
        <v>0</v>
      </c>
      <c r="G712" s="1022">
        <f t="shared" ca="1" si="392"/>
        <v>0</v>
      </c>
      <c r="H712" s="1022">
        <f t="shared" ca="1" si="392"/>
        <v>0</v>
      </c>
      <c r="I712" s="1022">
        <f t="shared" ca="1" si="392"/>
        <v>0</v>
      </c>
      <c r="J712" s="1022">
        <f t="shared" ca="1" si="392"/>
        <v>0</v>
      </c>
      <c r="K712" s="1022">
        <f t="shared" ca="1" si="392"/>
        <v>0</v>
      </c>
      <c r="L712" s="1022">
        <f t="shared" ca="1" si="392"/>
        <v>0</v>
      </c>
      <c r="M712" s="1022">
        <f t="shared" ref="M712" ca="1" si="393">M713+M717+M721+M725</f>
        <v>0</v>
      </c>
      <c r="N712" s="516">
        <f t="shared" ca="1" si="392"/>
        <v>0</v>
      </c>
      <c r="O712" s="326"/>
      <c r="P712" s="324" t="s">
        <v>121</v>
      </c>
    </row>
    <row r="713" spans="1:16" ht="13" hidden="1" customHeight="1" x14ac:dyDescent="0.35">
      <c r="A713" s="235"/>
      <c r="B713" s="450"/>
      <c r="C713" s="547" t="s">
        <v>846</v>
      </c>
      <c r="D713" s="1122"/>
      <c r="E713" s="439" t="s">
        <v>847</v>
      </c>
      <c r="F713" s="1071">
        <f ca="1">F714+OFFSET($E715,0,F$8)</f>
        <v>0</v>
      </c>
      <c r="G713" s="1071">
        <f t="shared" ref="G713:N713" ca="1" si="394">G714+G715</f>
        <v>0</v>
      </c>
      <c r="H713" s="1071">
        <f t="shared" ca="1" si="394"/>
        <v>0</v>
      </c>
      <c r="I713" s="1071">
        <f t="shared" ca="1" si="394"/>
        <v>0</v>
      </c>
      <c r="J713" s="1071">
        <f t="shared" ca="1" si="394"/>
        <v>0</v>
      </c>
      <c r="K713" s="1071">
        <f t="shared" ca="1" si="394"/>
        <v>0</v>
      </c>
      <c r="L713" s="1071">
        <f t="shared" ca="1" si="394"/>
        <v>0</v>
      </c>
      <c r="M713" s="1071">
        <f t="shared" ref="M713" ca="1" si="395">M714+M715</f>
        <v>0</v>
      </c>
      <c r="N713" s="548">
        <f t="shared" ca="1" si="394"/>
        <v>0</v>
      </c>
      <c r="O713" s="326"/>
      <c r="P713" s="324" t="s">
        <v>79</v>
      </c>
    </row>
    <row r="714" spans="1:16" ht="13" hidden="1" customHeight="1" x14ac:dyDescent="0.35">
      <c r="A714" s="235"/>
      <c r="B714" s="549"/>
      <c r="C714" s="550" t="s">
        <v>848</v>
      </c>
      <c r="D714" s="1123"/>
      <c r="E714" s="589" t="s">
        <v>849</v>
      </c>
      <c r="F714" s="1072">
        <f t="shared" ref="F714:N714" ca="1" si="396">+F$21</f>
        <v>0</v>
      </c>
      <c r="G714" s="1072">
        <f t="shared" ca="1" si="396"/>
        <v>0</v>
      </c>
      <c r="H714" s="1072">
        <f t="shared" ca="1" si="396"/>
        <v>0</v>
      </c>
      <c r="I714" s="1072">
        <f t="shared" ca="1" si="396"/>
        <v>0</v>
      </c>
      <c r="J714" s="1072">
        <f t="shared" ca="1" si="396"/>
        <v>0</v>
      </c>
      <c r="K714" s="1072">
        <f t="shared" ca="1" si="396"/>
        <v>0</v>
      </c>
      <c r="L714" s="1072">
        <f t="shared" ca="1" si="396"/>
        <v>0</v>
      </c>
      <c r="M714" s="1072">
        <f t="shared" ca="1" si="396"/>
        <v>0</v>
      </c>
      <c r="N714" s="580">
        <f t="shared" ca="1" si="396"/>
        <v>0</v>
      </c>
      <c r="O714" s="326"/>
      <c r="P714" s="324" t="s">
        <v>651</v>
      </c>
    </row>
    <row r="715" spans="1:16" ht="13" hidden="1" customHeight="1" x14ac:dyDescent="0.35">
      <c r="A715" s="235"/>
      <c r="B715" s="450"/>
      <c r="C715" s="552" t="s">
        <v>846</v>
      </c>
      <c r="D715" s="1112">
        <f ca="1">OFFSET(D715,0,MAX(2,$D$7-5))</f>
        <v>0</v>
      </c>
      <c r="E715" s="354" t="s">
        <v>850</v>
      </c>
      <c r="F715" s="1073"/>
      <c r="G715" s="1074">
        <f t="shared" ref="G715:N715" ca="1" si="397">OFFSET(G715,0,-1)+OFFSET(G715,1,0)+G$1141+G$1244</f>
        <v>0</v>
      </c>
      <c r="H715" s="1074">
        <f t="shared" ca="1" si="397"/>
        <v>0</v>
      </c>
      <c r="I715" s="1074">
        <f t="shared" ca="1" si="397"/>
        <v>0</v>
      </c>
      <c r="J715" s="1074">
        <f t="shared" ca="1" si="397"/>
        <v>0</v>
      </c>
      <c r="K715" s="1074">
        <f t="shared" ca="1" si="397"/>
        <v>0</v>
      </c>
      <c r="L715" s="1074">
        <f t="shared" ca="1" si="397"/>
        <v>0</v>
      </c>
      <c r="M715" s="1074">
        <f t="shared" ca="1" si="397"/>
        <v>0</v>
      </c>
      <c r="N715" s="553">
        <f t="shared" ca="1" si="397"/>
        <v>0</v>
      </c>
      <c r="O715" s="326"/>
      <c r="P715" s="324" t="s">
        <v>651</v>
      </c>
    </row>
    <row r="716" spans="1:16" ht="16" hidden="1" customHeight="1" x14ac:dyDescent="0.35">
      <c r="A716" s="235"/>
      <c r="B716" s="450"/>
      <c r="C716" s="555" t="s">
        <v>851</v>
      </c>
      <c r="D716" s="1124">
        <v>0</v>
      </c>
      <c r="E716" s="595" t="s">
        <v>852</v>
      </c>
      <c r="F716" s="1075">
        <f>F$1245</f>
        <v>0</v>
      </c>
      <c r="G716" s="1075">
        <f>IF(AND(G$5=0,NoZeroCol=1),0,G$1150)+G$1245</f>
        <v>0</v>
      </c>
      <c r="H716" s="1075">
        <f t="shared" ref="H716:M716" ca="1" si="398">IF(H$1=FinMonth,MIN(0,MAX(-IF(BalDepr01=1,$D715,OFFSET(H715,0,-1))*$D716/100,-OFFSET(H715,0,-1))),0)+H$1150+H$1245</f>
        <v>0</v>
      </c>
      <c r="I716" s="1075">
        <f t="shared" ca="1" si="398"/>
        <v>0</v>
      </c>
      <c r="J716" s="1075">
        <f t="shared" ca="1" si="398"/>
        <v>0</v>
      </c>
      <c r="K716" s="1075">
        <f t="shared" ca="1" si="398"/>
        <v>0</v>
      </c>
      <c r="L716" s="1075">
        <f t="shared" ca="1" si="398"/>
        <v>0</v>
      </c>
      <c r="M716" s="1075">
        <f t="shared" ca="1" si="398"/>
        <v>0</v>
      </c>
      <c r="N716" s="1048">
        <f>N$1245</f>
        <v>0</v>
      </c>
      <c r="O716" s="326"/>
      <c r="P716" s="324" t="s">
        <v>651</v>
      </c>
    </row>
    <row r="717" spans="1:16" ht="13" hidden="1" customHeight="1" x14ac:dyDescent="0.35">
      <c r="A717" s="235"/>
      <c r="B717" s="450"/>
      <c r="C717" s="547" t="s">
        <v>853</v>
      </c>
      <c r="D717" s="1122"/>
      <c r="E717" s="439" t="s">
        <v>854</v>
      </c>
      <c r="F717" s="1071">
        <f ca="1">F718+OFFSET($E719,0,F$8)</f>
        <v>0</v>
      </c>
      <c r="G717" s="1071">
        <f t="shared" ref="G717:N717" ca="1" si="399">G718+G719</f>
        <v>0</v>
      </c>
      <c r="H717" s="1071">
        <f t="shared" ca="1" si="399"/>
        <v>0</v>
      </c>
      <c r="I717" s="1071">
        <f t="shared" ca="1" si="399"/>
        <v>0</v>
      </c>
      <c r="J717" s="1071">
        <f t="shared" ca="1" si="399"/>
        <v>0</v>
      </c>
      <c r="K717" s="1071">
        <f t="shared" ca="1" si="399"/>
        <v>0</v>
      </c>
      <c r="L717" s="1071">
        <f t="shared" ca="1" si="399"/>
        <v>0</v>
      </c>
      <c r="M717" s="1071">
        <f t="shared" ref="M717" ca="1" si="400">M718+M719</f>
        <v>0</v>
      </c>
      <c r="N717" s="548">
        <f t="shared" ca="1" si="399"/>
        <v>0</v>
      </c>
      <c r="O717" s="326"/>
      <c r="P717" s="324" t="s">
        <v>79</v>
      </c>
    </row>
    <row r="718" spans="1:16" ht="13" hidden="1" customHeight="1" x14ac:dyDescent="0.35">
      <c r="A718" s="235"/>
      <c r="B718" s="450"/>
      <c r="C718" s="550" t="s">
        <v>855</v>
      </c>
      <c r="D718" s="1123"/>
      <c r="E718" s="589" t="s">
        <v>856</v>
      </c>
      <c r="F718" s="1072">
        <f t="shared" ref="F718:N718" ca="1" si="401">+F$31</f>
        <v>0</v>
      </c>
      <c r="G718" s="1072">
        <f t="shared" ca="1" si="401"/>
        <v>0</v>
      </c>
      <c r="H718" s="1072">
        <f t="shared" ca="1" si="401"/>
        <v>0</v>
      </c>
      <c r="I718" s="1072">
        <f t="shared" ca="1" si="401"/>
        <v>0</v>
      </c>
      <c r="J718" s="1072">
        <f t="shared" ca="1" si="401"/>
        <v>0</v>
      </c>
      <c r="K718" s="1072">
        <f t="shared" ca="1" si="401"/>
        <v>0</v>
      </c>
      <c r="L718" s="1072">
        <f t="shared" ca="1" si="401"/>
        <v>0</v>
      </c>
      <c r="M718" s="1072">
        <f t="shared" ca="1" si="401"/>
        <v>0</v>
      </c>
      <c r="N718" s="580">
        <f t="shared" ca="1" si="401"/>
        <v>0</v>
      </c>
      <c r="O718" s="326"/>
      <c r="P718" s="324" t="s">
        <v>651</v>
      </c>
    </row>
    <row r="719" spans="1:16" ht="13" hidden="1" customHeight="1" x14ac:dyDescent="0.35">
      <c r="A719" s="235"/>
      <c r="B719" s="450"/>
      <c r="C719" s="552" t="s">
        <v>853</v>
      </c>
      <c r="D719" s="1112">
        <f ca="1">OFFSET(D719,0,MAX(2,$D$7-5))</f>
        <v>0</v>
      </c>
      <c r="E719" s="354" t="s">
        <v>857</v>
      </c>
      <c r="F719" s="1073"/>
      <c r="G719" s="1074">
        <f t="shared" ref="G719:N719" ca="1" si="402">OFFSET(G719,0,-1)+OFFSET(G719,1,0)+G$1142+G$1246</f>
        <v>0</v>
      </c>
      <c r="H719" s="1074">
        <f t="shared" ca="1" si="402"/>
        <v>0</v>
      </c>
      <c r="I719" s="1074">
        <f t="shared" ca="1" si="402"/>
        <v>0</v>
      </c>
      <c r="J719" s="1074">
        <f t="shared" ca="1" si="402"/>
        <v>0</v>
      </c>
      <c r="K719" s="1074">
        <f t="shared" ca="1" si="402"/>
        <v>0</v>
      </c>
      <c r="L719" s="1074">
        <f t="shared" ca="1" si="402"/>
        <v>0</v>
      </c>
      <c r="M719" s="1074">
        <f t="shared" ca="1" si="402"/>
        <v>0</v>
      </c>
      <c r="N719" s="553">
        <f t="shared" ca="1" si="402"/>
        <v>0</v>
      </c>
      <c r="O719" s="326"/>
      <c r="P719" s="324" t="s">
        <v>651</v>
      </c>
    </row>
    <row r="720" spans="1:16" ht="16" hidden="1" customHeight="1" x14ac:dyDescent="0.35">
      <c r="A720" s="235"/>
      <c r="B720" s="450"/>
      <c r="C720" s="555" t="s">
        <v>851</v>
      </c>
      <c r="D720" s="1124">
        <v>0</v>
      </c>
      <c r="E720" s="595" t="s">
        <v>858</v>
      </c>
      <c r="F720" s="1075">
        <f>F$1247</f>
        <v>0</v>
      </c>
      <c r="G720" s="1075">
        <f>IF(AND(G$5=0,NoZeroCol=1),0,G$1152)+G$1247</f>
        <v>0</v>
      </c>
      <c r="H720" s="1075">
        <f t="shared" ref="H720:M720" ca="1" si="403">IF(H$1=FinMonth,MIN(0,MAX(-IF(BalDepr02=1,$D719,OFFSET(H719,0,-1))*$D720/100,-OFFSET(H719,0,-1))),0)+H$1152+H$1247</f>
        <v>0</v>
      </c>
      <c r="I720" s="1075">
        <f t="shared" ca="1" si="403"/>
        <v>0</v>
      </c>
      <c r="J720" s="1075">
        <f t="shared" ca="1" si="403"/>
        <v>0</v>
      </c>
      <c r="K720" s="1075">
        <f t="shared" ca="1" si="403"/>
        <v>0</v>
      </c>
      <c r="L720" s="1075">
        <f t="shared" ca="1" si="403"/>
        <v>0</v>
      </c>
      <c r="M720" s="1075">
        <f t="shared" ca="1" si="403"/>
        <v>0</v>
      </c>
      <c r="N720" s="1048">
        <f>N$1247</f>
        <v>0</v>
      </c>
      <c r="O720" s="326"/>
      <c r="P720" s="324" t="s">
        <v>651</v>
      </c>
    </row>
    <row r="721" spans="1:16" ht="13" hidden="1" customHeight="1" x14ac:dyDescent="0.35">
      <c r="A721" s="235"/>
      <c r="B721" s="450"/>
      <c r="C721" s="547" t="s">
        <v>529</v>
      </c>
      <c r="D721" s="1122"/>
      <c r="E721" s="439" t="s">
        <v>859</v>
      </c>
      <c r="F721" s="1071">
        <f ca="1">F722+OFFSET($E723,0,F$8)</f>
        <v>0</v>
      </c>
      <c r="G721" s="1071">
        <f t="shared" ref="G721:N721" ca="1" si="404">G722+G723</f>
        <v>0</v>
      </c>
      <c r="H721" s="1071">
        <f t="shared" ca="1" si="404"/>
        <v>0</v>
      </c>
      <c r="I721" s="1071">
        <f t="shared" ca="1" si="404"/>
        <v>0</v>
      </c>
      <c r="J721" s="1071">
        <f t="shared" ca="1" si="404"/>
        <v>0</v>
      </c>
      <c r="K721" s="1071">
        <f t="shared" ca="1" si="404"/>
        <v>0</v>
      </c>
      <c r="L721" s="1071">
        <f t="shared" ca="1" si="404"/>
        <v>0</v>
      </c>
      <c r="M721" s="1071">
        <f t="shared" ref="M721" ca="1" si="405">M722+M723</f>
        <v>0</v>
      </c>
      <c r="N721" s="548">
        <f t="shared" ca="1" si="404"/>
        <v>0</v>
      </c>
      <c r="O721" s="326"/>
      <c r="P721" s="324" t="s">
        <v>79</v>
      </c>
    </row>
    <row r="722" spans="1:16" ht="13" hidden="1" customHeight="1" x14ac:dyDescent="0.35">
      <c r="A722" s="235"/>
      <c r="B722" s="450"/>
      <c r="C722" s="550" t="s">
        <v>860</v>
      </c>
      <c r="D722" s="1123"/>
      <c r="E722" s="589" t="s">
        <v>861</v>
      </c>
      <c r="F722" s="1072">
        <f t="shared" ref="F722:N722" ca="1" si="406">+F$41</f>
        <v>0</v>
      </c>
      <c r="G722" s="1072">
        <f t="shared" ca="1" si="406"/>
        <v>0</v>
      </c>
      <c r="H722" s="1072">
        <f t="shared" ca="1" si="406"/>
        <v>0</v>
      </c>
      <c r="I722" s="1072">
        <f t="shared" ca="1" si="406"/>
        <v>0</v>
      </c>
      <c r="J722" s="1072">
        <f t="shared" ca="1" si="406"/>
        <v>0</v>
      </c>
      <c r="K722" s="1072">
        <f t="shared" ca="1" si="406"/>
        <v>0</v>
      </c>
      <c r="L722" s="1072">
        <f t="shared" ca="1" si="406"/>
        <v>0</v>
      </c>
      <c r="M722" s="1072">
        <f t="shared" ca="1" si="406"/>
        <v>0</v>
      </c>
      <c r="N722" s="580">
        <f t="shared" ca="1" si="406"/>
        <v>0</v>
      </c>
      <c r="O722" s="326"/>
      <c r="P722" s="324" t="s">
        <v>651</v>
      </c>
    </row>
    <row r="723" spans="1:16" ht="13" hidden="1" customHeight="1" x14ac:dyDescent="0.35">
      <c r="A723" s="235"/>
      <c r="B723" s="557"/>
      <c r="C723" s="552" t="s">
        <v>529</v>
      </c>
      <c r="D723" s="1112">
        <f ca="1">OFFSET(D723,0,MAX(2,$D$7-5))</f>
        <v>0</v>
      </c>
      <c r="E723" s="354" t="s">
        <v>862</v>
      </c>
      <c r="F723" s="1073"/>
      <c r="G723" s="1074">
        <f t="shared" ref="G723:M723" ca="1" si="407">OFFSET(G723,0,-1)+OFFSET(G723,1,0)+G$1094+G$1248</f>
        <v>0</v>
      </c>
      <c r="H723" s="1074">
        <f t="shared" ca="1" si="407"/>
        <v>0</v>
      </c>
      <c r="I723" s="1074">
        <f t="shared" ca="1" si="407"/>
        <v>0</v>
      </c>
      <c r="J723" s="1074">
        <f t="shared" ca="1" si="407"/>
        <v>0</v>
      </c>
      <c r="K723" s="1074">
        <f t="shared" ca="1" si="407"/>
        <v>0</v>
      </c>
      <c r="L723" s="1074">
        <f t="shared" ca="1" si="407"/>
        <v>0</v>
      </c>
      <c r="M723" s="1074">
        <f t="shared" ca="1" si="407"/>
        <v>0</v>
      </c>
      <c r="N723" s="553">
        <f ca="1">OFFSET(N723,0,-1)+OFFSET(N723,1,0)+N$1248</f>
        <v>0</v>
      </c>
      <c r="O723" s="326"/>
      <c r="P723" s="324" t="s">
        <v>651</v>
      </c>
    </row>
    <row r="724" spans="1:16" ht="16" hidden="1" customHeight="1" x14ac:dyDescent="0.35">
      <c r="A724" s="235"/>
      <c r="B724" s="557"/>
      <c r="C724" s="558" t="s">
        <v>851</v>
      </c>
      <c r="D724" s="1124">
        <v>0</v>
      </c>
      <c r="E724" s="595" t="s">
        <v>863</v>
      </c>
      <c r="F724" s="1075">
        <f>F$1249</f>
        <v>0</v>
      </c>
      <c r="G724" s="1075">
        <f>IF(AND(G$5=0,NoZeroCol=1),0,G$1095)+G$1249</f>
        <v>0</v>
      </c>
      <c r="H724" s="1075">
        <f t="shared" ref="H724:M724" ca="1" si="408">IF(H$1=FinMonth,MIN(0,MAX(-IF(BalDepr03=1,$D723,OFFSET(H723,0,-1))*$D724/100,-OFFSET(H723,0,-1))),0)+H$1095+H$1249</f>
        <v>0</v>
      </c>
      <c r="I724" s="1075">
        <f t="shared" ca="1" si="408"/>
        <v>0</v>
      </c>
      <c r="J724" s="1075">
        <f t="shared" ca="1" si="408"/>
        <v>0</v>
      </c>
      <c r="K724" s="1075">
        <f t="shared" ca="1" si="408"/>
        <v>0</v>
      </c>
      <c r="L724" s="1075">
        <f t="shared" ca="1" si="408"/>
        <v>0</v>
      </c>
      <c r="M724" s="1075">
        <f t="shared" ca="1" si="408"/>
        <v>0</v>
      </c>
      <c r="N724" s="579">
        <f>N$1249</f>
        <v>0</v>
      </c>
      <c r="O724" s="326"/>
      <c r="P724" s="324" t="s">
        <v>651</v>
      </c>
    </row>
    <row r="725" spans="1:16" ht="13" hidden="1" customHeight="1" x14ac:dyDescent="0.35">
      <c r="A725" s="235"/>
      <c r="B725" s="450"/>
      <c r="C725" s="547" t="s">
        <v>864</v>
      </c>
      <c r="D725" s="1122"/>
      <c r="E725" s="439" t="s">
        <v>865</v>
      </c>
      <c r="F725" s="1071">
        <f ca="1">F726+OFFSET($E727,0,F$8)</f>
        <v>0</v>
      </c>
      <c r="G725" s="1071">
        <f t="shared" ref="G725:N725" ca="1" si="409">G726+G727</f>
        <v>0</v>
      </c>
      <c r="H725" s="1071">
        <f t="shared" ca="1" si="409"/>
        <v>0</v>
      </c>
      <c r="I725" s="1071">
        <f t="shared" ca="1" si="409"/>
        <v>0</v>
      </c>
      <c r="J725" s="1071">
        <f t="shared" ca="1" si="409"/>
        <v>0</v>
      </c>
      <c r="K725" s="1071">
        <f t="shared" ca="1" si="409"/>
        <v>0</v>
      </c>
      <c r="L725" s="1071">
        <f t="shared" ca="1" si="409"/>
        <v>0</v>
      </c>
      <c r="M725" s="1071">
        <f t="shared" ref="M725" ca="1" si="410">M726+M727</f>
        <v>0</v>
      </c>
      <c r="N725" s="548">
        <f t="shared" ca="1" si="409"/>
        <v>0</v>
      </c>
      <c r="O725" s="326"/>
      <c r="P725" s="324" t="s">
        <v>79</v>
      </c>
    </row>
    <row r="726" spans="1:16" ht="13" hidden="1" customHeight="1" x14ac:dyDescent="0.35">
      <c r="A726" s="235"/>
      <c r="B726" s="557"/>
      <c r="C726" s="550" t="s">
        <v>866</v>
      </c>
      <c r="D726" s="1123"/>
      <c r="E726" s="589" t="s">
        <v>867</v>
      </c>
      <c r="F726" s="1072">
        <f t="shared" ref="F726:N726" ca="1" si="411">+F$51</f>
        <v>0</v>
      </c>
      <c r="G726" s="1072">
        <f t="shared" ca="1" si="411"/>
        <v>0</v>
      </c>
      <c r="H726" s="1072">
        <f t="shared" ca="1" si="411"/>
        <v>0</v>
      </c>
      <c r="I726" s="1072">
        <f t="shared" ca="1" si="411"/>
        <v>0</v>
      </c>
      <c r="J726" s="1072">
        <f t="shared" ca="1" si="411"/>
        <v>0</v>
      </c>
      <c r="K726" s="1072">
        <f t="shared" ca="1" si="411"/>
        <v>0</v>
      </c>
      <c r="L726" s="1072">
        <f t="shared" ca="1" si="411"/>
        <v>0</v>
      </c>
      <c r="M726" s="1072">
        <f t="shared" ca="1" si="411"/>
        <v>0</v>
      </c>
      <c r="N726" s="580">
        <f t="shared" ca="1" si="411"/>
        <v>0</v>
      </c>
      <c r="O726" s="326"/>
      <c r="P726" s="324" t="s">
        <v>651</v>
      </c>
    </row>
    <row r="727" spans="1:16" ht="13" hidden="1" customHeight="1" x14ac:dyDescent="0.35">
      <c r="A727" s="235"/>
      <c r="B727" s="557"/>
      <c r="C727" s="552" t="s">
        <v>864</v>
      </c>
      <c r="D727" s="1112">
        <f ca="1">OFFSET(D727,0,MAX(2,$D$7-5))</f>
        <v>0</v>
      </c>
      <c r="E727" s="354" t="s">
        <v>868</v>
      </c>
      <c r="F727" s="1073"/>
      <c r="G727" s="1074">
        <f t="shared" ref="G727:N727" ca="1" si="412">OFFSET(G727,0,-1)+OFFSET(G727,1,0)+G$1092+G$1250</f>
        <v>0</v>
      </c>
      <c r="H727" s="1074">
        <f t="shared" ca="1" si="412"/>
        <v>0</v>
      </c>
      <c r="I727" s="1074">
        <f t="shared" ca="1" si="412"/>
        <v>0</v>
      </c>
      <c r="J727" s="1074">
        <f t="shared" ca="1" si="412"/>
        <v>0</v>
      </c>
      <c r="K727" s="1074">
        <f t="shared" ca="1" si="412"/>
        <v>0</v>
      </c>
      <c r="L727" s="1074">
        <f t="shared" ca="1" si="412"/>
        <v>0</v>
      </c>
      <c r="M727" s="1074">
        <f t="shared" ca="1" si="412"/>
        <v>0</v>
      </c>
      <c r="N727" s="553">
        <f t="shared" ca="1" si="412"/>
        <v>0</v>
      </c>
      <c r="O727" s="326"/>
      <c r="P727" s="324" t="s">
        <v>651</v>
      </c>
    </row>
    <row r="728" spans="1:16" ht="16" hidden="1" customHeight="1" x14ac:dyDescent="0.35">
      <c r="A728" s="235"/>
      <c r="B728" s="557"/>
      <c r="C728" s="555" t="s">
        <v>851</v>
      </c>
      <c r="D728" s="1124">
        <v>0</v>
      </c>
      <c r="E728" s="595" t="s">
        <v>869</v>
      </c>
      <c r="F728" s="1075">
        <f>F$1251</f>
        <v>0</v>
      </c>
      <c r="G728" s="1075">
        <f>IF(AND(G$5=0,NoZeroCol=1),0,G$1093)+G$1251</f>
        <v>0</v>
      </c>
      <c r="H728" s="1075">
        <f t="shared" ref="H728:M728" ca="1" si="413">IF(H$1=FinMonth,MIN(0,MAX(-IF(BalDepr04=1,$D727,OFFSET(H727,0,-1))*$D728/100,-OFFSET(H727,0,-1))),0)+H$1093+H$1251</f>
        <v>0</v>
      </c>
      <c r="I728" s="1075">
        <f t="shared" ca="1" si="413"/>
        <v>0</v>
      </c>
      <c r="J728" s="1075">
        <f t="shared" ca="1" si="413"/>
        <v>0</v>
      </c>
      <c r="K728" s="1075">
        <f t="shared" ca="1" si="413"/>
        <v>0</v>
      </c>
      <c r="L728" s="1075">
        <f t="shared" ca="1" si="413"/>
        <v>0</v>
      </c>
      <c r="M728" s="1075">
        <f t="shared" ca="1" si="413"/>
        <v>0</v>
      </c>
      <c r="N728" s="579">
        <f>N$1251</f>
        <v>0</v>
      </c>
      <c r="O728" s="326"/>
      <c r="P728" s="324" t="s">
        <v>651</v>
      </c>
    </row>
    <row r="729" spans="1:16" ht="13" customHeight="1" x14ac:dyDescent="0.35">
      <c r="A729" s="235"/>
      <c r="B729" s="450"/>
      <c r="C729" s="439" t="s">
        <v>870</v>
      </c>
      <c r="D729" s="1116"/>
      <c r="E729" s="439" t="s">
        <v>871</v>
      </c>
      <c r="F729" s="1022">
        <f t="shared" ref="F729:N729" ca="1" si="414">F730+F734+F738+F742+F746</f>
        <v>0</v>
      </c>
      <c r="G729" s="1022">
        <f t="shared" ca="1" si="414"/>
        <v>0</v>
      </c>
      <c r="H729" s="1022">
        <f t="shared" ca="1" si="414"/>
        <v>7867000</v>
      </c>
      <c r="I729" s="1022">
        <f t="shared" ca="1" si="414"/>
        <v>6959875</v>
      </c>
      <c r="J729" s="1022">
        <f t="shared" ca="1" si="414"/>
        <v>6431031.25</v>
      </c>
      <c r="K729" s="1022">
        <f t="shared" ca="1" si="414"/>
        <v>5764023.4375</v>
      </c>
      <c r="L729" s="1022">
        <f t="shared" ca="1" si="414"/>
        <v>5297142.578125</v>
      </c>
      <c r="M729" s="1022">
        <f t="shared" ref="M729" ca="1" si="415">M730+M734+M738+M742+M746</f>
        <v>4769419.43359375</v>
      </c>
      <c r="N729" s="516">
        <f t="shared" ca="1" si="414"/>
        <v>0</v>
      </c>
      <c r="O729" s="326"/>
      <c r="P729" s="324" t="s">
        <v>121</v>
      </c>
    </row>
    <row r="730" spans="1:16" ht="13" hidden="1" customHeight="1" x14ac:dyDescent="0.35">
      <c r="A730" s="235"/>
      <c r="B730" s="450"/>
      <c r="C730" s="547" t="s">
        <v>872</v>
      </c>
      <c r="D730" s="1122"/>
      <c r="E730" s="439" t="s">
        <v>873</v>
      </c>
      <c r="F730" s="1071">
        <f ca="1">F731+OFFSET($E732,0,F$8)</f>
        <v>0</v>
      </c>
      <c r="G730" s="1071">
        <f t="shared" ref="G730:N730" ca="1" si="416">G731+G732</f>
        <v>0</v>
      </c>
      <c r="H730" s="1071">
        <f t="shared" ca="1" si="416"/>
        <v>2812500</v>
      </c>
      <c r="I730" s="1071">
        <f t="shared" ca="1" si="416"/>
        <v>2109375</v>
      </c>
      <c r="J730" s="1071">
        <f t="shared" ca="1" si="416"/>
        <v>1784531.25</v>
      </c>
      <c r="K730" s="1071">
        <f t="shared" ca="1" si="416"/>
        <v>1321523.4375</v>
      </c>
      <c r="L730" s="1071">
        <f t="shared" ca="1" si="416"/>
        <v>1058642.578125</v>
      </c>
      <c r="M730" s="1071">
        <f t="shared" ref="M730" ca="1" si="417">M731+M732</f>
        <v>734919.43359375</v>
      </c>
      <c r="N730" s="548">
        <f t="shared" ca="1" si="416"/>
        <v>0</v>
      </c>
      <c r="O730" s="326"/>
      <c r="P730" s="324" t="s">
        <v>79</v>
      </c>
    </row>
    <row r="731" spans="1:16" ht="13" hidden="1" customHeight="1" x14ac:dyDescent="0.35">
      <c r="A731" s="235"/>
      <c r="B731" s="557"/>
      <c r="C731" s="550" t="s">
        <v>874</v>
      </c>
      <c r="D731" s="1123"/>
      <c r="E731" s="589" t="s">
        <v>875</v>
      </c>
      <c r="F731" s="1072">
        <f t="shared" ref="F731:N731" ca="1" si="418">+F$61</f>
        <v>0</v>
      </c>
      <c r="G731" s="1072">
        <f t="shared" ca="1" si="418"/>
        <v>0</v>
      </c>
      <c r="H731" s="1072">
        <f t="shared" ca="1" si="418"/>
        <v>2812500</v>
      </c>
      <c r="I731" s="1072">
        <f t="shared" ca="1" si="418"/>
        <v>2109375</v>
      </c>
      <c r="J731" s="1072">
        <f t="shared" ca="1" si="418"/>
        <v>1784531.25</v>
      </c>
      <c r="K731" s="1072">
        <f t="shared" ca="1" si="418"/>
        <v>1321523.4375</v>
      </c>
      <c r="L731" s="1072">
        <f t="shared" ca="1" si="418"/>
        <v>1058642.578125</v>
      </c>
      <c r="M731" s="1072">
        <f t="shared" ca="1" si="418"/>
        <v>734919.43359375</v>
      </c>
      <c r="N731" s="580">
        <f t="shared" ca="1" si="418"/>
        <v>0</v>
      </c>
      <c r="O731" s="326"/>
      <c r="P731" s="324" t="s">
        <v>651</v>
      </c>
    </row>
    <row r="732" spans="1:16" ht="13" hidden="1" customHeight="1" x14ac:dyDescent="0.35">
      <c r="A732" s="235"/>
      <c r="B732" s="557"/>
      <c r="C732" s="552" t="s">
        <v>872</v>
      </c>
      <c r="D732" s="1112">
        <f ca="1">OFFSET(D732,0,MAX(2,$D$7-5))</f>
        <v>0</v>
      </c>
      <c r="E732" s="354" t="s">
        <v>876</v>
      </c>
      <c r="F732" s="1073"/>
      <c r="G732" s="1074">
        <f t="shared" ref="G732:N732" ca="1" si="419">OFFSET(G732,0,-1)+OFFSET(G732,1,0)+G$1143+G$1252</f>
        <v>0</v>
      </c>
      <c r="H732" s="1074">
        <f t="shared" ca="1" si="419"/>
        <v>0</v>
      </c>
      <c r="I732" s="1074">
        <f t="shared" ca="1" si="419"/>
        <v>0</v>
      </c>
      <c r="J732" s="1074">
        <f t="shared" ca="1" si="419"/>
        <v>0</v>
      </c>
      <c r="K732" s="1074">
        <f t="shared" ca="1" si="419"/>
        <v>0</v>
      </c>
      <c r="L732" s="1074">
        <f t="shared" ca="1" si="419"/>
        <v>0</v>
      </c>
      <c r="M732" s="1074">
        <f t="shared" ca="1" si="419"/>
        <v>0</v>
      </c>
      <c r="N732" s="553">
        <f t="shared" ca="1" si="419"/>
        <v>0</v>
      </c>
      <c r="O732" s="326"/>
      <c r="P732" s="324" t="s">
        <v>651</v>
      </c>
    </row>
    <row r="733" spans="1:16" ht="16.5" hidden="1" customHeight="1" x14ac:dyDescent="0.35">
      <c r="A733" s="235"/>
      <c r="B733" s="557"/>
      <c r="C733" s="555" t="s">
        <v>851</v>
      </c>
      <c r="D733" s="1124">
        <v>0</v>
      </c>
      <c r="E733" s="595" t="s">
        <v>877</v>
      </c>
      <c r="F733" s="1075">
        <f>F$1253</f>
        <v>0</v>
      </c>
      <c r="G733" s="1075">
        <f>IF(AND(G$5=0,NoZeroCol=1),0,G$1155)+G$1253</f>
        <v>0</v>
      </c>
      <c r="H733" s="1075">
        <f t="shared" ref="H733:M733" ca="1" si="420">IF(H$1=FinMonth,MIN(0,MAX(-IF(BalDepr05=1,$D732,OFFSET(H732,0,-1))*$D733/100,-OFFSET(H732,0,-1))),0)+H$1155+H$1253</f>
        <v>0</v>
      </c>
      <c r="I733" s="1075">
        <f t="shared" ca="1" si="420"/>
        <v>0</v>
      </c>
      <c r="J733" s="1075">
        <f t="shared" ca="1" si="420"/>
        <v>0</v>
      </c>
      <c r="K733" s="1075">
        <f t="shared" ca="1" si="420"/>
        <v>0</v>
      </c>
      <c r="L733" s="1075">
        <f t="shared" ca="1" si="420"/>
        <v>0</v>
      </c>
      <c r="M733" s="1075">
        <f t="shared" ca="1" si="420"/>
        <v>0</v>
      </c>
      <c r="N733" s="579">
        <f>N$1253</f>
        <v>0</v>
      </c>
      <c r="O733" s="326"/>
      <c r="P733" s="324" t="s">
        <v>651</v>
      </c>
    </row>
    <row r="734" spans="1:16" ht="13" hidden="1" customHeight="1" x14ac:dyDescent="0.35">
      <c r="A734" s="235"/>
      <c r="B734" s="450"/>
      <c r="C734" s="547" t="s">
        <v>878</v>
      </c>
      <c r="D734" s="1122"/>
      <c r="E734" s="439" t="s">
        <v>879</v>
      </c>
      <c r="F734" s="1071">
        <f ca="1">F735+OFFSET($E736,0,F$8)</f>
        <v>0</v>
      </c>
      <c r="G734" s="1071">
        <f t="shared" ref="G734:N734" ca="1" si="421">G735+G736</f>
        <v>0</v>
      </c>
      <c r="H734" s="1071">
        <f t="shared" ca="1" si="421"/>
        <v>5054500</v>
      </c>
      <c r="I734" s="1071">
        <f t="shared" ca="1" si="421"/>
        <v>4850500</v>
      </c>
      <c r="J734" s="1071">
        <f t="shared" ca="1" si="421"/>
        <v>4646500</v>
      </c>
      <c r="K734" s="1071">
        <f t="shared" ca="1" si="421"/>
        <v>4442500</v>
      </c>
      <c r="L734" s="1071">
        <f t="shared" ca="1" si="421"/>
        <v>4238500</v>
      </c>
      <c r="M734" s="1071">
        <f t="shared" ref="M734" ca="1" si="422">M735+M736</f>
        <v>4034500</v>
      </c>
      <c r="N734" s="548">
        <f t="shared" ca="1" si="421"/>
        <v>0</v>
      </c>
      <c r="O734" s="326"/>
      <c r="P734" s="324" t="s">
        <v>79</v>
      </c>
    </row>
    <row r="735" spans="1:16" ht="13" hidden="1" customHeight="1" x14ac:dyDescent="0.35">
      <c r="A735" s="235"/>
      <c r="B735" s="557"/>
      <c r="C735" s="550" t="s">
        <v>880</v>
      </c>
      <c r="D735" s="1123"/>
      <c r="E735" s="589" t="s">
        <v>881</v>
      </c>
      <c r="F735" s="1072">
        <f t="shared" ref="F735:N735" ca="1" si="423">+F$71</f>
        <v>0</v>
      </c>
      <c r="G735" s="1072">
        <f t="shared" ca="1" si="423"/>
        <v>0</v>
      </c>
      <c r="H735" s="1072">
        <f t="shared" ca="1" si="423"/>
        <v>5054500</v>
      </c>
      <c r="I735" s="1072">
        <f t="shared" ca="1" si="423"/>
        <v>4850500</v>
      </c>
      <c r="J735" s="1072">
        <f t="shared" ca="1" si="423"/>
        <v>4646500</v>
      </c>
      <c r="K735" s="1072">
        <f t="shared" ca="1" si="423"/>
        <v>4442500</v>
      </c>
      <c r="L735" s="1072">
        <f t="shared" ca="1" si="423"/>
        <v>4238500</v>
      </c>
      <c r="M735" s="1072">
        <f t="shared" ca="1" si="423"/>
        <v>4034500</v>
      </c>
      <c r="N735" s="580">
        <f t="shared" ca="1" si="423"/>
        <v>0</v>
      </c>
      <c r="O735" s="326"/>
      <c r="P735" s="324" t="s">
        <v>651</v>
      </c>
    </row>
    <row r="736" spans="1:16" ht="13" hidden="1" customHeight="1" x14ac:dyDescent="0.35">
      <c r="A736" s="235"/>
      <c r="B736" s="557"/>
      <c r="C736" s="552" t="s">
        <v>878</v>
      </c>
      <c r="D736" s="1112">
        <f ca="1">OFFSET(D736,0,MAX(2,$D$7-5))</f>
        <v>0</v>
      </c>
      <c r="E736" s="354" t="s">
        <v>882</v>
      </c>
      <c r="F736" s="1073"/>
      <c r="G736" s="1074">
        <f t="shared" ref="G736:N736" ca="1" si="424">OFFSET(G736,0,-1)+OFFSET(G736,1,0)+G$1144+G$1254</f>
        <v>0</v>
      </c>
      <c r="H736" s="1074">
        <f t="shared" ca="1" si="424"/>
        <v>0</v>
      </c>
      <c r="I736" s="1074">
        <f t="shared" ca="1" si="424"/>
        <v>0</v>
      </c>
      <c r="J736" s="1074">
        <f t="shared" ca="1" si="424"/>
        <v>0</v>
      </c>
      <c r="K736" s="1074">
        <f t="shared" ca="1" si="424"/>
        <v>0</v>
      </c>
      <c r="L736" s="1074">
        <f t="shared" ca="1" si="424"/>
        <v>0</v>
      </c>
      <c r="M736" s="1074">
        <f t="shared" ca="1" si="424"/>
        <v>0</v>
      </c>
      <c r="N736" s="553">
        <f t="shared" ca="1" si="424"/>
        <v>0</v>
      </c>
      <c r="O736" s="326"/>
      <c r="P736" s="324" t="s">
        <v>651</v>
      </c>
    </row>
    <row r="737" spans="1:16" ht="16.5" hidden="1" customHeight="1" x14ac:dyDescent="0.35">
      <c r="A737" s="235"/>
      <c r="B737" s="557"/>
      <c r="C737" s="555" t="s">
        <v>851</v>
      </c>
      <c r="D737" s="1124">
        <v>0</v>
      </c>
      <c r="E737" s="595" t="s">
        <v>883</v>
      </c>
      <c r="F737" s="1075">
        <f>F$1255</f>
        <v>0</v>
      </c>
      <c r="G737" s="1075">
        <f>IF(AND(G$5=0,NoZeroCol=1),0,G$1157)+G$1255</f>
        <v>0</v>
      </c>
      <c r="H737" s="1075">
        <f t="shared" ref="H737:M737" ca="1" si="425">IF(H$1=FinMonth,MIN(0,MAX(-IF(BalDepr06=1,$D736,OFFSET(H736,0,-1))*$D737/100,-OFFSET(H736,0,-1))),0)+H$1157+H$1255</f>
        <v>0</v>
      </c>
      <c r="I737" s="1075">
        <f t="shared" ca="1" si="425"/>
        <v>0</v>
      </c>
      <c r="J737" s="1075">
        <f t="shared" ca="1" si="425"/>
        <v>0</v>
      </c>
      <c r="K737" s="1075">
        <f t="shared" ca="1" si="425"/>
        <v>0</v>
      </c>
      <c r="L737" s="1075">
        <f t="shared" ca="1" si="425"/>
        <v>0</v>
      </c>
      <c r="M737" s="1075">
        <f t="shared" ca="1" si="425"/>
        <v>0</v>
      </c>
      <c r="N737" s="579">
        <f>N$1255</f>
        <v>0</v>
      </c>
      <c r="O737" s="326"/>
      <c r="P737" s="324" t="s">
        <v>651</v>
      </c>
    </row>
    <row r="738" spans="1:16" ht="13" hidden="1" customHeight="1" x14ac:dyDescent="0.35">
      <c r="A738" s="235"/>
      <c r="B738" s="450"/>
      <c r="C738" s="547" t="s">
        <v>884</v>
      </c>
      <c r="D738" s="1122"/>
      <c r="E738" s="439" t="s">
        <v>885</v>
      </c>
      <c r="F738" s="1071">
        <f ca="1">F739+OFFSET($E740,0,F$8)</f>
        <v>0</v>
      </c>
      <c r="G738" s="1071">
        <f t="shared" ref="G738:N738" ca="1" si="426">G739+G740</f>
        <v>0</v>
      </c>
      <c r="H738" s="1071">
        <f t="shared" ca="1" si="426"/>
        <v>0</v>
      </c>
      <c r="I738" s="1071">
        <f t="shared" ca="1" si="426"/>
        <v>0</v>
      </c>
      <c r="J738" s="1071">
        <f t="shared" ca="1" si="426"/>
        <v>0</v>
      </c>
      <c r="K738" s="1071">
        <f t="shared" ca="1" si="426"/>
        <v>0</v>
      </c>
      <c r="L738" s="1071">
        <f t="shared" ca="1" si="426"/>
        <v>0</v>
      </c>
      <c r="M738" s="1071">
        <f t="shared" ref="M738" ca="1" si="427">M739+M740</f>
        <v>0</v>
      </c>
      <c r="N738" s="548">
        <f t="shared" ca="1" si="426"/>
        <v>0</v>
      </c>
      <c r="O738" s="326"/>
      <c r="P738" s="324" t="s">
        <v>79</v>
      </c>
    </row>
    <row r="739" spans="1:16" ht="13" hidden="1" customHeight="1" x14ac:dyDescent="0.35">
      <c r="A739" s="235"/>
      <c r="B739" s="557"/>
      <c r="C739" s="550" t="s">
        <v>886</v>
      </c>
      <c r="D739" s="1123"/>
      <c r="E739" s="589" t="s">
        <v>887</v>
      </c>
      <c r="F739" s="1072">
        <f t="shared" ref="F739:N739" ca="1" si="428">+F$81</f>
        <v>0</v>
      </c>
      <c r="G739" s="1072">
        <f t="shared" ca="1" si="428"/>
        <v>0</v>
      </c>
      <c r="H739" s="1072">
        <f t="shared" ca="1" si="428"/>
        <v>0</v>
      </c>
      <c r="I739" s="1072">
        <f t="shared" ca="1" si="428"/>
        <v>0</v>
      </c>
      <c r="J739" s="1072">
        <f t="shared" ca="1" si="428"/>
        <v>0</v>
      </c>
      <c r="K739" s="1072">
        <f t="shared" ca="1" si="428"/>
        <v>0</v>
      </c>
      <c r="L739" s="1072">
        <f t="shared" ca="1" si="428"/>
        <v>0</v>
      </c>
      <c r="M739" s="1072">
        <f t="shared" ca="1" si="428"/>
        <v>0</v>
      </c>
      <c r="N739" s="580">
        <f t="shared" ca="1" si="428"/>
        <v>0</v>
      </c>
      <c r="O739" s="326"/>
      <c r="P739" s="324" t="s">
        <v>651</v>
      </c>
    </row>
    <row r="740" spans="1:16" ht="13" hidden="1" customHeight="1" x14ac:dyDescent="0.35">
      <c r="A740" s="235"/>
      <c r="B740" s="557"/>
      <c r="C740" s="552" t="s">
        <v>884</v>
      </c>
      <c r="D740" s="1112">
        <f ca="1">OFFSET(D740,0,MAX(2,$D$7-5))</f>
        <v>0</v>
      </c>
      <c r="E740" s="354" t="s">
        <v>888</v>
      </c>
      <c r="F740" s="1073"/>
      <c r="G740" s="1074">
        <f t="shared" ref="G740:N740" ca="1" si="429">OFFSET(G740,0,-1)+OFFSET(G740,1,0)+G$1145+G$1256</f>
        <v>0</v>
      </c>
      <c r="H740" s="1074">
        <f t="shared" ca="1" si="429"/>
        <v>0</v>
      </c>
      <c r="I740" s="1074">
        <f t="shared" ca="1" si="429"/>
        <v>0</v>
      </c>
      <c r="J740" s="1074">
        <f t="shared" ca="1" si="429"/>
        <v>0</v>
      </c>
      <c r="K740" s="1074">
        <f t="shared" ca="1" si="429"/>
        <v>0</v>
      </c>
      <c r="L740" s="1074">
        <f t="shared" ca="1" si="429"/>
        <v>0</v>
      </c>
      <c r="M740" s="1074">
        <f t="shared" ca="1" si="429"/>
        <v>0</v>
      </c>
      <c r="N740" s="553">
        <f t="shared" ca="1" si="429"/>
        <v>0</v>
      </c>
      <c r="O740" s="326"/>
      <c r="P740" s="324" t="s">
        <v>651</v>
      </c>
    </row>
    <row r="741" spans="1:16" ht="16.5" hidden="1" customHeight="1" x14ac:dyDescent="0.35">
      <c r="A741" s="235"/>
      <c r="B741" s="557"/>
      <c r="C741" s="555" t="s">
        <v>851</v>
      </c>
      <c r="D741" s="1124">
        <v>0</v>
      </c>
      <c r="E741" s="595" t="s">
        <v>889</v>
      </c>
      <c r="F741" s="1075">
        <f>F$1257</f>
        <v>0</v>
      </c>
      <c r="G741" s="1075">
        <f>IF(AND(G$5=0,NoZeroCol=1),0,G$1159)+G$1257</f>
        <v>0</v>
      </c>
      <c r="H741" s="1075">
        <f t="shared" ref="H741:M741" ca="1" si="430">IF(H$1=FinMonth,MIN(0,MAX(-IF(BalDepr07=1,$D740,OFFSET(H740,0,-1))*$D741/100,-OFFSET(H740,0,-1))),0)+H$1159+H$1257</f>
        <v>0</v>
      </c>
      <c r="I741" s="1075">
        <f t="shared" ca="1" si="430"/>
        <v>0</v>
      </c>
      <c r="J741" s="1075">
        <f t="shared" ca="1" si="430"/>
        <v>0</v>
      </c>
      <c r="K741" s="1075">
        <f t="shared" ca="1" si="430"/>
        <v>0</v>
      </c>
      <c r="L741" s="1075">
        <f t="shared" ca="1" si="430"/>
        <v>0</v>
      </c>
      <c r="M741" s="1075">
        <f t="shared" ca="1" si="430"/>
        <v>0</v>
      </c>
      <c r="N741" s="579">
        <f>N$1257</f>
        <v>0</v>
      </c>
      <c r="O741" s="326"/>
      <c r="P741" s="324" t="s">
        <v>651</v>
      </c>
    </row>
    <row r="742" spans="1:16" ht="13" hidden="1" customHeight="1" x14ac:dyDescent="0.35">
      <c r="A742" s="235"/>
      <c r="B742" s="557"/>
      <c r="C742" s="547" t="s">
        <v>890</v>
      </c>
      <c r="D742" s="1122"/>
      <c r="E742" s="439" t="s">
        <v>891</v>
      </c>
      <c r="F742" s="1071">
        <f ca="1">F743+OFFSET($E744,0,F$8)</f>
        <v>0</v>
      </c>
      <c r="G742" s="1071">
        <f t="shared" ref="G742:N742" ca="1" si="431">G743+G744</f>
        <v>0</v>
      </c>
      <c r="H742" s="1071">
        <f t="shared" ca="1" si="431"/>
        <v>0</v>
      </c>
      <c r="I742" s="1071">
        <f t="shared" ca="1" si="431"/>
        <v>0</v>
      </c>
      <c r="J742" s="1071">
        <f t="shared" ca="1" si="431"/>
        <v>0</v>
      </c>
      <c r="K742" s="1071">
        <f t="shared" ca="1" si="431"/>
        <v>0</v>
      </c>
      <c r="L742" s="1071">
        <f t="shared" ca="1" si="431"/>
        <v>0</v>
      </c>
      <c r="M742" s="1071">
        <f t="shared" ref="M742" ca="1" si="432">M743+M744</f>
        <v>0</v>
      </c>
      <c r="N742" s="548">
        <f t="shared" ca="1" si="431"/>
        <v>0</v>
      </c>
      <c r="O742" s="326"/>
      <c r="P742" s="324" t="s">
        <v>79</v>
      </c>
    </row>
    <row r="743" spans="1:16" ht="13" hidden="1" customHeight="1" x14ac:dyDescent="0.35">
      <c r="A743" s="235"/>
      <c r="B743" s="557"/>
      <c r="C743" s="550" t="s">
        <v>892</v>
      </c>
      <c r="D743" s="1123"/>
      <c r="E743" s="589" t="s">
        <v>893</v>
      </c>
      <c r="F743" s="1072">
        <f t="shared" ref="F743:N743" ca="1" si="433">+F$91</f>
        <v>0</v>
      </c>
      <c r="G743" s="1072">
        <f t="shared" ca="1" si="433"/>
        <v>0</v>
      </c>
      <c r="H743" s="1072">
        <f t="shared" ca="1" si="433"/>
        <v>0</v>
      </c>
      <c r="I743" s="1072">
        <f t="shared" ca="1" si="433"/>
        <v>0</v>
      </c>
      <c r="J743" s="1072">
        <f t="shared" ca="1" si="433"/>
        <v>0</v>
      </c>
      <c r="K743" s="1072">
        <f t="shared" ca="1" si="433"/>
        <v>0</v>
      </c>
      <c r="L743" s="1072">
        <f t="shared" ca="1" si="433"/>
        <v>0</v>
      </c>
      <c r="M743" s="1072">
        <f t="shared" ca="1" si="433"/>
        <v>0</v>
      </c>
      <c r="N743" s="580">
        <f t="shared" ca="1" si="433"/>
        <v>0</v>
      </c>
      <c r="O743" s="326"/>
      <c r="P743" s="324" t="s">
        <v>651</v>
      </c>
    </row>
    <row r="744" spans="1:16" ht="13" hidden="1" customHeight="1" x14ac:dyDescent="0.35">
      <c r="A744" s="235"/>
      <c r="B744" s="557"/>
      <c r="C744" s="552" t="s">
        <v>890</v>
      </c>
      <c r="D744" s="1112">
        <f ca="1">OFFSET(D744,0,MAX(2,$D$7-5))</f>
        <v>0</v>
      </c>
      <c r="E744" s="354" t="s">
        <v>894</v>
      </c>
      <c r="F744" s="1073"/>
      <c r="G744" s="1074">
        <f t="shared" ref="G744:M744" ca="1" si="434">OFFSET(G744,0,-1)+OFFSET(G744,1,0)+G$1097+G$1258</f>
        <v>0</v>
      </c>
      <c r="H744" s="1074">
        <f t="shared" ca="1" si="434"/>
        <v>0</v>
      </c>
      <c r="I744" s="1074">
        <f t="shared" ca="1" si="434"/>
        <v>0</v>
      </c>
      <c r="J744" s="1074">
        <f t="shared" ca="1" si="434"/>
        <v>0</v>
      </c>
      <c r="K744" s="1074">
        <f t="shared" ca="1" si="434"/>
        <v>0</v>
      </c>
      <c r="L744" s="1074">
        <f t="shared" ca="1" si="434"/>
        <v>0</v>
      </c>
      <c r="M744" s="1074">
        <f t="shared" ca="1" si="434"/>
        <v>0</v>
      </c>
      <c r="N744" s="553">
        <f ca="1">OFFSET(N744,0,-1)+OFFSET(N744,1,0)+N$1258</f>
        <v>0</v>
      </c>
      <c r="O744" s="326"/>
      <c r="P744" s="324" t="s">
        <v>651</v>
      </c>
    </row>
    <row r="745" spans="1:16" ht="16.5" hidden="1" customHeight="1" x14ac:dyDescent="0.35">
      <c r="A745" s="235"/>
      <c r="B745" s="557"/>
      <c r="C745" s="555" t="s">
        <v>851</v>
      </c>
      <c r="D745" s="1124">
        <v>0</v>
      </c>
      <c r="E745" s="595" t="s">
        <v>895</v>
      </c>
      <c r="F745" s="1075">
        <f>F$1259</f>
        <v>0</v>
      </c>
      <c r="G745" s="1075">
        <f>IF(AND(G$5=0,NoZeroCol=1),0,G$1098)+G$1259</f>
        <v>0</v>
      </c>
      <c r="H745" s="1075">
        <f t="shared" ref="H745:M745" ca="1" si="435">IF(H$1=FinMonth,MIN(0,MAX(-IF(BalDepr08=1,$D744,OFFSET(H744,0,-1))*$D745/100,-OFFSET(H744,0,-1))),0)+H$1098+H$1259</f>
        <v>0</v>
      </c>
      <c r="I745" s="1075">
        <f t="shared" ca="1" si="435"/>
        <v>0</v>
      </c>
      <c r="J745" s="1075">
        <f t="shared" ca="1" si="435"/>
        <v>0</v>
      </c>
      <c r="K745" s="1075">
        <f t="shared" ca="1" si="435"/>
        <v>0</v>
      </c>
      <c r="L745" s="1075">
        <f t="shared" ca="1" si="435"/>
        <v>0</v>
      </c>
      <c r="M745" s="1075">
        <f t="shared" ca="1" si="435"/>
        <v>0</v>
      </c>
      <c r="N745" s="579">
        <f>N$1259</f>
        <v>0</v>
      </c>
      <c r="O745" s="326"/>
      <c r="P745" s="324" t="s">
        <v>651</v>
      </c>
    </row>
    <row r="746" spans="1:16" ht="13" hidden="1" customHeight="1" x14ac:dyDescent="0.35">
      <c r="A746" s="235"/>
      <c r="B746" s="450"/>
      <c r="C746" s="547" t="s">
        <v>896</v>
      </c>
      <c r="D746" s="1122"/>
      <c r="E746" s="439" t="s">
        <v>897</v>
      </c>
      <c r="F746" s="1071">
        <f ca="1">F747+OFFSET($E748,0,F$8)</f>
        <v>0</v>
      </c>
      <c r="G746" s="1071">
        <f t="shared" ref="G746:N746" ca="1" si="436">G747+G748</f>
        <v>0</v>
      </c>
      <c r="H746" s="1071">
        <f t="shared" ca="1" si="436"/>
        <v>0</v>
      </c>
      <c r="I746" s="1071">
        <f t="shared" ca="1" si="436"/>
        <v>0</v>
      </c>
      <c r="J746" s="1071">
        <f t="shared" ca="1" si="436"/>
        <v>0</v>
      </c>
      <c r="K746" s="1071">
        <f t="shared" ca="1" si="436"/>
        <v>0</v>
      </c>
      <c r="L746" s="1071">
        <f t="shared" ca="1" si="436"/>
        <v>0</v>
      </c>
      <c r="M746" s="1071">
        <f t="shared" ref="M746" ca="1" si="437">M747+M748</f>
        <v>0</v>
      </c>
      <c r="N746" s="548">
        <f t="shared" ca="1" si="436"/>
        <v>0</v>
      </c>
      <c r="O746" s="326"/>
      <c r="P746" s="324" t="s">
        <v>79</v>
      </c>
    </row>
    <row r="747" spans="1:16" ht="13" hidden="1" customHeight="1" x14ac:dyDescent="0.35">
      <c r="A747" s="235"/>
      <c r="B747" s="557"/>
      <c r="C747" s="550" t="s">
        <v>898</v>
      </c>
      <c r="D747" s="1123"/>
      <c r="E747" s="589" t="s">
        <v>899</v>
      </c>
      <c r="F747" s="1072">
        <f t="shared" ref="F747:N747" ca="1" si="438">+F$101</f>
        <v>0</v>
      </c>
      <c r="G747" s="1072">
        <f t="shared" ca="1" si="438"/>
        <v>0</v>
      </c>
      <c r="H747" s="1072">
        <f t="shared" ca="1" si="438"/>
        <v>0</v>
      </c>
      <c r="I747" s="1072">
        <f t="shared" ca="1" si="438"/>
        <v>0</v>
      </c>
      <c r="J747" s="1072">
        <f t="shared" ca="1" si="438"/>
        <v>0</v>
      </c>
      <c r="K747" s="1072">
        <f t="shared" ca="1" si="438"/>
        <v>0</v>
      </c>
      <c r="L747" s="1072">
        <f t="shared" ca="1" si="438"/>
        <v>0</v>
      </c>
      <c r="M747" s="1072">
        <f t="shared" ca="1" si="438"/>
        <v>0</v>
      </c>
      <c r="N747" s="580">
        <f t="shared" ca="1" si="438"/>
        <v>0</v>
      </c>
      <c r="O747" s="326"/>
      <c r="P747" s="324" t="s">
        <v>651</v>
      </c>
    </row>
    <row r="748" spans="1:16" ht="13" hidden="1" customHeight="1" x14ac:dyDescent="0.35">
      <c r="A748" s="235"/>
      <c r="B748" s="557"/>
      <c r="C748" s="552" t="s">
        <v>896</v>
      </c>
      <c r="D748" s="1112">
        <f ca="1">OFFSET(D748,0,MAX(2,$D$7-5))</f>
        <v>0</v>
      </c>
      <c r="E748" s="354" t="s">
        <v>900</v>
      </c>
      <c r="F748" s="1073"/>
      <c r="G748" s="1074">
        <f t="shared" ref="G748:M748" ca="1" si="439">OFFSET(G748,0,-1)+OFFSET(G748,1,0)+G$1100+G$1260</f>
        <v>0</v>
      </c>
      <c r="H748" s="1074">
        <f t="shared" ca="1" si="439"/>
        <v>0</v>
      </c>
      <c r="I748" s="1074">
        <f t="shared" ca="1" si="439"/>
        <v>0</v>
      </c>
      <c r="J748" s="1074">
        <f t="shared" ca="1" si="439"/>
        <v>0</v>
      </c>
      <c r="K748" s="1074">
        <f t="shared" ca="1" si="439"/>
        <v>0</v>
      </c>
      <c r="L748" s="1074">
        <f t="shared" ca="1" si="439"/>
        <v>0</v>
      </c>
      <c r="M748" s="1074">
        <f t="shared" ca="1" si="439"/>
        <v>0</v>
      </c>
      <c r="N748" s="553">
        <f ca="1">OFFSET(N748,0,-1)+OFFSET(N748,1,0)+N$1260</f>
        <v>0</v>
      </c>
      <c r="O748" s="326"/>
      <c r="P748" s="324" t="s">
        <v>651</v>
      </c>
    </row>
    <row r="749" spans="1:16" ht="16.5" hidden="1" customHeight="1" x14ac:dyDescent="0.35">
      <c r="A749" s="235"/>
      <c r="B749" s="557"/>
      <c r="C749" s="555" t="s">
        <v>851</v>
      </c>
      <c r="D749" s="1124">
        <v>0</v>
      </c>
      <c r="E749" s="595" t="s">
        <v>901</v>
      </c>
      <c r="F749" s="1075">
        <f>F$1261</f>
        <v>0</v>
      </c>
      <c r="G749" s="1075">
        <f>IF(AND(G$5=0,NoZeroCol=1),0,G$1101)+G$1261</f>
        <v>0</v>
      </c>
      <c r="H749" s="1075">
        <f t="shared" ref="H749:M749" ca="1" si="440">IF(H$1=FinMonth,MIN(0,MAX(-IF(BalDepr08=1,$D748,OFFSET(H748,0,-1))*$D749/100,-OFFSET(H748,0,-1))),0)+H$1101+H$1261</f>
        <v>0</v>
      </c>
      <c r="I749" s="1075">
        <f t="shared" ca="1" si="440"/>
        <v>0</v>
      </c>
      <c r="J749" s="1075">
        <f t="shared" ca="1" si="440"/>
        <v>0</v>
      </c>
      <c r="K749" s="1075">
        <f t="shared" ca="1" si="440"/>
        <v>0</v>
      </c>
      <c r="L749" s="1075">
        <f t="shared" ca="1" si="440"/>
        <v>0</v>
      </c>
      <c r="M749" s="1075">
        <f t="shared" ca="1" si="440"/>
        <v>0</v>
      </c>
      <c r="N749" s="579">
        <f>N$1261</f>
        <v>0</v>
      </c>
      <c r="O749" s="326"/>
      <c r="P749" s="324" t="s">
        <v>651</v>
      </c>
    </row>
    <row r="750" spans="1:16" ht="13" customHeight="1" x14ac:dyDescent="0.35">
      <c r="A750" s="235"/>
      <c r="B750" s="450"/>
      <c r="C750" s="439" t="s">
        <v>390</v>
      </c>
      <c r="D750" s="1116"/>
      <c r="E750" s="439" t="s">
        <v>902</v>
      </c>
      <c r="F750" s="1022">
        <f t="shared" ref="F750:N750" ca="1" si="441">F751+F755+F759+F763</f>
        <v>0</v>
      </c>
      <c r="G750" s="1022">
        <f t="shared" ca="1" si="441"/>
        <v>0</v>
      </c>
      <c r="H750" s="1022">
        <f t="shared" ca="1" si="441"/>
        <v>0</v>
      </c>
      <c r="I750" s="1022">
        <f t="shared" ca="1" si="441"/>
        <v>0</v>
      </c>
      <c r="J750" s="1022">
        <f t="shared" ca="1" si="441"/>
        <v>0</v>
      </c>
      <c r="K750" s="1022">
        <f t="shared" ca="1" si="441"/>
        <v>0</v>
      </c>
      <c r="L750" s="1022">
        <f t="shared" ca="1" si="441"/>
        <v>0</v>
      </c>
      <c r="M750" s="1022">
        <f t="shared" ref="M750" ca="1" si="442">M751+M755+M759+M763</f>
        <v>0</v>
      </c>
      <c r="N750" s="516">
        <f t="shared" ca="1" si="441"/>
        <v>0</v>
      </c>
      <c r="O750" s="326"/>
      <c r="P750" s="324" t="s">
        <v>121</v>
      </c>
    </row>
    <row r="751" spans="1:16" ht="13" hidden="1" customHeight="1" x14ac:dyDescent="0.35">
      <c r="A751" s="235"/>
      <c r="B751" s="450"/>
      <c r="C751" s="547" t="s">
        <v>903</v>
      </c>
      <c r="D751" s="1122"/>
      <c r="E751" s="439" t="s">
        <v>904</v>
      </c>
      <c r="F751" s="1071">
        <f ca="1">F752+OFFSET($E753,0,F$8)</f>
        <v>0</v>
      </c>
      <c r="G751" s="1071">
        <f t="shared" ref="G751:N751" ca="1" si="443">G752+G753</f>
        <v>0</v>
      </c>
      <c r="H751" s="1071">
        <f t="shared" ca="1" si="443"/>
        <v>0</v>
      </c>
      <c r="I751" s="1071">
        <f t="shared" ca="1" si="443"/>
        <v>0</v>
      </c>
      <c r="J751" s="1071">
        <f t="shared" ca="1" si="443"/>
        <v>0</v>
      </c>
      <c r="K751" s="1071">
        <f t="shared" ca="1" si="443"/>
        <v>0</v>
      </c>
      <c r="L751" s="1071">
        <f t="shared" ca="1" si="443"/>
        <v>0</v>
      </c>
      <c r="M751" s="1071">
        <f t="shared" ref="M751" ca="1" si="444">M752+M753</f>
        <v>0</v>
      </c>
      <c r="N751" s="548">
        <f t="shared" ca="1" si="443"/>
        <v>0</v>
      </c>
      <c r="O751" s="326"/>
      <c r="P751" s="324" t="s">
        <v>79</v>
      </c>
    </row>
    <row r="752" spans="1:16" ht="13" hidden="1" customHeight="1" x14ac:dyDescent="0.35">
      <c r="A752" s="235"/>
      <c r="B752" s="557"/>
      <c r="C752" s="550" t="s">
        <v>905</v>
      </c>
      <c r="D752" s="1123"/>
      <c r="E752" s="589" t="s">
        <v>906</v>
      </c>
      <c r="F752" s="1072">
        <f ca="1">+F$111+IF(InvFileType=2,SUM($F$1004:F$1007),0)</f>
        <v>0</v>
      </c>
      <c r="G752" s="1072">
        <f ca="1">+G$111+IF(InvFileType=2,SUM($F$1004:G$1007),0)</f>
        <v>0</v>
      </c>
      <c r="H752" s="1072">
        <f ca="1">+H$111+IF(InvFileType=2,SUM($F$1004:H$1007),0)</f>
        <v>0</v>
      </c>
      <c r="I752" s="1072">
        <f ca="1">+I$111+IF(InvFileType=2,SUM($F$1004:I$1007),0)</f>
        <v>0</v>
      </c>
      <c r="J752" s="1072">
        <f ca="1">+J$111+IF(InvFileType=2,SUM($F$1004:J$1007),0)</f>
        <v>0</v>
      </c>
      <c r="K752" s="1072">
        <f ca="1">+K$111+IF(InvFileType=2,SUM($F$1004:K$1007),0)</f>
        <v>0</v>
      </c>
      <c r="L752" s="1072">
        <f ca="1">+L$111+IF(InvFileType=2,SUM($F$1004:L$1007),0)</f>
        <v>0</v>
      </c>
      <c r="M752" s="1072">
        <f ca="1">+M$111+IF(InvFileType=2,SUM($F$1004:M$1007),0)</f>
        <v>0</v>
      </c>
      <c r="N752" s="580">
        <f ca="1">+N$111+IF(InvFileType=2,SUM($F$1004:N$1007),0)</f>
        <v>0</v>
      </c>
      <c r="O752" s="326"/>
      <c r="P752" s="324" t="s">
        <v>651</v>
      </c>
    </row>
    <row r="753" spans="1:16" ht="13" hidden="1" customHeight="1" x14ac:dyDescent="0.35">
      <c r="A753" s="235"/>
      <c r="B753" s="557"/>
      <c r="C753" s="552" t="s">
        <v>903</v>
      </c>
      <c r="D753" s="1112">
        <f ca="1">OFFSET(D753,0,MAX(2,$D$7-5))</f>
        <v>0</v>
      </c>
      <c r="E753" s="354" t="s">
        <v>907</v>
      </c>
      <c r="F753" s="1073"/>
      <c r="G753" s="1074">
        <f t="shared" ref="G753:N753" ca="1" si="445">OFFSET(G753,0,-1)+OFFSET(G753,1,0)+OFFSET($E$482,0,G$8)+G$1146+G$1262</f>
        <v>0</v>
      </c>
      <c r="H753" s="1074">
        <f t="shared" ca="1" si="445"/>
        <v>0</v>
      </c>
      <c r="I753" s="1074">
        <f t="shared" ca="1" si="445"/>
        <v>0</v>
      </c>
      <c r="J753" s="1074">
        <f t="shared" ca="1" si="445"/>
        <v>0</v>
      </c>
      <c r="K753" s="1074">
        <f t="shared" ca="1" si="445"/>
        <v>0</v>
      </c>
      <c r="L753" s="1074">
        <f t="shared" ca="1" si="445"/>
        <v>0</v>
      </c>
      <c r="M753" s="1074">
        <f t="shared" ca="1" si="445"/>
        <v>0</v>
      </c>
      <c r="N753" s="1074">
        <f t="shared" ca="1" si="445"/>
        <v>0</v>
      </c>
      <c r="O753" s="326"/>
      <c r="P753" s="324" t="s">
        <v>651</v>
      </c>
    </row>
    <row r="754" spans="1:16" ht="16.5" hidden="1" customHeight="1" x14ac:dyDescent="0.35">
      <c r="A754" s="235"/>
      <c r="B754" s="557"/>
      <c r="C754" s="555" t="s">
        <v>851</v>
      </c>
      <c r="D754" s="1124">
        <v>0</v>
      </c>
      <c r="E754" s="595" t="s">
        <v>908</v>
      </c>
      <c r="F754" s="1075">
        <f>F$1263</f>
        <v>0</v>
      </c>
      <c r="G754" s="1075">
        <f>IF(AND(G$5=0,NoZeroCol=1),0,G$1161)+G$1263</f>
        <v>0</v>
      </c>
      <c r="H754" s="1075">
        <f t="shared" ref="H754:M754" ca="1" si="446">IF(H$1=FinMonth,MIN(0,MAX(-IF(BalDepr09=1,$D753,OFFSET(H753,0,-1))*$D754/100,-OFFSET(H753,0,-1))),0)+H$1161+H$1263</f>
        <v>0</v>
      </c>
      <c r="I754" s="1075">
        <f t="shared" ca="1" si="446"/>
        <v>0</v>
      </c>
      <c r="J754" s="1075">
        <f t="shared" ca="1" si="446"/>
        <v>0</v>
      </c>
      <c r="K754" s="1075">
        <f t="shared" ca="1" si="446"/>
        <v>0</v>
      </c>
      <c r="L754" s="1075">
        <f t="shared" ca="1" si="446"/>
        <v>0</v>
      </c>
      <c r="M754" s="1075">
        <f t="shared" ca="1" si="446"/>
        <v>0</v>
      </c>
      <c r="N754" s="579">
        <f>N$1263</f>
        <v>0</v>
      </c>
      <c r="O754" s="326"/>
      <c r="P754" s="324" t="s">
        <v>651</v>
      </c>
    </row>
    <row r="755" spans="1:16" ht="13" hidden="1" customHeight="1" x14ac:dyDescent="0.35">
      <c r="A755" s="235"/>
      <c r="B755" s="450"/>
      <c r="C755" s="547" t="s">
        <v>909</v>
      </c>
      <c r="D755" s="1122"/>
      <c r="E755" s="439" t="s">
        <v>910</v>
      </c>
      <c r="F755" s="1071">
        <f ca="1">F756+OFFSET($E757,0,F$8)</f>
        <v>0</v>
      </c>
      <c r="G755" s="1071">
        <f t="shared" ref="G755:N755" ca="1" si="447">G756+G757</f>
        <v>0</v>
      </c>
      <c r="H755" s="1071">
        <f t="shared" ca="1" si="447"/>
        <v>0</v>
      </c>
      <c r="I755" s="1071">
        <f t="shared" ca="1" si="447"/>
        <v>0</v>
      </c>
      <c r="J755" s="1071">
        <f t="shared" ca="1" si="447"/>
        <v>0</v>
      </c>
      <c r="K755" s="1071">
        <f t="shared" ca="1" si="447"/>
        <v>0</v>
      </c>
      <c r="L755" s="1071">
        <f t="shared" ca="1" si="447"/>
        <v>0</v>
      </c>
      <c r="M755" s="1071">
        <f t="shared" ref="M755" ca="1" si="448">M756+M757</f>
        <v>0</v>
      </c>
      <c r="N755" s="548">
        <f t="shared" ca="1" si="447"/>
        <v>0</v>
      </c>
      <c r="O755" s="326"/>
      <c r="P755" s="324" t="s">
        <v>79</v>
      </c>
    </row>
    <row r="756" spans="1:16" ht="13" hidden="1" customHeight="1" x14ac:dyDescent="0.35">
      <c r="A756" s="235"/>
      <c r="B756" s="557"/>
      <c r="C756" s="550" t="s">
        <v>911</v>
      </c>
      <c r="D756" s="1123"/>
      <c r="E756" s="589" t="s">
        <v>912</v>
      </c>
      <c r="F756" s="1072">
        <f t="shared" ref="F756:N756" ca="1" si="449">+F$121</f>
        <v>0</v>
      </c>
      <c r="G756" s="1072">
        <f t="shared" ca="1" si="449"/>
        <v>0</v>
      </c>
      <c r="H756" s="1072">
        <f t="shared" ca="1" si="449"/>
        <v>0</v>
      </c>
      <c r="I756" s="1072">
        <f t="shared" ca="1" si="449"/>
        <v>0</v>
      </c>
      <c r="J756" s="1072">
        <f t="shared" ca="1" si="449"/>
        <v>0</v>
      </c>
      <c r="K756" s="1072">
        <f t="shared" ca="1" si="449"/>
        <v>0</v>
      </c>
      <c r="L756" s="1072">
        <f t="shared" ca="1" si="449"/>
        <v>0</v>
      </c>
      <c r="M756" s="1072">
        <f t="shared" ca="1" si="449"/>
        <v>0</v>
      </c>
      <c r="N756" s="580">
        <f t="shared" ca="1" si="449"/>
        <v>0</v>
      </c>
      <c r="O756" s="326"/>
      <c r="P756" s="324" t="s">
        <v>651</v>
      </c>
    </row>
    <row r="757" spans="1:16" ht="13" hidden="1" customHeight="1" x14ac:dyDescent="0.35">
      <c r="A757" s="235"/>
      <c r="B757" s="557"/>
      <c r="C757" s="552" t="s">
        <v>909</v>
      </c>
      <c r="D757" s="1112">
        <f ca="1">OFFSET(D757,0,MAX(2,$D$7-5))</f>
        <v>0</v>
      </c>
      <c r="E757" s="354" t="s">
        <v>913</v>
      </c>
      <c r="F757" s="1073"/>
      <c r="G757" s="1074">
        <f t="shared" ref="G757:N757" ca="1" si="450">OFFSET(G757,0,-1)+OFFSET(G757,1,0)+G$1147+G$1264</f>
        <v>0</v>
      </c>
      <c r="H757" s="1074">
        <f t="shared" ca="1" si="450"/>
        <v>0</v>
      </c>
      <c r="I757" s="1074">
        <f t="shared" ca="1" si="450"/>
        <v>0</v>
      </c>
      <c r="J757" s="1074">
        <f t="shared" ca="1" si="450"/>
        <v>0</v>
      </c>
      <c r="K757" s="1074">
        <f t="shared" ca="1" si="450"/>
        <v>0</v>
      </c>
      <c r="L757" s="1074">
        <f t="shared" ca="1" si="450"/>
        <v>0</v>
      </c>
      <c r="M757" s="1074">
        <f t="shared" ca="1" si="450"/>
        <v>0</v>
      </c>
      <c r="N757" s="553">
        <f t="shared" ca="1" si="450"/>
        <v>0</v>
      </c>
      <c r="O757" s="326"/>
      <c r="P757" s="324" t="s">
        <v>651</v>
      </c>
    </row>
    <row r="758" spans="1:16" ht="16.5" hidden="1" customHeight="1" x14ac:dyDescent="0.35">
      <c r="A758" s="235"/>
      <c r="B758" s="557"/>
      <c r="C758" s="555" t="s">
        <v>851</v>
      </c>
      <c r="D758" s="1124">
        <v>0</v>
      </c>
      <c r="E758" s="595" t="s">
        <v>914</v>
      </c>
      <c r="F758" s="1075">
        <f>F$1265</f>
        <v>0</v>
      </c>
      <c r="G758" s="1075">
        <f>IF(AND(G$5=0,NoZeroCol=1),0,G$1163)+G$1265</f>
        <v>0</v>
      </c>
      <c r="H758" s="1075">
        <f t="shared" ref="H758:M758" ca="1" si="451">IF(H$1=FinMonth,MIN(0,MAX(-IF(BalDepr10=1,$D757,OFFSET(H757,0,-1))*$D758/100,-OFFSET(H757,0,-1))),0)+H$1163+H$1265</f>
        <v>0</v>
      </c>
      <c r="I758" s="1075">
        <f t="shared" ca="1" si="451"/>
        <v>0</v>
      </c>
      <c r="J758" s="1075">
        <f t="shared" ca="1" si="451"/>
        <v>0</v>
      </c>
      <c r="K758" s="1075">
        <f t="shared" ca="1" si="451"/>
        <v>0</v>
      </c>
      <c r="L758" s="1075">
        <f t="shared" ca="1" si="451"/>
        <v>0</v>
      </c>
      <c r="M758" s="1075">
        <f t="shared" ca="1" si="451"/>
        <v>0</v>
      </c>
      <c r="N758" s="579">
        <f>N$1265</f>
        <v>0</v>
      </c>
      <c r="O758" s="326"/>
      <c r="P758" s="324" t="s">
        <v>651</v>
      </c>
    </row>
    <row r="759" spans="1:16" ht="13" hidden="1" customHeight="1" x14ac:dyDescent="0.35">
      <c r="A759" s="235"/>
      <c r="B759" s="450"/>
      <c r="C759" s="547" t="s">
        <v>915</v>
      </c>
      <c r="D759" s="1122"/>
      <c r="E759" s="439" t="s">
        <v>916</v>
      </c>
      <c r="F759" s="1071">
        <f ca="1">F760+OFFSET($E761,0,F$8)</f>
        <v>0</v>
      </c>
      <c r="G759" s="1071">
        <f t="shared" ref="G759:N759" ca="1" si="452">G760+G761</f>
        <v>0</v>
      </c>
      <c r="H759" s="1071">
        <f t="shared" ca="1" si="452"/>
        <v>0</v>
      </c>
      <c r="I759" s="1071">
        <f t="shared" ca="1" si="452"/>
        <v>0</v>
      </c>
      <c r="J759" s="1071">
        <f t="shared" ca="1" si="452"/>
        <v>0</v>
      </c>
      <c r="K759" s="1071">
        <f t="shared" ca="1" si="452"/>
        <v>0</v>
      </c>
      <c r="L759" s="1071">
        <f t="shared" ca="1" si="452"/>
        <v>0</v>
      </c>
      <c r="M759" s="1071">
        <f t="shared" ref="M759" ca="1" si="453">M760+M761</f>
        <v>0</v>
      </c>
      <c r="N759" s="548">
        <f t="shared" ca="1" si="452"/>
        <v>0</v>
      </c>
      <c r="O759" s="326"/>
      <c r="P759" s="324" t="s">
        <v>79</v>
      </c>
    </row>
    <row r="760" spans="1:16" ht="13" hidden="1" customHeight="1" x14ac:dyDescent="0.35">
      <c r="A760" s="235"/>
      <c r="B760" s="557"/>
      <c r="C760" s="550" t="s">
        <v>917</v>
      </c>
      <c r="D760" s="1123"/>
      <c r="E760" s="589" t="s">
        <v>918</v>
      </c>
      <c r="F760" s="1072">
        <f t="shared" ref="F760:N760" ca="1" si="454">+F$131</f>
        <v>0</v>
      </c>
      <c r="G760" s="1072">
        <f t="shared" ca="1" si="454"/>
        <v>0</v>
      </c>
      <c r="H760" s="1072">
        <f t="shared" ca="1" si="454"/>
        <v>0</v>
      </c>
      <c r="I760" s="1072">
        <f t="shared" ca="1" si="454"/>
        <v>0</v>
      </c>
      <c r="J760" s="1072">
        <f t="shared" ca="1" si="454"/>
        <v>0</v>
      </c>
      <c r="K760" s="1072">
        <f t="shared" ca="1" si="454"/>
        <v>0</v>
      </c>
      <c r="L760" s="1072">
        <f t="shared" ca="1" si="454"/>
        <v>0</v>
      </c>
      <c r="M760" s="1072">
        <f t="shared" ca="1" si="454"/>
        <v>0</v>
      </c>
      <c r="N760" s="580">
        <f t="shared" ca="1" si="454"/>
        <v>0</v>
      </c>
      <c r="O760" s="326"/>
      <c r="P760" s="324" t="s">
        <v>651</v>
      </c>
    </row>
    <row r="761" spans="1:16" ht="13" hidden="1" customHeight="1" x14ac:dyDescent="0.35">
      <c r="A761" s="235"/>
      <c r="B761" s="557"/>
      <c r="C761" s="552" t="s">
        <v>915</v>
      </c>
      <c r="D761" s="1112">
        <f ca="1">OFFSET(D761,0,MAX(2,$D$7-5))</f>
        <v>0</v>
      </c>
      <c r="E761" s="354" t="s">
        <v>919</v>
      </c>
      <c r="F761" s="1073"/>
      <c r="G761" s="1074">
        <f t="shared" ref="G761:N761" ca="1" si="455">OFFSET(G761,0,-1)+OFFSET(G761,1,0)+G$1148+G$1266</f>
        <v>0</v>
      </c>
      <c r="H761" s="1074">
        <f t="shared" ca="1" si="455"/>
        <v>0</v>
      </c>
      <c r="I761" s="1074">
        <f t="shared" ca="1" si="455"/>
        <v>0</v>
      </c>
      <c r="J761" s="1074">
        <f t="shared" ca="1" si="455"/>
        <v>0</v>
      </c>
      <c r="K761" s="1074">
        <f t="shared" ca="1" si="455"/>
        <v>0</v>
      </c>
      <c r="L761" s="1074">
        <f t="shared" ca="1" si="455"/>
        <v>0</v>
      </c>
      <c r="M761" s="1074">
        <f t="shared" ca="1" si="455"/>
        <v>0</v>
      </c>
      <c r="N761" s="553">
        <f t="shared" ca="1" si="455"/>
        <v>0</v>
      </c>
      <c r="O761" s="326"/>
      <c r="P761" s="324" t="s">
        <v>651</v>
      </c>
    </row>
    <row r="762" spans="1:16" ht="16.5" hidden="1" customHeight="1" x14ac:dyDescent="0.35">
      <c r="A762" s="235"/>
      <c r="B762" s="557"/>
      <c r="C762" s="555" t="s">
        <v>851</v>
      </c>
      <c r="D762" s="1124">
        <v>0</v>
      </c>
      <c r="E762" s="595" t="s">
        <v>920</v>
      </c>
      <c r="F762" s="1075">
        <f>F$1267</f>
        <v>0</v>
      </c>
      <c r="G762" s="1075">
        <f>IF(AND(G$5=0,NoZeroCol=1),0,G$1165)+G$1267</f>
        <v>0</v>
      </c>
      <c r="H762" s="1075">
        <f t="shared" ref="H762:M762" ca="1" si="456">IF(H$1=FinMonth,MIN(0,MAX(-IF(BalDepr11=1,$D761,OFFSET(H761,0,-1))*$D762/100,-OFFSET(H761,0,-1))),0)+H$1165+H$1267</f>
        <v>0</v>
      </c>
      <c r="I762" s="1075">
        <f t="shared" ca="1" si="456"/>
        <v>0</v>
      </c>
      <c r="J762" s="1075">
        <f t="shared" ca="1" si="456"/>
        <v>0</v>
      </c>
      <c r="K762" s="1075">
        <f t="shared" ca="1" si="456"/>
        <v>0</v>
      </c>
      <c r="L762" s="1075">
        <f t="shared" ca="1" si="456"/>
        <v>0</v>
      </c>
      <c r="M762" s="1075">
        <f t="shared" ca="1" si="456"/>
        <v>0</v>
      </c>
      <c r="N762" s="579">
        <f>N$1267</f>
        <v>0</v>
      </c>
      <c r="O762" s="326"/>
      <c r="P762" s="324" t="s">
        <v>651</v>
      </c>
    </row>
    <row r="763" spans="1:16" ht="13" hidden="1" customHeight="1" x14ac:dyDescent="0.35">
      <c r="A763" s="235"/>
      <c r="B763" s="450"/>
      <c r="C763" s="547" t="s">
        <v>921</v>
      </c>
      <c r="D763" s="1122"/>
      <c r="E763" s="439" t="s">
        <v>922</v>
      </c>
      <c r="F763" s="1071">
        <f ca="1">F764+OFFSET($E765,0,F$8)</f>
        <v>0</v>
      </c>
      <c r="G763" s="1071">
        <f t="shared" ref="G763:N763" ca="1" si="457">G764+G765</f>
        <v>0</v>
      </c>
      <c r="H763" s="1071">
        <f t="shared" ca="1" si="457"/>
        <v>0</v>
      </c>
      <c r="I763" s="1071">
        <f t="shared" ca="1" si="457"/>
        <v>0</v>
      </c>
      <c r="J763" s="1071">
        <f t="shared" ca="1" si="457"/>
        <v>0</v>
      </c>
      <c r="K763" s="1071">
        <f t="shared" ca="1" si="457"/>
        <v>0</v>
      </c>
      <c r="L763" s="1071">
        <f t="shared" ca="1" si="457"/>
        <v>0</v>
      </c>
      <c r="M763" s="1071">
        <f t="shared" ref="M763" ca="1" si="458">M764+M765</f>
        <v>0</v>
      </c>
      <c r="N763" s="548">
        <f t="shared" ca="1" si="457"/>
        <v>0</v>
      </c>
      <c r="O763" s="326"/>
      <c r="P763" s="324" t="s">
        <v>79</v>
      </c>
    </row>
    <row r="764" spans="1:16" ht="13" hidden="1" customHeight="1" x14ac:dyDescent="0.35">
      <c r="A764" s="235"/>
      <c r="B764" s="557"/>
      <c r="C764" s="550" t="s">
        <v>923</v>
      </c>
      <c r="D764" s="1123"/>
      <c r="E764" s="589" t="s">
        <v>924</v>
      </c>
      <c r="F764" s="1072">
        <f t="shared" ref="F764:N764" ca="1" si="459">+F$141</f>
        <v>0</v>
      </c>
      <c r="G764" s="1072">
        <f t="shared" ca="1" si="459"/>
        <v>0</v>
      </c>
      <c r="H764" s="1072">
        <f t="shared" ca="1" si="459"/>
        <v>0</v>
      </c>
      <c r="I764" s="1072">
        <f t="shared" ca="1" si="459"/>
        <v>0</v>
      </c>
      <c r="J764" s="1072">
        <f t="shared" ca="1" si="459"/>
        <v>0</v>
      </c>
      <c r="K764" s="1072">
        <f t="shared" ca="1" si="459"/>
        <v>0</v>
      </c>
      <c r="L764" s="1072">
        <f t="shared" ca="1" si="459"/>
        <v>0</v>
      </c>
      <c r="M764" s="1072">
        <f t="shared" ca="1" si="459"/>
        <v>0</v>
      </c>
      <c r="N764" s="580">
        <f t="shared" ca="1" si="459"/>
        <v>0</v>
      </c>
      <c r="O764" s="326"/>
      <c r="P764" s="324" t="s">
        <v>651</v>
      </c>
    </row>
    <row r="765" spans="1:16" ht="13" hidden="1" customHeight="1" x14ac:dyDescent="0.35">
      <c r="A765" s="235"/>
      <c r="B765" s="557"/>
      <c r="C765" s="552" t="s">
        <v>921</v>
      </c>
      <c r="D765" s="1112">
        <f ca="1">OFFSET(D765,0,MAX(2,$D$7-5))</f>
        <v>0</v>
      </c>
      <c r="E765" s="354" t="s">
        <v>925</v>
      </c>
      <c r="F765" s="1073"/>
      <c r="G765" s="1074">
        <f t="shared" ref="G765:M765" ca="1" si="460">OFFSET(G765,0,-1)+OFFSET(G765,1,0)+G$1103+G$1268</f>
        <v>0</v>
      </c>
      <c r="H765" s="1074">
        <f t="shared" ca="1" si="460"/>
        <v>0</v>
      </c>
      <c r="I765" s="1074">
        <f t="shared" ca="1" si="460"/>
        <v>0</v>
      </c>
      <c r="J765" s="1074">
        <f t="shared" ca="1" si="460"/>
        <v>0</v>
      </c>
      <c r="K765" s="1074">
        <f t="shared" ca="1" si="460"/>
        <v>0</v>
      </c>
      <c r="L765" s="1074">
        <f t="shared" ca="1" si="460"/>
        <v>0</v>
      </c>
      <c r="M765" s="1074">
        <f t="shared" ca="1" si="460"/>
        <v>0</v>
      </c>
      <c r="N765" s="553">
        <f ca="1">OFFSET(N765,0,-1)+OFFSET(N765,1,0)+N$1268</f>
        <v>0</v>
      </c>
      <c r="O765" s="326"/>
      <c r="P765" s="324" t="s">
        <v>651</v>
      </c>
    </row>
    <row r="766" spans="1:16" ht="16.5" hidden="1" customHeight="1" x14ac:dyDescent="0.35">
      <c r="A766" s="235"/>
      <c r="B766" s="557"/>
      <c r="C766" s="555" t="s">
        <v>851</v>
      </c>
      <c r="D766" s="1124">
        <v>0</v>
      </c>
      <c r="E766" s="595" t="s">
        <v>926</v>
      </c>
      <c r="F766" s="1075">
        <f>F$1269</f>
        <v>0</v>
      </c>
      <c r="G766" s="1075">
        <f>IF(AND(G$5=0,NoZeroCol=1),0,G$1104)+G$1269</f>
        <v>0</v>
      </c>
      <c r="H766" s="1075">
        <f t="shared" ref="H766:M766" ca="1" si="461">IF(H$1=FinMonth,MIN(0,MAX(-IF(BalDepr12=1,$D765,OFFSET(H765,0,-1))*$D766/100,-OFFSET(H765,0,-1))),0)+H$1104+H$1269</f>
        <v>0</v>
      </c>
      <c r="I766" s="1075">
        <f t="shared" ca="1" si="461"/>
        <v>0</v>
      </c>
      <c r="J766" s="1075">
        <f t="shared" ca="1" si="461"/>
        <v>0</v>
      </c>
      <c r="K766" s="1075">
        <f t="shared" ca="1" si="461"/>
        <v>0</v>
      </c>
      <c r="L766" s="1075">
        <f t="shared" ca="1" si="461"/>
        <v>0</v>
      </c>
      <c r="M766" s="1075">
        <f t="shared" ca="1" si="461"/>
        <v>0</v>
      </c>
      <c r="N766" s="579">
        <f>N$1269</f>
        <v>0</v>
      </c>
      <c r="O766" s="326"/>
      <c r="P766" s="324" t="s">
        <v>651</v>
      </c>
    </row>
    <row r="767" spans="1:16" ht="13" customHeight="1" x14ac:dyDescent="0.35">
      <c r="A767" s="235"/>
      <c r="B767" s="450"/>
      <c r="C767" s="508" t="str">
        <f>"Total "&amp;LOWER(B711)</f>
        <v>Total fixed assets and other non-current assets</v>
      </c>
      <c r="D767" s="1114"/>
      <c r="E767" s="508" t="s">
        <v>927</v>
      </c>
      <c r="F767" s="1050">
        <f t="shared" ref="F767:N767" ca="1" si="462">IF(ABS(F712+F729+F750)&gt;0.00000001,F712+F729+F750,0)</f>
        <v>0</v>
      </c>
      <c r="G767" s="1050">
        <f t="shared" ca="1" si="462"/>
        <v>0</v>
      </c>
      <c r="H767" s="1050">
        <f t="shared" ca="1" si="462"/>
        <v>7867000</v>
      </c>
      <c r="I767" s="1050">
        <f t="shared" ca="1" si="462"/>
        <v>6959875</v>
      </c>
      <c r="J767" s="1050">
        <f t="shared" ca="1" si="462"/>
        <v>6431031.25</v>
      </c>
      <c r="K767" s="1050">
        <f t="shared" ca="1" si="462"/>
        <v>5764023.4375</v>
      </c>
      <c r="L767" s="1050">
        <f t="shared" ca="1" si="462"/>
        <v>5297142.578125</v>
      </c>
      <c r="M767" s="1050">
        <f t="shared" ref="M767" ca="1" si="463">IF(ABS(M712+M729+M750)&gt;0.00000001,M712+M729+M750,0)</f>
        <v>4769419.43359375</v>
      </c>
      <c r="N767" s="559">
        <f t="shared" ca="1" si="462"/>
        <v>0</v>
      </c>
      <c r="O767" s="326"/>
      <c r="P767" s="324" t="s">
        <v>71</v>
      </c>
    </row>
    <row r="768" spans="1:16" ht="13" customHeight="1" x14ac:dyDescent="0.35">
      <c r="A768" s="235"/>
      <c r="B768" s="450" t="s">
        <v>928</v>
      </c>
      <c r="C768" s="439"/>
      <c r="D768" s="1111"/>
      <c r="E768" s="439" t="s">
        <v>929</v>
      </c>
      <c r="F768" s="1032">
        <f t="shared" ref="F768:N768" ca="1" si="464">F775</f>
        <v>0</v>
      </c>
      <c r="G768" s="1032">
        <f t="shared" ca="1" si="464"/>
        <v>0</v>
      </c>
      <c r="H768" s="1032">
        <f t="shared" ca="1" si="464"/>
        <v>-1406569.4307339042</v>
      </c>
      <c r="I768" s="1032">
        <f t="shared" ca="1" si="464"/>
        <v>-377082.08458588552</v>
      </c>
      <c r="J768" s="1032">
        <f t="shared" ca="1" si="464"/>
        <v>6914185.499278551</v>
      </c>
      <c r="K768" s="1032">
        <f t="shared" ca="1" si="464"/>
        <v>17255897.070762485</v>
      </c>
      <c r="L768" s="1032">
        <f t="shared" ca="1" si="464"/>
        <v>30895636.706767809</v>
      </c>
      <c r="M768" s="1032">
        <f t="shared" ref="M768" ca="1" si="465">M775</f>
        <v>48877410.106577456</v>
      </c>
      <c r="N768" s="1011">
        <f t="shared" ca="1" si="464"/>
        <v>46391295.337819979</v>
      </c>
      <c r="O768" s="326"/>
      <c r="P768" s="324" t="s">
        <v>71</v>
      </c>
    </row>
    <row r="769" spans="1:16" ht="13" customHeight="1" x14ac:dyDescent="0.35">
      <c r="A769" s="235"/>
      <c r="B769" s="450"/>
      <c r="C769" s="439" t="s">
        <v>930</v>
      </c>
      <c r="D769" s="1112"/>
      <c r="E769" s="439" t="s">
        <v>931</v>
      </c>
      <c r="F769" s="1021"/>
      <c r="G769" s="1022">
        <f t="shared" ref="G769:N769" ca="1" si="466">-G591+OFFSET(G769,0,-1)+G$1105+G$1270</f>
        <v>0</v>
      </c>
      <c r="H769" s="1022">
        <f t="shared" ca="1" si="466"/>
        <v>10721995.522435302</v>
      </c>
      <c r="I769" s="1022">
        <f t="shared" ca="1" si="466"/>
        <v>3272920.296190354</v>
      </c>
      <c r="J769" s="1022">
        <f t="shared" ca="1" si="466"/>
        <v>4009327.3628331842</v>
      </c>
      <c r="K769" s="1022">
        <f t="shared" ca="1" si="466"/>
        <v>4911426.0194706507</v>
      </c>
      <c r="L769" s="1022">
        <f t="shared" ca="1" si="466"/>
        <v>6016496.873851547</v>
      </c>
      <c r="M769" s="1022">
        <f t="shared" ca="1" si="466"/>
        <v>7370208.6704681441</v>
      </c>
      <c r="N769" s="1247">
        <f t="shared" ca="1" si="466"/>
        <v>0</v>
      </c>
      <c r="O769" s="326"/>
      <c r="P769" s="324" t="s">
        <v>121</v>
      </c>
    </row>
    <row r="770" spans="1:16" ht="13" customHeight="1" x14ac:dyDescent="0.35">
      <c r="A770" s="406"/>
      <c r="B770" s="560"/>
      <c r="C770" s="439" t="s">
        <v>696</v>
      </c>
      <c r="D770" s="1112"/>
      <c r="E770" s="439" t="s">
        <v>932</v>
      </c>
      <c r="F770" s="1021"/>
      <c r="G770" s="1022">
        <f t="shared" ref="G770:N770" ca="1" si="467">OFFSET(G770,0,-1)-(G$569-OFFSET($E$562,0,G$8)-OFFSET($E$564,0,G$8)-OFFSET($E$566,0,G$8)-OFFSET($E$568,0,G$8))+G$1106+G$1271</f>
        <v>0</v>
      </c>
      <c r="H770" s="1022">
        <f t="shared" ca="1" si="467"/>
        <v>11461080.606711309</v>
      </c>
      <c r="I770" s="1022">
        <f t="shared" ca="1" si="467"/>
        <v>3599490.6234287526</v>
      </c>
      <c r="J770" s="1022">
        <f t="shared" ca="1" si="467"/>
        <v>4409376.0137002217</v>
      </c>
      <c r="K770" s="1022">
        <f t="shared" ca="1" si="467"/>
        <v>5401485.6167827724</v>
      </c>
      <c r="L770" s="1022">
        <f t="shared" ca="1" si="467"/>
        <v>6616819.8805588949</v>
      </c>
      <c r="M770" s="1022">
        <f t="shared" ca="1" si="467"/>
        <v>8105604.353684647</v>
      </c>
      <c r="N770" s="1247">
        <f t="shared" ca="1" si="467"/>
        <v>0</v>
      </c>
      <c r="O770" s="326"/>
      <c r="P770" s="324" t="s">
        <v>121</v>
      </c>
    </row>
    <row r="771" spans="1:16" ht="13" hidden="1" customHeight="1" x14ac:dyDescent="0.35">
      <c r="A771" s="406"/>
      <c r="B771" s="560"/>
      <c r="C771" s="439" t="s">
        <v>5357</v>
      </c>
      <c r="D771" s="1112"/>
      <c r="E771" s="1245" t="s">
        <v>5402</v>
      </c>
      <c r="F771" s="1021"/>
      <c r="G771" s="1022">
        <f t="shared" ref="G771:N771" ca="1" si="468">OFFSET(G771,0,-1)-OFFSET($E$562,0,G$8)+G$1231+G$1272</f>
        <v>0</v>
      </c>
      <c r="H771" s="1022">
        <f t="shared" ca="1" si="468"/>
        <v>0</v>
      </c>
      <c r="I771" s="1022">
        <f t="shared" ca="1" si="468"/>
        <v>0</v>
      </c>
      <c r="J771" s="1022">
        <f t="shared" ca="1" si="468"/>
        <v>0</v>
      </c>
      <c r="K771" s="1022">
        <f t="shared" ca="1" si="468"/>
        <v>0</v>
      </c>
      <c r="L771" s="1022">
        <f t="shared" ca="1" si="468"/>
        <v>0</v>
      </c>
      <c r="M771" s="1022">
        <f t="shared" ca="1" si="468"/>
        <v>0</v>
      </c>
      <c r="N771" s="1247">
        <f t="shared" ca="1" si="468"/>
        <v>0</v>
      </c>
      <c r="O771" s="326"/>
      <c r="P771" s="324" t="s">
        <v>118</v>
      </c>
    </row>
    <row r="772" spans="1:16" ht="13" customHeight="1" x14ac:dyDescent="0.35">
      <c r="A772" s="235"/>
      <c r="B772" s="450"/>
      <c r="C772" s="439" t="s">
        <v>700</v>
      </c>
      <c r="D772" s="1112"/>
      <c r="E772" s="439" t="s">
        <v>933</v>
      </c>
      <c r="F772" s="1021"/>
      <c r="G772" s="1022">
        <f t="shared" ref="G772:N772" ca="1" si="469">OFFSET(G772,0,-1)-OFFSET($E$564,0,G$8)+G$1107-G$1238+G$1273</f>
        <v>0</v>
      </c>
      <c r="H772" s="1022">
        <f t="shared" ca="1" si="469"/>
        <v>0</v>
      </c>
      <c r="I772" s="1022">
        <f t="shared" ca="1" si="469"/>
        <v>0</v>
      </c>
      <c r="J772" s="1022">
        <f t="shared" ca="1" si="469"/>
        <v>0</v>
      </c>
      <c r="K772" s="1022">
        <f t="shared" ca="1" si="469"/>
        <v>0</v>
      </c>
      <c r="L772" s="1022">
        <f t="shared" ca="1" si="469"/>
        <v>0</v>
      </c>
      <c r="M772" s="1022">
        <f t="shared" ca="1" si="469"/>
        <v>0</v>
      </c>
      <c r="N772" s="1247">
        <f t="shared" ca="1" si="469"/>
        <v>0</v>
      </c>
      <c r="O772" s="326"/>
      <c r="P772" s="324" t="s">
        <v>121</v>
      </c>
    </row>
    <row r="773" spans="1:16" ht="13" hidden="1" customHeight="1" x14ac:dyDescent="0.35">
      <c r="A773" s="235"/>
      <c r="B773" s="450"/>
      <c r="C773" s="439" t="s">
        <v>5366</v>
      </c>
      <c r="D773" s="1112"/>
      <c r="E773" s="1245" t="s">
        <v>5403</v>
      </c>
      <c r="F773" s="1021"/>
      <c r="G773" s="1022">
        <f t="shared" ref="G773:N773" ca="1" si="470">OFFSET(G773,0,-1)-OFFSET($E$566,0,G$8)+G$1232+G$1274</f>
        <v>0</v>
      </c>
      <c r="H773" s="1022">
        <f t="shared" ca="1" si="470"/>
        <v>0</v>
      </c>
      <c r="I773" s="1022">
        <f t="shared" ca="1" si="470"/>
        <v>0</v>
      </c>
      <c r="J773" s="1022">
        <f t="shared" ca="1" si="470"/>
        <v>0</v>
      </c>
      <c r="K773" s="1022">
        <f t="shared" ca="1" si="470"/>
        <v>0</v>
      </c>
      <c r="L773" s="1022">
        <f t="shared" ca="1" si="470"/>
        <v>0</v>
      </c>
      <c r="M773" s="1022">
        <f t="shared" ca="1" si="470"/>
        <v>0</v>
      </c>
      <c r="N773" s="1247">
        <f t="shared" ca="1" si="470"/>
        <v>0</v>
      </c>
      <c r="O773" s="326"/>
      <c r="P773" s="324" t="s">
        <v>118</v>
      </c>
    </row>
    <row r="774" spans="1:16" ht="13" customHeight="1" x14ac:dyDescent="0.35">
      <c r="A774" s="235"/>
      <c r="B774" s="450"/>
      <c r="C774" s="439" t="s">
        <v>934</v>
      </c>
      <c r="D774" s="1116"/>
      <c r="E774" s="439" t="s">
        <v>935</v>
      </c>
      <c r="F774" s="1021"/>
      <c r="G774" s="1053">
        <f t="shared" ref="G774:N774" ca="1" si="471">OFFSET(G774,0,-1)+IF(InvFileType&lt;&gt;2,G$668+G$669+G$670+G$492+OFFSET($E$683,0,G$8)-G1090+G$684-G$688+G$696-G$700+OFFSET($E$691,0,G$8)-SUM(G$1169:G$1199),G$702)-OFFSET($E$568,0,G$8)+G$1110+IF(InvFileType&lt;&gt;2,G$1236+G$1238,0)+IF(InvFileType&lt;&gt;2,G$1237,0)+G$1275</f>
        <v>0</v>
      </c>
      <c r="H774" s="1053">
        <f t="shared" ca="1" si="471"/>
        <v>-23589645.559880517</v>
      </c>
      <c r="I774" s="1053">
        <f t="shared" ca="1" si="471"/>
        <v>-7249493.0042049922</v>
      </c>
      <c r="J774" s="1053">
        <f t="shared" ca="1" si="471"/>
        <v>-1504517.8772548549</v>
      </c>
      <c r="K774" s="1053">
        <f t="shared" ca="1" si="471"/>
        <v>6942985.4345090631</v>
      </c>
      <c r="L774" s="1053">
        <f t="shared" ca="1" si="471"/>
        <v>18262319.952357367</v>
      </c>
      <c r="M774" s="1053">
        <f t="shared" ca="1" si="471"/>
        <v>33401597.082424667</v>
      </c>
      <c r="N774" s="1048">
        <f t="shared" ca="1" si="471"/>
        <v>46391295.337819979</v>
      </c>
      <c r="O774" s="460"/>
      <c r="P774" s="324" t="s">
        <v>121</v>
      </c>
    </row>
    <row r="775" spans="1:16" ht="13" customHeight="1" x14ac:dyDescent="0.35">
      <c r="A775" s="235"/>
      <c r="B775" s="527"/>
      <c r="C775" s="515" t="str">
        <f>"Total "&amp;B768</f>
        <v>Total Current Assets</v>
      </c>
      <c r="D775" s="1119"/>
      <c r="E775" s="515" t="s">
        <v>936</v>
      </c>
      <c r="F775" s="1052">
        <f ca="1">OFFSET($E$769,0,F$8)+OFFSET($E$770,0,F$8)+OFFSET($E$771,0,F$8)+OFFSET($E$772,0,F$8)+OFFSET($E$773,0,F$8)+OFFSET($E$774,0,F$8)</f>
        <v>0</v>
      </c>
      <c r="G775" s="1052">
        <f ca="1">G$769+G$770+G$771+G$772+G$773+G$774</f>
        <v>0</v>
      </c>
      <c r="H775" s="1052">
        <f t="shared" ref="H775:N775" ca="1" si="472">H$769+H$770+H$771+H$772+H$773+H$774</f>
        <v>-1406569.4307339042</v>
      </c>
      <c r="I775" s="1052">
        <f t="shared" ca="1" si="472"/>
        <v>-377082.08458588552</v>
      </c>
      <c r="J775" s="1052">
        <f t="shared" ca="1" si="472"/>
        <v>6914185.499278551</v>
      </c>
      <c r="K775" s="1052">
        <f t="shared" ca="1" si="472"/>
        <v>17255897.070762485</v>
      </c>
      <c r="L775" s="1052">
        <f t="shared" ca="1" si="472"/>
        <v>30895636.706767809</v>
      </c>
      <c r="M775" s="1052">
        <f t="shared" ca="1" si="472"/>
        <v>48877410.106577456</v>
      </c>
      <c r="N775" s="561">
        <f t="shared" ca="1" si="472"/>
        <v>46391295.337819979</v>
      </c>
      <c r="O775" s="326"/>
      <c r="P775" s="324" t="s">
        <v>71</v>
      </c>
    </row>
    <row r="776" spans="1:16" ht="13" customHeight="1" x14ac:dyDescent="0.35">
      <c r="A776" s="235"/>
      <c r="B776" s="520" t="s">
        <v>839</v>
      </c>
      <c r="C776" s="521"/>
      <c r="D776" s="1120"/>
      <c r="E776" s="521" t="s">
        <v>937</v>
      </c>
      <c r="F776" s="1054">
        <f t="shared" ref="F776:N776" ca="1" si="473">F767+F775</f>
        <v>0</v>
      </c>
      <c r="G776" s="1054">
        <f t="shared" ca="1" si="473"/>
        <v>0</v>
      </c>
      <c r="H776" s="1054">
        <f t="shared" ca="1" si="473"/>
        <v>6460430.5692660958</v>
      </c>
      <c r="I776" s="1054">
        <f t="shared" ca="1" si="473"/>
        <v>6582792.9154141145</v>
      </c>
      <c r="J776" s="1054">
        <f t="shared" ca="1" si="473"/>
        <v>13345216.749278551</v>
      </c>
      <c r="K776" s="1054">
        <f t="shared" ca="1" si="473"/>
        <v>23019920.508262485</v>
      </c>
      <c r="L776" s="1054">
        <f t="shared" ca="1" si="473"/>
        <v>36192779.284892812</v>
      </c>
      <c r="M776" s="1054">
        <f t="shared" ref="M776" ca="1" si="474">M767+M775</f>
        <v>53646829.540171206</v>
      </c>
      <c r="N776" s="562">
        <f t="shared" ca="1" si="473"/>
        <v>46391295.337819979</v>
      </c>
      <c r="O776" s="326"/>
      <c r="P776" s="324" t="s">
        <v>71</v>
      </c>
    </row>
    <row r="777" spans="1:16" ht="12.75" hidden="1" customHeight="1" x14ac:dyDescent="0.35">
      <c r="A777" s="563"/>
      <c r="B777" s="564" t="str">
        <f ca="1">IF(IFRSAlloc01&gt;0,$B$518&amp;" "&amp;INDEX(IFRSallocDD,IFRSAlloc01),SpecsTxt!$H$2&amp;" 1")</f>
        <v>Allocated overvalue 1</v>
      </c>
      <c r="C777" s="565"/>
      <c r="D777" s="1125"/>
      <c r="E777" s="565" t="s">
        <v>938</v>
      </c>
      <c r="F777" s="1076"/>
      <c r="G777" s="1076">
        <f t="shared" ref="G777:N777" ca="1" si="475">IF(GWtype=2,G$351+G$388,0)</f>
        <v>0</v>
      </c>
      <c r="H777" s="1076">
        <f t="shared" ca="1" si="475"/>
        <v>0</v>
      </c>
      <c r="I777" s="1076">
        <f t="shared" ca="1" si="475"/>
        <v>0</v>
      </c>
      <c r="J777" s="1076">
        <f t="shared" ca="1" si="475"/>
        <v>0</v>
      </c>
      <c r="K777" s="1076">
        <f t="shared" ca="1" si="475"/>
        <v>0</v>
      </c>
      <c r="L777" s="1076">
        <f t="shared" ca="1" si="475"/>
        <v>0</v>
      </c>
      <c r="M777" s="1076">
        <f t="shared" ca="1" si="475"/>
        <v>0</v>
      </c>
      <c r="N777" s="566">
        <f t="shared" si="475"/>
        <v>0</v>
      </c>
      <c r="O777" s="567"/>
      <c r="P777" s="324" t="s">
        <v>406</v>
      </c>
    </row>
    <row r="778" spans="1:16" ht="13" hidden="1" customHeight="1" x14ac:dyDescent="0.35">
      <c r="A778" s="563"/>
      <c r="B778" s="528" t="str">
        <f ca="1">IF(IFRSAlloc02&gt;0,$B$518&amp;" "&amp;INDEX(IFRSallocDD,IFRSAlloc02),SpecsTxt!$H$2&amp;" 2")</f>
        <v>Allocated overvalue 2</v>
      </c>
      <c r="C778" s="529"/>
      <c r="D778" s="1126"/>
      <c r="E778" s="529" t="s">
        <v>939</v>
      </c>
      <c r="F778" s="1057"/>
      <c r="G778" s="1057">
        <f t="shared" ref="G778:N778" ca="1" si="476">IF(GWtype=2,G$354+G$391,0)</f>
        <v>0</v>
      </c>
      <c r="H778" s="1057">
        <f t="shared" ca="1" si="476"/>
        <v>0</v>
      </c>
      <c r="I778" s="1057">
        <f t="shared" ca="1" si="476"/>
        <v>0</v>
      </c>
      <c r="J778" s="1057">
        <f t="shared" ca="1" si="476"/>
        <v>0</v>
      </c>
      <c r="K778" s="1057">
        <f t="shared" ca="1" si="476"/>
        <v>0</v>
      </c>
      <c r="L778" s="1057">
        <f t="shared" ca="1" si="476"/>
        <v>0</v>
      </c>
      <c r="M778" s="1057">
        <f t="shared" ca="1" si="476"/>
        <v>0</v>
      </c>
      <c r="N778" s="568">
        <f t="shared" si="476"/>
        <v>0</v>
      </c>
      <c r="O778" s="567"/>
      <c r="P778" s="324" t="s">
        <v>940</v>
      </c>
    </row>
    <row r="779" spans="1:16" ht="13" hidden="1" customHeight="1" x14ac:dyDescent="0.35">
      <c r="A779" s="563"/>
      <c r="B779" s="528" t="str">
        <f ca="1">IF(IFRSAlloc03&gt;0,$B$518&amp;" "&amp;INDEX(IFRSallocDD,IFRSAlloc03),SpecsTxt!$H$2&amp;" 3")</f>
        <v>Allocated overvalue 3</v>
      </c>
      <c r="C779" s="529"/>
      <c r="D779" s="1126"/>
      <c r="E779" s="529" t="s">
        <v>941</v>
      </c>
      <c r="F779" s="1057"/>
      <c r="G779" s="1057">
        <f t="shared" ref="G779:N779" ca="1" si="477">IF(GWtype=2,G$357+G$394,0)</f>
        <v>0</v>
      </c>
      <c r="H779" s="1057">
        <f t="shared" ca="1" si="477"/>
        <v>0</v>
      </c>
      <c r="I779" s="1057">
        <f t="shared" ca="1" si="477"/>
        <v>0</v>
      </c>
      <c r="J779" s="1057">
        <f t="shared" ca="1" si="477"/>
        <v>0</v>
      </c>
      <c r="K779" s="1057">
        <f t="shared" ca="1" si="477"/>
        <v>0</v>
      </c>
      <c r="L779" s="1057">
        <f t="shared" ca="1" si="477"/>
        <v>0</v>
      </c>
      <c r="M779" s="1057">
        <f t="shared" ca="1" si="477"/>
        <v>0</v>
      </c>
      <c r="N779" s="568">
        <f t="shared" si="477"/>
        <v>0</v>
      </c>
      <c r="O779" s="567"/>
      <c r="P779" s="324" t="s">
        <v>940</v>
      </c>
    </row>
    <row r="780" spans="1:16" ht="13" hidden="1" customHeight="1" x14ac:dyDescent="0.35">
      <c r="A780" s="563"/>
      <c r="B780" s="528" t="str">
        <f ca="1">IF(IFRSAlloc04&gt;0,$B$518&amp;" "&amp;INDEX(IFRSallocDD,IFRSAlloc04),SpecsTxt!$H$2&amp;" 4")</f>
        <v>Allocated overvalue 4</v>
      </c>
      <c r="C780" s="529"/>
      <c r="D780" s="1126"/>
      <c r="E780" s="529" t="s">
        <v>942</v>
      </c>
      <c r="F780" s="1057"/>
      <c r="G780" s="1057">
        <f t="shared" ref="G780:N780" ca="1" si="478">IF(GWtype=2,G$360+G$397,0)</f>
        <v>0</v>
      </c>
      <c r="H780" s="1057">
        <f t="shared" ca="1" si="478"/>
        <v>0</v>
      </c>
      <c r="I780" s="1057">
        <f t="shared" ca="1" si="478"/>
        <v>0</v>
      </c>
      <c r="J780" s="1057">
        <f t="shared" ca="1" si="478"/>
        <v>0</v>
      </c>
      <c r="K780" s="1057">
        <f t="shared" ca="1" si="478"/>
        <v>0</v>
      </c>
      <c r="L780" s="1057">
        <f t="shared" ca="1" si="478"/>
        <v>0</v>
      </c>
      <c r="M780" s="1057">
        <f t="shared" ca="1" si="478"/>
        <v>0</v>
      </c>
      <c r="N780" s="568">
        <f t="shared" si="478"/>
        <v>0</v>
      </c>
      <c r="O780" s="567"/>
      <c r="P780" s="324" t="s">
        <v>940</v>
      </c>
    </row>
    <row r="781" spans="1:16" ht="13" hidden="1" customHeight="1" x14ac:dyDescent="0.35">
      <c r="A781" s="563"/>
      <c r="B781" s="528" t="str">
        <f ca="1">IF(IFRSAlloc05&gt;0,$B$518&amp;" "&amp;INDEX(IFRSallocDD,IFRSAlloc05),SpecsTxt!$H$2&amp;" 5")</f>
        <v>Allocated overvalue 5</v>
      </c>
      <c r="C781" s="529"/>
      <c r="D781" s="1126"/>
      <c r="E781" s="529" t="s">
        <v>943</v>
      </c>
      <c r="F781" s="1057"/>
      <c r="G781" s="1057">
        <f t="shared" ref="G781:N781" ca="1" si="479">IF(GWtype=2,G$363+G$400,0)</f>
        <v>0</v>
      </c>
      <c r="H781" s="1057">
        <f t="shared" ca="1" si="479"/>
        <v>0</v>
      </c>
      <c r="I781" s="1057">
        <f t="shared" ca="1" si="479"/>
        <v>0</v>
      </c>
      <c r="J781" s="1057">
        <f t="shared" ca="1" si="479"/>
        <v>0</v>
      </c>
      <c r="K781" s="1057">
        <f t="shared" ca="1" si="479"/>
        <v>0</v>
      </c>
      <c r="L781" s="1057">
        <f t="shared" ca="1" si="479"/>
        <v>0</v>
      </c>
      <c r="M781" s="1057">
        <f t="shared" ca="1" si="479"/>
        <v>0</v>
      </c>
      <c r="N781" s="568">
        <f t="shared" si="479"/>
        <v>0</v>
      </c>
      <c r="O781" s="567"/>
      <c r="P781" s="324" t="s">
        <v>940</v>
      </c>
    </row>
    <row r="782" spans="1:16" ht="13" hidden="1" customHeight="1" x14ac:dyDescent="0.35">
      <c r="A782" s="563"/>
      <c r="B782" s="528" t="str">
        <f ca="1">IF(IFRSAlloc06&gt;0,$B$518&amp;" "&amp;INDEX(IFRSallocDD,IFRSAlloc06),SpecsTxt!$H$2&amp;" 6")</f>
        <v>Allocated overvalue 6</v>
      </c>
      <c r="C782" s="529"/>
      <c r="D782" s="1126"/>
      <c r="E782" s="529" t="s">
        <v>944</v>
      </c>
      <c r="F782" s="1057"/>
      <c r="G782" s="1057">
        <f t="shared" ref="G782:N782" ca="1" si="480">IF(GWtype=2,G$366+G$403,0)</f>
        <v>0</v>
      </c>
      <c r="H782" s="1057">
        <f t="shared" ca="1" si="480"/>
        <v>0</v>
      </c>
      <c r="I782" s="1057">
        <f t="shared" ca="1" si="480"/>
        <v>0</v>
      </c>
      <c r="J782" s="1057">
        <f t="shared" ca="1" si="480"/>
        <v>0</v>
      </c>
      <c r="K782" s="1057">
        <f t="shared" ca="1" si="480"/>
        <v>0</v>
      </c>
      <c r="L782" s="1057">
        <f t="shared" ca="1" si="480"/>
        <v>0</v>
      </c>
      <c r="M782" s="1057">
        <f t="shared" ca="1" si="480"/>
        <v>0</v>
      </c>
      <c r="N782" s="568">
        <f t="shared" si="480"/>
        <v>0</v>
      </c>
      <c r="O782" s="567"/>
      <c r="P782" s="324" t="s">
        <v>940</v>
      </c>
    </row>
    <row r="783" spans="1:16" ht="13" hidden="1" customHeight="1" x14ac:dyDescent="0.35">
      <c r="A783" s="563"/>
      <c r="B783" s="528" t="str">
        <f ca="1">IF(IFRSAlloc07&gt;0,$B$518&amp;" "&amp;INDEX(IFRSallocDD,IFRSAlloc07),SpecsTxt!$H$2&amp;" 7")</f>
        <v>Allocated overvalue 7</v>
      </c>
      <c r="C783" s="529"/>
      <c r="D783" s="1126"/>
      <c r="E783" s="529" t="s">
        <v>945</v>
      </c>
      <c r="F783" s="1057"/>
      <c r="G783" s="1057">
        <f t="shared" ref="G783:N783" ca="1" si="481">IF(GWtype=2,G$369+G$406,0)</f>
        <v>0</v>
      </c>
      <c r="H783" s="1057">
        <f t="shared" ca="1" si="481"/>
        <v>0</v>
      </c>
      <c r="I783" s="1057">
        <f t="shared" ca="1" si="481"/>
        <v>0</v>
      </c>
      <c r="J783" s="1057">
        <f t="shared" ca="1" si="481"/>
        <v>0</v>
      </c>
      <c r="K783" s="1057">
        <f t="shared" ca="1" si="481"/>
        <v>0</v>
      </c>
      <c r="L783" s="1057">
        <f t="shared" ca="1" si="481"/>
        <v>0</v>
      </c>
      <c r="M783" s="1057">
        <f t="shared" ca="1" si="481"/>
        <v>0</v>
      </c>
      <c r="N783" s="568">
        <f t="shared" si="481"/>
        <v>0</v>
      </c>
      <c r="O783" s="567"/>
      <c r="P783" s="324" t="s">
        <v>940</v>
      </c>
    </row>
    <row r="784" spans="1:16" ht="13" hidden="1" customHeight="1" x14ac:dyDescent="0.35">
      <c r="A784" s="563"/>
      <c r="B784" s="528" t="str">
        <f ca="1">IF(IFRSAlloc08&gt;0,$B$518&amp;" "&amp;INDEX(IFRSallocDD,IFRSAlloc08),SpecsTxt!$H$2&amp;" 8")</f>
        <v>Allocated overvalue 8</v>
      </c>
      <c r="C784" s="529"/>
      <c r="D784" s="1126"/>
      <c r="E784" s="529" t="s">
        <v>946</v>
      </c>
      <c r="F784" s="1057"/>
      <c r="G784" s="1057">
        <f t="shared" ref="G784:N784" ca="1" si="482">IF(GWtype=2,G$372+G$409,0)</f>
        <v>0</v>
      </c>
      <c r="H784" s="1057">
        <f t="shared" ca="1" si="482"/>
        <v>0</v>
      </c>
      <c r="I784" s="1057">
        <f t="shared" ca="1" si="482"/>
        <v>0</v>
      </c>
      <c r="J784" s="1057">
        <f t="shared" ca="1" si="482"/>
        <v>0</v>
      </c>
      <c r="K784" s="1057">
        <f t="shared" ca="1" si="482"/>
        <v>0</v>
      </c>
      <c r="L784" s="1057">
        <f t="shared" ca="1" si="482"/>
        <v>0</v>
      </c>
      <c r="M784" s="1057">
        <f t="shared" ca="1" si="482"/>
        <v>0</v>
      </c>
      <c r="N784" s="568">
        <f t="shared" si="482"/>
        <v>0</v>
      </c>
      <c r="O784" s="567"/>
      <c r="P784" s="324" t="s">
        <v>940</v>
      </c>
    </row>
    <row r="785" spans="1:16" ht="13" hidden="1" customHeight="1" x14ac:dyDescent="0.35">
      <c r="A785" s="563"/>
      <c r="B785" s="528" t="str">
        <f ca="1">IF(IFRSAlloc09&gt;0,$B$518&amp;" "&amp;INDEX(IFRSallocDD,IFRSAlloc09),SpecsTxt!$H$2&amp;" 9")</f>
        <v>Allocated overvalue 9</v>
      </c>
      <c r="C785" s="529"/>
      <c r="D785" s="1126"/>
      <c r="E785" s="529" t="s">
        <v>947</v>
      </c>
      <c r="F785" s="1057"/>
      <c r="G785" s="1057">
        <f t="shared" ref="G785:N785" ca="1" si="483">IF(GWtype=2,G$375+G$412,0)</f>
        <v>0</v>
      </c>
      <c r="H785" s="1057">
        <f t="shared" ca="1" si="483"/>
        <v>0</v>
      </c>
      <c r="I785" s="1057">
        <f t="shared" ca="1" si="483"/>
        <v>0</v>
      </c>
      <c r="J785" s="1057">
        <f t="shared" ca="1" si="483"/>
        <v>0</v>
      </c>
      <c r="K785" s="1057">
        <f t="shared" ca="1" si="483"/>
        <v>0</v>
      </c>
      <c r="L785" s="1057">
        <f t="shared" ca="1" si="483"/>
        <v>0</v>
      </c>
      <c r="M785" s="1057">
        <f t="shared" ca="1" si="483"/>
        <v>0</v>
      </c>
      <c r="N785" s="568">
        <f t="shared" si="483"/>
        <v>0</v>
      </c>
      <c r="O785" s="567"/>
      <c r="P785" s="324" t="s">
        <v>940</v>
      </c>
    </row>
    <row r="786" spans="1:16" ht="13" hidden="1" customHeight="1" x14ac:dyDescent="0.35">
      <c r="A786" s="563"/>
      <c r="B786" s="528" t="str">
        <f ca="1">IF(IFRSAlloc10&gt;0,$B$518&amp;" "&amp;INDEX(IFRSallocDD,IFRSAlloc10),SpecsTxt!$H$2&amp;" 10")</f>
        <v>Allocated overvalue 10</v>
      </c>
      <c r="C786" s="529"/>
      <c r="D786" s="1126"/>
      <c r="E786" s="529" t="s">
        <v>948</v>
      </c>
      <c r="F786" s="1057"/>
      <c r="G786" s="1057">
        <f t="shared" ref="G786:N786" ca="1" si="484">IF(GWtype=2,G$378+G$415,0)</f>
        <v>0</v>
      </c>
      <c r="H786" s="1057">
        <f t="shared" ca="1" si="484"/>
        <v>0</v>
      </c>
      <c r="I786" s="1057">
        <f t="shared" ca="1" si="484"/>
        <v>0</v>
      </c>
      <c r="J786" s="1057">
        <f t="shared" ca="1" si="484"/>
        <v>0</v>
      </c>
      <c r="K786" s="1057">
        <f t="shared" ca="1" si="484"/>
        <v>0</v>
      </c>
      <c r="L786" s="1057">
        <f t="shared" ca="1" si="484"/>
        <v>0</v>
      </c>
      <c r="M786" s="1057">
        <f t="shared" ca="1" si="484"/>
        <v>0</v>
      </c>
      <c r="N786" s="568">
        <f t="shared" si="484"/>
        <v>0</v>
      </c>
      <c r="O786" s="567"/>
      <c r="P786" s="324" t="s">
        <v>940</v>
      </c>
    </row>
    <row r="787" spans="1:16" ht="13" hidden="1" customHeight="1" x14ac:dyDescent="0.35">
      <c r="A787" s="563"/>
      <c r="B787" s="528" t="str">
        <f ca="1">IF(IFRSAlloc11&gt;0,$B$518&amp;" "&amp;INDEX(IFRSallocDD,IFRSAlloc11),SpecsTxt!$H$2&amp;" 11")</f>
        <v>Allocated overvalue 11</v>
      </c>
      <c r="C787" s="529"/>
      <c r="D787" s="1126"/>
      <c r="E787" s="529" t="s">
        <v>949</v>
      </c>
      <c r="F787" s="1057"/>
      <c r="G787" s="1057">
        <f t="shared" ref="G787:N787" ca="1" si="485">IF(GWtype=2,G$381+G$418,0)</f>
        <v>0</v>
      </c>
      <c r="H787" s="1057">
        <f t="shared" ca="1" si="485"/>
        <v>0</v>
      </c>
      <c r="I787" s="1057">
        <f t="shared" ca="1" si="485"/>
        <v>0</v>
      </c>
      <c r="J787" s="1057">
        <f t="shared" ca="1" si="485"/>
        <v>0</v>
      </c>
      <c r="K787" s="1057">
        <f t="shared" ca="1" si="485"/>
        <v>0</v>
      </c>
      <c r="L787" s="1057">
        <f t="shared" ca="1" si="485"/>
        <v>0</v>
      </c>
      <c r="M787" s="1057">
        <f t="shared" ca="1" si="485"/>
        <v>0</v>
      </c>
      <c r="N787" s="568">
        <f t="shared" si="485"/>
        <v>0</v>
      </c>
      <c r="O787" s="567"/>
      <c r="P787" s="324" t="s">
        <v>940</v>
      </c>
    </row>
    <row r="788" spans="1:16" ht="13" hidden="1" customHeight="1" x14ac:dyDescent="0.35">
      <c r="A788" s="563"/>
      <c r="B788" s="528" t="str">
        <f ca="1">IF(IFRSAlloc12&gt;0,$B$518&amp;" "&amp;INDEX(IFRSallocDD,IFRSAlloc12),SpecsTxt!$H$2&amp;" 12")</f>
        <v>Allocated overvalue 12</v>
      </c>
      <c r="C788" s="529"/>
      <c r="D788" s="1126"/>
      <c r="E788" s="529" t="s">
        <v>950</v>
      </c>
      <c r="F788" s="1057"/>
      <c r="G788" s="1057">
        <f t="shared" ref="G788:N788" ca="1" si="486">IF(GWtype=2,G$384+G$421,0)</f>
        <v>0</v>
      </c>
      <c r="H788" s="1057">
        <f t="shared" ca="1" si="486"/>
        <v>0</v>
      </c>
      <c r="I788" s="1057">
        <f t="shared" ca="1" si="486"/>
        <v>0</v>
      </c>
      <c r="J788" s="1057">
        <f t="shared" ca="1" si="486"/>
        <v>0</v>
      </c>
      <c r="K788" s="1057">
        <f t="shared" ca="1" si="486"/>
        <v>0</v>
      </c>
      <c r="L788" s="1057">
        <f t="shared" ca="1" si="486"/>
        <v>0</v>
      </c>
      <c r="M788" s="1057">
        <f t="shared" ca="1" si="486"/>
        <v>0</v>
      </c>
      <c r="N788" s="568">
        <f t="shared" si="486"/>
        <v>0</v>
      </c>
      <c r="O788" s="567"/>
      <c r="P788" s="324" t="s">
        <v>940</v>
      </c>
    </row>
    <row r="789" spans="1:16" ht="13" hidden="1" customHeight="1" x14ac:dyDescent="0.35">
      <c r="A789" s="439"/>
      <c r="B789" s="569" t="s">
        <v>951</v>
      </c>
      <c r="C789" s="529"/>
      <c r="D789" s="1127"/>
      <c r="E789" s="354" t="s">
        <v>952</v>
      </c>
      <c r="F789" s="1077"/>
      <c r="G789" s="1077">
        <f t="shared" ref="G789:M789" ca="1" si="487">G$426</f>
        <v>0</v>
      </c>
      <c r="H789" s="1077">
        <f t="shared" ca="1" si="487"/>
        <v>0</v>
      </c>
      <c r="I789" s="1077">
        <f t="shared" ca="1" si="487"/>
        <v>0</v>
      </c>
      <c r="J789" s="1077">
        <f t="shared" ca="1" si="487"/>
        <v>0</v>
      </c>
      <c r="K789" s="1077">
        <f t="shared" ca="1" si="487"/>
        <v>0</v>
      </c>
      <c r="L789" s="1077">
        <f t="shared" ca="1" si="487"/>
        <v>0</v>
      </c>
      <c r="M789" s="1077">
        <f t="shared" ca="1" si="487"/>
        <v>0</v>
      </c>
      <c r="N789" s="570">
        <f ca="1">OFFSET(N789,0,-1)</f>
        <v>0</v>
      </c>
      <c r="O789" s="386"/>
      <c r="P789" s="324" t="s">
        <v>406</v>
      </c>
    </row>
    <row r="790" spans="1:16" ht="13" hidden="1" customHeight="1" x14ac:dyDescent="0.35">
      <c r="A790" s="235"/>
      <c r="B790" s="571" t="s">
        <v>953</v>
      </c>
      <c r="C790" s="572"/>
      <c r="D790" s="1128"/>
      <c r="E790" s="595" t="s">
        <v>954</v>
      </c>
      <c r="F790" s="1078"/>
      <c r="G790" s="1078">
        <f ca="1">OFFSET(G790,0,-1)+G$329+G$330+G$332+G$700+G$688+G$432+G$674+G1090</f>
        <v>0</v>
      </c>
      <c r="H790" s="1078">
        <f t="shared" ref="H790:N790" ca="1" si="488">OFFSET(H790,0,-1)+H$329+H$330+H$332+H$700+H$688+H$432+H$674+H1090</f>
        <v>0</v>
      </c>
      <c r="I790" s="1078">
        <f t="shared" ca="1" si="488"/>
        <v>0</v>
      </c>
      <c r="J790" s="1078">
        <f t="shared" ca="1" si="488"/>
        <v>0</v>
      </c>
      <c r="K790" s="1078">
        <f t="shared" ca="1" si="488"/>
        <v>0</v>
      </c>
      <c r="L790" s="1078">
        <f t="shared" ca="1" si="488"/>
        <v>0</v>
      </c>
      <c r="M790" s="1078">
        <f t="shared" ref="M790" ca="1" si="489">OFFSET(M790,0,-1)+M$329+M$330+M$332+M$700+M$688+M$432+M$674+M1090</f>
        <v>0</v>
      </c>
      <c r="N790" s="573">
        <f t="shared" ca="1" si="488"/>
        <v>0</v>
      </c>
      <c r="O790" s="326"/>
      <c r="P790" s="324" t="s">
        <v>406</v>
      </c>
    </row>
    <row r="791" spans="1:16" ht="13" hidden="1" customHeight="1" x14ac:dyDescent="0.35">
      <c r="A791" s="235"/>
      <c r="B791" s="574" t="s">
        <v>955</v>
      </c>
      <c r="C791" s="575"/>
      <c r="D791" s="1129"/>
      <c r="E791" s="521" t="s">
        <v>956</v>
      </c>
      <c r="F791" s="1079"/>
      <c r="G791" s="1080">
        <f t="shared" ref="G791:N791" ca="1" si="490">SUM(G$776:G$790)</f>
        <v>0</v>
      </c>
      <c r="H791" s="1080">
        <f t="shared" ca="1" si="490"/>
        <v>6460430.5692660958</v>
      </c>
      <c r="I791" s="1080">
        <f t="shared" ca="1" si="490"/>
        <v>6582792.9154141145</v>
      </c>
      <c r="J791" s="1080">
        <f t="shared" ca="1" si="490"/>
        <v>13345216.749278551</v>
      </c>
      <c r="K791" s="1080">
        <f t="shared" ca="1" si="490"/>
        <v>23019920.508262485</v>
      </c>
      <c r="L791" s="1080">
        <f t="shared" ca="1" si="490"/>
        <v>36192779.284892812</v>
      </c>
      <c r="M791" s="1080">
        <f t="shared" ca="1" si="490"/>
        <v>53646829.540171206</v>
      </c>
      <c r="N791" s="576">
        <f t="shared" ca="1" si="490"/>
        <v>46391295.337819979</v>
      </c>
      <c r="O791" s="326"/>
      <c r="P791" s="324" t="s">
        <v>406</v>
      </c>
    </row>
    <row r="792" spans="1:16" ht="5.15" hidden="1" customHeight="1" x14ac:dyDescent="0.35">
      <c r="A792" s="235"/>
      <c r="B792" s="521"/>
      <c r="C792" s="521"/>
      <c r="D792" s="577"/>
      <c r="E792" s="578" t="s">
        <v>39</v>
      </c>
      <c r="F792" s="577"/>
      <c r="G792" s="577"/>
      <c r="H792" s="577"/>
      <c r="I792" s="577"/>
      <c r="J792" s="577"/>
      <c r="K792" s="577"/>
      <c r="L792" s="577"/>
      <c r="M792" s="577"/>
      <c r="N792" s="562"/>
      <c r="O792" s="326"/>
      <c r="P792" s="324" t="s">
        <v>40</v>
      </c>
    </row>
    <row r="793" spans="1:16" ht="13" customHeight="1" x14ac:dyDescent="0.35">
      <c r="A793" s="235"/>
      <c r="B793" s="526" t="s">
        <v>957</v>
      </c>
      <c r="C793" s="508"/>
      <c r="D793" s="1110"/>
      <c r="E793" s="508" t="s">
        <v>958</v>
      </c>
      <c r="F793" s="1049">
        <f t="shared" ref="F793:N793" ca="1" si="491">F$823</f>
        <v>0</v>
      </c>
      <c r="G793" s="1049">
        <f t="shared" ca="1" si="491"/>
        <v>0</v>
      </c>
      <c r="H793" s="1049">
        <f t="shared" ca="1" si="491"/>
        <v>6460430.5692660967</v>
      </c>
      <c r="I793" s="1049">
        <f t="shared" ca="1" si="491"/>
        <v>6582792.9154141173</v>
      </c>
      <c r="J793" s="1049">
        <f t="shared" ca="1" si="491"/>
        <v>13345216.749278553</v>
      </c>
      <c r="K793" s="1049">
        <f t="shared" ca="1" si="491"/>
        <v>23019920.508262489</v>
      </c>
      <c r="L793" s="1049">
        <f t="shared" ca="1" si="491"/>
        <v>36192779.284892812</v>
      </c>
      <c r="M793" s="1049">
        <f t="shared" ca="1" si="491"/>
        <v>53646829.540171206</v>
      </c>
      <c r="N793" s="1047">
        <f t="shared" ca="1" si="491"/>
        <v>46391295.337819979</v>
      </c>
      <c r="O793" s="326"/>
      <c r="P793" s="324" t="s">
        <v>71</v>
      </c>
    </row>
    <row r="794" spans="1:16" ht="13" customHeight="1" x14ac:dyDescent="0.35">
      <c r="A794" s="235"/>
      <c r="B794" s="450" t="s">
        <v>959</v>
      </c>
      <c r="C794" s="439"/>
      <c r="D794" s="1111"/>
      <c r="E794" s="439" t="s">
        <v>960</v>
      </c>
      <c r="F794" s="1032">
        <f t="shared" ref="F794:N794" ca="1" si="492">F$800</f>
        <v>0</v>
      </c>
      <c r="G794" s="1032">
        <f t="shared" ca="1" si="492"/>
        <v>0</v>
      </c>
      <c r="H794" s="1032">
        <f t="shared" ca="1" si="492"/>
        <v>728741.28539849073</v>
      </c>
      <c r="I794" s="1032">
        <f t="shared" ca="1" si="492"/>
        <v>4782686.7525094226</v>
      </c>
      <c r="J794" s="1032">
        <f t="shared" ca="1" si="492"/>
        <v>11140086.699720303</v>
      </c>
      <c r="K794" s="1032">
        <f t="shared" ca="1" si="492"/>
        <v>20318636.197553631</v>
      </c>
      <c r="L794" s="1032">
        <f t="shared" ca="1" si="492"/>
        <v>32883706.004274458</v>
      </c>
      <c r="M794" s="1032">
        <f t="shared" ca="1" si="492"/>
        <v>49593214.771413729</v>
      </c>
      <c r="N794" s="1011">
        <f t="shared" ca="1" si="492"/>
        <v>46391295.337819979</v>
      </c>
      <c r="O794" s="326"/>
      <c r="P794" s="324" t="s">
        <v>71</v>
      </c>
    </row>
    <row r="795" spans="1:16" ht="13" customHeight="1" x14ac:dyDescent="0.35">
      <c r="A795" s="235"/>
      <c r="B795" s="450"/>
      <c r="C795" s="439" t="s">
        <v>425</v>
      </c>
      <c r="D795" s="1112"/>
      <c r="E795" s="439" t="s">
        <v>961</v>
      </c>
      <c r="F795" s="1021"/>
      <c r="G795" s="1022">
        <f t="shared" ref="G795:N795" ca="1" si="493">OFFSET(G795,0,-1)+OFFSET($E$697,0,G$8)+G$1109+G$1276</f>
        <v>0</v>
      </c>
      <c r="H795" s="1022">
        <f t="shared" ca="1" si="493"/>
        <v>0</v>
      </c>
      <c r="I795" s="1022">
        <f t="shared" ca="1" si="493"/>
        <v>0</v>
      </c>
      <c r="J795" s="1022">
        <f t="shared" ca="1" si="493"/>
        <v>0</v>
      </c>
      <c r="K795" s="1022">
        <f t="shared" ca="1" si="493"/>
        <v>0</v>
      </c>
      <c r="L795" s="1022">
        <f t="shared" ca="1" si="493"/>
        <v>0</v>
      </c>
      <c r="M795" s="1022">
        <f t="shared" ca="1" si="493"/>
        <v>0</v>
      </c>
      <c r="N795" s="516">
        <f t="shared" ca="1" si="493"/>
        <v>0</v>
      </c>
      <c r="O795" s="326"/>
      <c r="P795" s="324" t="s">
        <v>121</v>
      </c>
    </row>
    <row r="796" spans="1:16" ht="13" customHeight="1" x14ac:dyDescent="0.35">
      <c r="A796" s="235"/>
      <c r="B796" s="450"/>
      <c r="C796" s="439" t="s">
        <v>428</v>
      </c>
      <c r="D796" s="1112"/>
      <c r="E796" s="439" t="s">
        <v>962</v>
      </c>
      <c r="F796" s="1021"/>
      <c r="G796" s="1022">
        <f t="shared" ref="G796:N796" ca="1" si="494">OFFSET(G796,0,-1)+OFFSET($E$698,0,G$8)+G$1110+G$1277</f>
        <v>0</v>
      </c>
      <c r="H796" s="1022">
        <f t="shared" ca="1" si="494"/>
        <v>0</v>
      </c>
      <c r="I796" s="1022">
        <f t="shared" ca="1" si="494"/>
        <v>0</v>
      </c>
      <c r="J796" s="1022">
        <f t="shared" ca="1" si="494"/>
        <v>0</v>
      </c>
      <c r="K796" s="1022">
        <f t="shared" ca="1" si="494"/>
        <v>0</v>
      </c>
      <c r="L796" s="1022">
        <f t="shared" ca="1" si="494"/>
        <v>0</v>
      </c>
      <c r="M796" s="1022">
        <f t="shared" ca="1" si="494"/>
        <v>0</v>
      </c>
      <c r="N796" s="516">
        <f t="shared" ca="1" si="494"/>
        <v>0</v>
      </c>
      <c r="O796" s="326"/>
      <c r="P796" s="324" t="s">
        <v>121</v>
      </c>
    </row>
    <row r="797" spans="1:16" ht="13" customHeight="1" x14ac:dyDescent="0.35">
      <c r="A797" s="235"/>
      <c r="B797" s="450"/>
      <c r="C797" s="439" t="s">
        <v>430</v>
      </c>
      <c r="D797" s="1112"/>
      <c r="E797" s="439" t="s">
        <v>963</v>
      </c>
      <c r="F797" s="1021"/>
      <c r="G797" s="1022">
        <f t="shared" ref="G797:M797" ca="1" si="495">OFFSET(G797,0,-1)+OFFSET($E$699,0,G$8)+G$1111+IF(InvFileType=2,IF(G$1128&gt;0,G$1128,0),0)+G$1278</f>
        <v>0</v>
      </c>
      <c r="H797" s="1022">
        <f t="shared" ca="1" si="495"/>
        <v>0</v>
      </c>
      <c r="I797" s="1022">
        <f t="shared" ca="1" si="495"/>
        <v>0</v>
      </c>
      <c r="J797" s="1022">
        <f t="shared" ca="1" si="495"/>
        <v>0</v>
      </c>
      <c r="K797" s="1022">
        <f t="shared" ca="1" si="495"/>
        <v>0</v>
      </c>
      <c r="L797" s="1022">
        <f t="shared" ca="1" si="495"/>
        <v>0</v>
      </c>
      <c r="M797" s="1022">
        <f t="shared" ca="1" si="495"/>
        <v>0</v>
      </c>
      <c r="N797" s="516">
        <f ca="1">OFFSET(N797,0,-1)+OFFSET($E$699,0,N$8)+N$1111+N$1278</f>
        <v>0</v>
      </c>
      <c r="O797" s="326"/>
      <c r="P797" s="324" t="s">
        <v>121</v>
      </c>
    </row>
    <row r="798" spans="1:16" ht="13" customHeight="1" x14ac:dyDescent="0.35">
      <c r="A798" s="235"/>
      <c r="B798" s="450"/>
      <c r="C798" s="439" t="s">
        <v>432</v>
      </c>
      <c r="D798" s="1112"/>
      <c r="E798" s="439" t="s">
        <v>964</v>
      </c>
      <c r="F798" s="1021"/>
      <c r="G798" s="1022">
        <f ca="1">IF(RIGHT(OFFSET(G$6,0,-1),6)=RIGHT(G$6,6),0,OFFSET(G799,0,-1))+OFFSET(G798,0,-1)+OFFSET($E$701,0,G$8)+G$1112-G$1169+IF(InvFileType=2,G$825,0)+G$1279</f>
        <v>0</v>
      </c>
      <c r="H798" s="1022">
        <f t="shared" ref="H798:M798" ca="1" si="496">IF(OR(OFFSET(H$1,0,-1)=FinMonth,OFFSET(H$16,0,-1)=LastPeriod),OFFSET(H799,0,-1),0)+OFFSET($E$701,0,H$8)+OFFSET(H798,0,-1)+H$1112-H$1169-IF(InvFileType=2,OFFSET(H$926,0,-1),0)+IF(InvFileType=2,OFFSET(H$926,0,-2)+IF(AND(H$1=FinMonth,H$5&lt;&gt;1),OFFSET(H$825,0,-1)-OFFSET(H$825,0,-2),0),0)+H$1279</f>
        <v>0</v>
      </c>
      <c r="I798" s="1022">
        <f t="shared" ca="1" si="496"/>
        <v>728741.28539849073</v>
      </c>
      <c r="J798" s="1022">
        <f t="shared" ca="1" si="496"/>
        <v>4782686.7525094226</v>
      </c>
      <c r="K798" s="1022">
        <f t="shared" ca="1" si="496"/>
        <v>11140086.699720303</v>
      </c>
      <c r="L798" s="1022">
        <f t="shared" ca="1" si="496"/>
        <v>20318636.197553631</v>
      </c>
      <c r="M798" s="1022">
        <f t="shared" ca="1" si="496"/>
        <v>32883706.004274458</v>
      </c>
      <c r="N798" s="516">
        <f ca="1">OFFSET(N798,0,-1)+OFFSET($E$701,0,N$8)+N$1112+N$1279</f>
        <v>32883706.004274458</v>
      </c>
      <c r="O798" s="326"/>
      <c r="P798" s="324" t="s">
        <v>121</v>
      </c>
    </row>
    <row r="799" spans="1:16" ht="13" customHeight="1" x14ac:dyDescent="0.35">
      <c r="A799" s="235"/>
      <c r="B799" s="450"/>
      <c r="C799" s="439" t="s">
        <v>434</v>
      </c>
      <c r="D799" s="1113"/>
      <c r="E799" s="511" t="s">
        <v>965</v>
      </c>
      <c r="F799" s="1053">
        <f ca="1">F507</f>
        <v>0</v>
      </c>
      <c r="G799" s="1053">
        <f>IF(OR(AND(G$5=0,NoZeroCol=1),AND(G$5=-99,NoResCol=1)),0,G507+G1113)</f>
        <v>0</v>
      </c>
      <c r="H799" s="1053">
        <f t="shared" ref="H799:N799" ca="1" si="497">IF(OR(AND(H$5=0,NoZeroCol=1),AND(H$5=-99,NoResCol=1)),0,H507+H1113)</f>
        <v>728741.28539849073</v>
      </c>
      <c r="I799" s="1053">
        <f t="shared" ca="1" si="497"/>
        <v>4053945.4671109319</v>
      </c>
      <c r="J799" s="1053">
        <f t="shared" ca="1" si="497"/>
        <v>6357399.94721088</v>
      </c>
      <c r="K799" s="1053">
        <f t="shared" ca="1" si="497"/>
        <v>9178549.4978333283</v>
      </c>
      <c r="L799" s="1053">
        <f t="shared" ca="1" si="497"/>
        <v>12565069.806720827</v>
      </c>
      <c r="M799" s="1053">
        <f t="shared" ref="M799" ca="1" si="498">IF(OR(AND(M$5=0,NoZeroCol=1),AND(M$5=-99,NoResCol=1)),0,M507+M1113)</f>
        <v>16709508.767139271</v>
      </c>
      <c r="N799" s="1048">
        <f t="shared" ca="1" si="497"/>
        <v>13507589.333545521</v>
      </c>
      <c r="O799" s="326"/>
      <c r="P799" s="324" t="s">
        <v>121</v>
      </c>
    </row>
    <row r="800" spans="1:16" ht="13" customHeight="1" x14ac:dyDescent="0.35">
      <c r="A800" s="235"/>
      <c r="B800" s="450"/>
      <c r="C800" s="508" t="s">
        <v>966</v>
      </c>
      <c r="D800" s="1114"/>
      <c r="E800" s="508" t="s">
        <v>967</v>
      </c>
      <c r="F800" s="1050">
        <f t="shared" ref="F800:N800" ca="1" si="499">OFFSET($E$795,0,F$8)+OFFSET($E$796,0,F$8)+OFFSET($E$797,0,F$8)+OFFSET($E$798,0,F$8)+F799</f>
        <v>0</v>
      </c>
      <c r="G800" s="1050">
        <f t="shared" ca="1" si="499"/>
        <v>0</v>
      </c>
      <c r="H800" s="1050">
        <f t="shared" ca="1" si="499"/>
        <v>728741.28539849073</v>
      </c>
      <c r="I800" s="1050">
        <f t="shared" ca="1" si="499"/>
        <v>4782686.7525094226</v>
      </c>
      <c r="J800" s="1050">
        <f t="shared" ca="1" si="499"/>
        <v>11140086.699720303</v>
      </c>
      <c r="K800" s="1050">
        <f t="shared" ca="1" si="499"/>
        <v>20318636.197553631</v>
      </c>
      <c r="L800" s="1050">
        <f t="shared" ca="1" si="499"/>
        <v>32883706.004274458</v>
      </c>
      <c r="M800" s="1050">
        <f t="shared" ref="M800" ca="1" si="500">OFFSET($E$795,0,M$8)+OFFSET($E$796,0,M$8)+OFFSET($E$797,0,M$8)+OFFSET($E$798,0,M$8)+M799</f>
        <v>49593214.771413729</v>
      </c>
      <c r="N800" s="559">
        <f t="shared" ca="1" si="499"/>
        <v>46391295.337819979</v>
      </c>
      <c r="O800" s="326"/>
      <c r="P800" s="324" t="s">
        <v>71</v>
      </c>
    </row>
    <row r="801" spans="1:16" ht="13" customHeight="1" x14ac:dyDescent="0.35">
      <c r="A801" s="235"/>
      <c r="B801" s="450" t="s">
        <v>968</v>
      </c>
      <c r="C801" s="439"/>
      <c r="D801" s="1112"/>
      <c r="E801" s="439" t="s">
        <v>969</v>
      </c>
      <c r="F801" s="1021"/>
      <c r="G801" s="1022">
        <f t="shared" ref="G801:N801" ca="1" si="501">OFFSET(G801,0,-1)-IF(OR(AND(G$5=0,NoZeroCol=1),AND(G$5=-99,NoResCol=1)),0,OFFSET($E$500,0,G$8))+G$1114+G$1280</f>
        <v>0</v>
      </c>
      <c r="H801" s="1022">
        <f t="shared" ca="1" si="501"/>
        <v>0</v>
      </c>
      <c r="I801" s="1022">
        <f t="shared" ca="1" si="501"/>
        <v>0</v>
      </c>
      <c r="J801" s="1022">
        <f t="shared" ca="1" si="501"/>
        <v>0</v>
      </c>
      <c r="K801" s="1022">
        <f t="shared" ca="1" si="501"/>
        <v>0</v>
      </c>
      <c r="L801" s="1022">
        <f t="shared" ca="1" si="501"/>
        <v>0</v>
      </c>
      <c r="M801" s="1022">
        <f t="shared" ca="1" si="501"/>
        <v>0</v>
      </c>
      <c r="N801" s="516">
        <f t="shared" ca="1" si="501"/>
        <v>0</v>
      </c>
      <c r="O801" s="326"/>
      <c r="P801" s="324" t="s">
        <v>71</v>
      </c>
    </row>
    <row r="802" spans="1:16" ht="13" customHeight="1" x14ac:dyDescent="0.35">
      <c r="A802" s="235"/>
      <c r="B802" s="450" t="s">
        <v>970</v>
      </c>
      <c r="C802" s="439"/>
      <c r="D802" s="1112"/>
      <c r="E802" s="439" t="s">
        <v>971</v>
      </c>
      <c r="F802" s="1021"/>
      <c r="G802" s="1022">
        <f t="shared" ref="G802:N802" ca="1" si="502">OFFSET(G802,0,-1)-IF(OR(AND(G$5=0,NoZeroCol=1),AND(G$5=-99,NoResCol=1)),0,OFFSET($E$481,0,G$8))+G$1115+G$1281</f>
        <v>0</v>
      </c>
      <c r="H802" s="1022">
        <f t="shared" ca="1" si="502"/>
        <v>0</v>
      </c>
      <c r="I802" s="1022">
        <f t="shared" ca="1" si="502"/>
        <v>0</v>
      </c>
      <c r="J802" s="1022">
        <f t="shared" ca="1" si="502"/>
        <v>0</v>
      </c>
      <c r="K802" s="1022">
        <f t="shared" ca="1" si="502"/>
        <v>0</v>
      </c>
      <c r="L802" s="1022">
        <f t="shared" ca="1" si="502"/>
        <v>0</v>
      </c>
      <c r="M802" s="1022">
        <f t="shared" ca="1" si="502"/>
        <v>0</v>
      </c>
      <c r="N802" s="516">
        <f t="shared" ca="1" si="502"/>
        <v>0</v>
      </c>
      <c r="O802" s="326"/>
      <c r="P802" s="324" t="s">
        <v>71</v>
      </c>
    </row>
    <row r="803" spans="1:16" ht="13" customHeight="1" x14ac:dyDescent="0.35">
      <c r="A803" s="235"/>
      <c r="B803" s="450" t="s">
        <v>633</v>
      </c>
      <c r="C803" s="439"/>
      <c r="D803" s="1112"/>
      <c r="E803" s="439" t="s">
        <v>972</v>
      </c>
      <c r="F803" s="1021"/>
      <c r="G803" s="1022">
        <f t="shared" ref="G803:N803" ca="1" si="503">OFFSET(G803,0,-1)-IF(OR(AND(G$5=0,NoZeroCol=1),AND(G$5=-99,NoResCol=1)),0,OFFSET($E$505,0,G$8))+G$1116+G$1282</f>
        <v>0</v>
      </c>
      <c r="H803" s="1022">
        <f t="shared" ca="1" si="503"/>
        <v>0</v>
      </c>
      <c r="I803" s="1022">
        <f t="shared" ca="1" si="503"/>
        <v>0</v>
      </c>
      <c r="J803" s="1022">
        <f t="shared" ca="1" si="503"/>
        <v>0</v>
      </c>
      <c r="K803" s="1022">
        <f t="shared" ca="1" si="503"/>
        <v>0</v>
      </c>
      <c r="L803" s="1022">
        <f t="shared" ca="1" si="503"/>
        <v>0</v>
      </c>
      <c r="M803" s="1022">
        <f t="shared" ca="1" si="503"/>
        <v>0</v>
      </c>
      <c r="N803" s="516">
        <f t="shared" ca="1" si="503"/>
        <v>0</v>
      </c>
      <c r="O803" s="326"/>
      <c r="P803" s="324" t="s">
        <v>71</v>
      </c>
    </row>
    <row r="804" spans="1:16" ht="13" customHeight="1" x14ac:dyDescent="0.35">
      <c r="A804" s="235"/>
      <c r="B804" s="450" t="s">
        <v>973</v>
      </c>
      <c r="C804" s="439"/>
      <c r="D804" s="1111"/>
      <c r="E804" s="439" t="s">
        <v>974</v>
      </c>
      <c r="F804" s="1032">
        <f t="shared" ref="F804:N804" ca="1" si="504">F822</f>
        <v>0</v>
      </c>
      <c r="G804" s="1032">
        <f t="shared" ca="1" si="504"/>
        <v>0</v>
      </c>
      <c r="H804" s="1032">
        <f t="shared" ca="1" si="504"/>
        <v>5731689.283867606</v>
      </c>
      <c r="I804" s="1032">
        <f t="shared" ca="1" si="504"/>
        <v>1800106.1629046947</v>
      </c>
      <c r="J804" s="1032">
        <f t="shared" ca="1" si="504"/>
        <v>2205130.0495582512</v>
      </c>
      <c r="K804" s="1032">
        <f t="shared" ca="1" si="504"/>
        <v>2701284.3107088581</v>
      </c>
      <c r="L804" s="1032">
        <f t="shared" ca="1" si="504"/>
        <v>3309073.280618351</v>
      </c>
      <c r="M804" s="1032">
        <f t="shared" ref="M804" ca="1" si="505">M822</f>
        <v>4053614.7687574802</v>
      </c>
      <c r="N804" s="1011">
        <f t="shared" ca="1" si="504"/>
        <v>0</v>
      </c>
      <c r="O804" s="326"/>
      <c r="P804" s="324" t="s">
        <v>71</v>
      </c>
    </row>
    <row r="805" spans="1:16" ht="13" customHeight="1" x14ac:dyDescent="0.35">
      <c r="A805" s="235"/>
      <c r="B805" s="450"/>
      <c r="C805" s="439" t="s">
        <v>975</v>
      </c>
      <c r="D805" s="1112"/>
      <c r="E805" s="439" t="s">
        <v>976</v>
      </c>
      <c r="F805" s="1022">
        <f ca="1">OFFSET($E$806,0,F$8)+OFFSET($E$807,0,F$8)+OFFSET($E$808,0,F$8)+OFFSET($E$809,0,F$8)+OFFSET($E$810,0,F$8)</f>
        <v>0</v>
      </c>
      <c r="G805" s="1022">
        <f ca="1">G806+G807+G808+G809+G810</f>
        <v>0</v>
      </c>
      <c r="H805" s="1022">
        <f t="shared" ref="H805:N805" ca="1" si="506">H806+H807+H808+H809+H810</f>
        <v>0</v>
      </c>
      <c r="I805" s="1022">
        <f t="shared" ca="1" si="506"/>
        <v>0</v>
      </c>
      <c r="J805" s="1022">
        <f t="shared" ca="1" si="506"/>
        <v>0</v>
      </c>
      <c r="K805" s="1022">
        <f t="shared" ca="1" si="506"/>
        <v>0</v>
      </c>
      <c r="L805" s="1022">
        <f t="shared" ca="1" si="506"/>
        <v>0</v>
      </c>
      <c r="M805" s="1022">
        <f t="shared" ref="M805" ca="1" si="507">M806+M807+M808+M809+M810</f>
        <v>0</v>
      </c>
      <c r="N805" s="1247">
        <f t="shared" ca="1" si="506"/>
        <v>0</v>
      </c>
      <c r="O805" s="326"/>
      <c r="P805" s="324" t="s">
        <v>121</v>
      </c>
    </row>
    <row r="806" spans="1:16" ht="13" hidden="1" customHeight="1" x14ac:dyDescent="0.35">
      <c r="A806" s="235"/>
      <c r="B806" s="450"/>
      <c r="C806" s="537" t="s">
        <v>977</v>
      </c>
      <c r="D806" s="1115"/>
      <c r="E806" s="508" t="s">
        <v>978</v>
      </c>
      <c r="F806" s="1051"/>
      <c r="G806" s="1050">
        <f t="shared" ref="G806:N806" ca="1" si="508">OFFSET(G806,0,-1)+OFFSET(G$814,0,-1)-G$814+G$685-IF(AND(InvFileType=2,InvOrAcq=1),0,G$688)+G$1236+IF(AND(InvFileType=2,InvOrAcq=1),G$1237,0)+G$1283</f>
        <v>0</v>
      </c>
      <c r="H806" s="1050">
        <f t="shared" ca="1" si="508"/>
        <v>0</v>
      </c>
      <c r="I806" s="1050">
        <f t="shared" ca="1" si="508"/>
        <v>0</v>
      </c>
      <c r="J806" s="1050">
        <f t="shared" ca="1" si="508"/>
        <v>0</v>
      </c>
      <c r="K806" s="1050">
        <f t="shared" ca="1" si="508"/>
        <v>0</v>
      </c>
      <c r="L806" s="1050">
        <f t="shared" ca="1" si="508"/>
        <v>0</v>
      </c>
      <c r="M806" s="1050">
        <f t="shared" ca="1" si="508"/>
        <v>0</v>
      </c>
      <c r="N806" s="1266">
        <f t="shared" ca="1" si="508"/>
        <v>0</v>
      </c>
      <c r="O806" s="326"/>
      <c r="P806" s="324" t="s">
        <v>79</v>
      </c>
    </row>
    <row r="807" spans="1:16" ht="13" hidden="1" customHeight="1" x14ac:dyDescent="0.35">
      <c r="A807" s="235"/>
      <c r="B807" s="450"/>
      <c r="C807" s="542" t="s">
        <v>5404</v>
      </c>
      <c r="D807" s="1112"/>
      <c r="E807" s="1246" t="s">
        <v>5405</v>
      </c>
      <c r="F807" s="1021"/>
      <c r="G807" s="1022">
        <f t="shared" ref="G807:N807" ca="1" si="509">OFFSET(G807,0,-1)+OFFSET($E$689,0,G$8)+G$1233+G$1284</f>
        <v>0</v>
      </c>
      <c r="H807" s="1022">
        <f t="shared" ca="1" si="509"/>
        <v>0</v>
      </c>
      <c r="I807" s="1022">
        <f t="shared" ca="1" si="509"/>
        <v>0</v>
      </c>
      <c r="J807" s="1022">
        <f t="shared" ca="1" si="509"/>
        <v>0</v>
      </c>
      <c r="K807" s="1022">
        <f t="shared" ca="1" si="509"/>
        <v>0</v>
      </c>
      <c r="L807" s="1022">
        <f t="shared" ca="1" si="509"/>
        <v>0</v>
      </c>
      <c r="M807" s="1022">
        <f t="shared" ca="1" si="509"/>
        <v>0</v>
      </c>
      <c r="N807" s="516">
        <f t="shared" ca="1" si="509"/>
        <v>0</v>
      </c>
      <c r="O807" s="326"/>
      <c r="P807" s="324" t="s">
        <v>172</v>
      </c>
    </row>
    <row r="808" spans="1:16" ht="13" hidden="1" customHeight="1" x14ac:dyDescent="0.35">
      <c r="A808" s="439"/>
      <c r="B808" s="450"/>
      <c r="C808" s="542" t="s">
        <v>979</v>
      </c>
      <c r="D808" s="1112"/>
      <c r="E808" s="439" t="s">
        <v>980</v>
      </c>
      <c r="F808" s="1021"/>
      <c r="G808" s="1022">
        <f t="shared" ref="G808:N808" ca="1" si="510">OFFSET(G808,0,-1)+IF(OR(AND(G$5=0,NoZeroCol=1),AND(G$5=-99,NoResCol=1)),0,OFFSET($E$690,0,G$8)+G$1118+G$1166+G$1167)+G$1285</f>
        <v>0</v>
      </c>
      <c r="H808" s="1022">
        <f t="shared" ca="1" si="510"/>
        <v>0</v>
      </c>
      <c r="I808" s="1022">
        <f t="shared" ca="1" si="510"/>
        <v>0</v>
      </c>
      <c r="J808" s="1022">
        <f t="shared" ca="1" si="510"/>
        <v>0</v>
      </c>
      <c r="K808" s="1022">
        <f t="shared" ca="1" si="510"/>
        <v>0</v>
      </c>
      <c r="L808" s="1022">
        <f t="shared" ca="1" si="510"/>
        <v>0</v>
      </c>
      <c r="M808" s="1022">
        <f t="shared" ca="1" si="510"/>
        <v>0</v>
      </c>
      <c r="N808" s="516">
        <f t="shared" ca="1" si="510"/>
        <v>0</v>
      </c>
      <c r="O808" s="386"/>
      <c r="P808" s="324" t="s">
        <v>79</v>
      </c>
    </row>
    <row r="809" spans="1:16" ht="13" hidden="1" customHeight="1" x14ac:dyDescent="0.35">
      <c r="A809" s="235"/>
      <c r="B809" s="450"/>
      <c r="C809" s="540" t="s">
        <v>981</v>
      </c>
      <c r="D809" s="1113"/>
      <c r="E809" s="511" t="s">
        <v>982</v>
      </c>
      <c r="F809" s="1026"/>
      <c r="G809" s="1053">
        <f t="shared" ref="G809:N809" ca="1" si="511">OFFSET(G809,0,-1)+IF(OR(AND(G$5=0,NoZeroCol=1),AND(G$5=-99,NoResCol=1)),0,-OFFSET($E$504,0,G$8)+G$1119)+G$1286</f>
        <v>0</v>
      </c>
      <c r="H809" s="1053">
        <f t="shared" ca="1" si="511"/>
        <v>0</v>
      </c>
      <c r="I809" s="1053">
        <f t="shared" ca="1" si="511"/>
        <v>0</v>
      </c>
      <c r="J809" s="1053">
        <f t="shared" ca="1" si="511"/>
        <v>0</v>
      </c>
      <c r="K809" s="1053">
        <f t="shared" ca="1" si="511"/>
        <v>0</v>
      </c>
      <c r="L809" s="1053">
        <f t="shared" ca="1" si="511"/>
        <v>0</v>
      </c>
      <c r="M809" s="1053">
        <f t="shared" ca="1" si="511"/>
        <v>0</v>
      </c>
      <c r="N809" s="1048">
        <f t="shared" ca="1" si="511"/>
        <v>0</v>
      </c>
      <c r="O809" s="326"/>
      <c r="P809" s="324" t="s">
        <v>79</v>
      </c>
    </row>
    <row r="810" spans="1:16" ht="13" hidden="1" customHeight="1" x14ac:dyDescent="0.35">
      <c r="A810" s="235"/>
      <c r="B810" s="450"/>
      <c r="C810" s="540" t="s">
        <v>57</v>
      </c>
      <c r="D810" s="1113"/>
      <c r="E810" s="511" t="s">
        <v>983</v>
      </c>
      <c r="F810" s="1026"/>
      <c r="G810" s="1053">
        <f t="shared" ref="G810:N810" ca="1" si="512">IF(G$8&gt;1,OFFSET(G810,0,-1),0)+IF(OR(AND(G$5=0,NoZeroCol=1),AND(G$5=-99,NoResCol=1)),0,G$669+G$1120)+G$1287</f>
        <v>0</v>
      </c>
      <c r="H810" s="1053">
        <f t="shared" ca="1" si="512"/>
        <v>0</v>
      </c>
      <c r="I810" s="1053">
        <f t="shared" ca="1" si="512"/>
        <v>0</v>
      </c>
      <c r="J810" s="1053">
        <f t="shared" ca="1" si="512"/>
        <v>0</v>
      </c>
      <c r="K810" s="1053">
        <f t="shared" ca="1" si="512"/>
        <v>0</v>
      </c>
      <c r="L810" s="1053">
        <f t="shared" ca="1" si="512"/>
        <v>0</v>
      </c>
      <c r="M810" s="1053">
        <f t="shared" ca="1" si="512"/>
        <v>0</v>
      </c>
      <c r="N810" s="1048">
        <f t="shared" ca="1" si="512"/>
        <v>0</v>
      </c>
      <c r="O810" s="326"/>
      <c r="P810" s="324" t="s">
        <v>984</v>
      </c>
    </row>
    <row r="811" spans="1:16" ht="13" customHeight="1" x14ac:dyDescent="0.35">
      <c r="A811" s="235"/>
      <c r="B811" s="450"/>
      <c r="C811" s="439" t="s">
        <v>985</v>
      </c>
      <c r="D811" s="1116"/>
      <c r="E811" s="439" t="s">
        <v>986</v>
      </c>
      <c r="F811" s="1022">
        <f t="shared" ref="F811:N811" ca="1" si="513">F812+F815</f>
        <v>0</v>
      </c>
      <c r="G811" s="1022">
        <f t="shared" ca="1" si="513"/>
        <v>0</v>
      </c>
      <c r="H811" s="1022">
        <f t="shared" ca="1" si="513"/>
        <v>5731689.283867606</v>
      </c>
      <c r="I811" s="1022">
        <f t="shared" ca="1" si="513"/>
        <v>1800106.1629046947</v>
      </c>
      <c r="J811" s="1022">
        <f t="shared" ca="1" si="513"/>
        <v>2205130.0495582512</v>
      </c>
      <c r="K811" s="1022">
        <f t="shared" ca="1" si="513"/>
        <v>2701284.3107088581</v>
      </c>
      <c r="L811" s="1022">
        <f t="shared" ca="1" si="513"/>
        <v>3309073.280618351</v>
      </c>
      <c r="M811" s="1022">
        <f t="shared" ref="M811" ca="1" si="514">M812+M815</f>
        <v>4053614.7687574802</v>
      </c>
      <c r="N811" s="516">
        <f t="shared" ca="1" si="513"/>
        <v>0</v>
      </c>
      <c r="O811" s="326"/>
      <c r="P811" s="324" t="s">
        <v>121</v>
      </c>
    </row>
    <row r="812" spans="1:16" ht="13" hidden="1" customHeight="1" x14ac:dyDescent="0.35">
      <c r="A812" s="235"/>
      <c r="B812" s="450"/>
      <c r="C812" s="537" t="s">
        <v>987</v>
      </c>
      <c r="D812" s="1114"/>
      <c r="E812" s="508" t="s">
        <v>988</v>
      </c>
      <c r="F812" s="1050">
        <f t="shared" ref="F812" ca="1" si="515">OFFSET($E$813,0,F$8)+OFFSET($E$814,0,F$8)</f>
        <v>0</v>
      </c>
      <c r="G812" s="1050">
        <f ca="1">G813+G814</f>
        <v>0</v>
      </c>
      <c r="H812" s="1050">
        <f t="shared" ref="H812:N812" ca="1" si="516">H813+H814</f>
        <v>0</v>
      </c>
      <c r="I812" s="1050">
        <f t="shared" ca="1" si="516"/>
        <v>0</v>
      </c>
      <c r="J812" s="1050">
        <f t="shared" ca="1" si="516"/>
        <v>0</v>
      </c>
      <c r="K812" s="1050">
        <f t="shared" ca="1" si="516"/>
        <v>0</v>
      </c>
      <c r="L812" s="1050">
        <f t="shared" ca="1" si="516"/>
        <v>0</v>
      </c>
      <c r="M812" s="1050">
        <f t="shared" ref="M812" ca="1" si="517">M813+M814</f>
        <v>0</v>
      </c>
      <c r="N812" s="559">
        <f t="shared" ca="1" si="516"/>
        <v>0</v>
      </c>
      <c r="O812" s="326"/>
      <c r="P812" s="324" t="s">
        <v>79</v>
      </c>
    </row>
    <row r="813" spans="1:16" ht="13" hidden="1" customHeight="1" x14ac:dyDescent="0.35">
      <c r="A813" s="235"/>
      <c r="B813" s="450"/>
      <c r="C813" s="538" t="s">
        <v>989</v>
      </c>
      <c r="D813" s="1116"/>
      <c r="E813" s="439" t="s">
        <v>990</v>
      </c>
      <c r="F813" s="1021"/>
      <c r="G813" s="1022">
        <f t="shared" ref="G813:N813" ca="1" si="518">OFFSET(G813,0,-1)+OFFSET($E$691,0,G$8)+G$1288</f>
        <v>0</v>
      </c>
      <c r="H813" s="1022">
        <f t="shared" ca="1" si="518"/>
        <v>0</v>
      </c>
      <c r="I813" s="1022">
        <f t="shared" ca="1" si="518"/>
        <v>0</v>
      </c>
      <c r="J813" s="1022">
        <f t="shared" ca="1" si="518"/>
        <v>0</v>
      </c>
      <c r="K813" s="1022">
        <f t="shared" ca="1" si="518"/>
        <v>0</v>
      </c>
      <c r="L813" s="1022">
        <f t="shared" ca="1" si="518"/>
        <v>0</v>
      </c>
      <c r="M813" s="1022">
        <f t="shared" ca="1" si="518"/>
        <v>0</v>
      </c>
      <c r="N813" s="516">
        <f t="shared" ca="1" si="518"/>
        <v>0</v>
      </c>
      <c r="O813" s="326"/>
      <c r="P813" s="324" t="s">
        <v>651</v>
      </c>
    </row>
    <row r="814" spans="1:16" ht="13" hidden="1" customHeight="1" x14ac:dyDescent="0.35">
      <c r="A814" s="235"/>
      <c r="B814" s="450"/>
      <c r="C814" s="581" t="s">
        <v>991</v>
      </c>
      <c r="D814" s="1117"/>
      <c r="E814" s="452" t="s">
        <v>992</v>
      </c>
      <c r="F814" s="1028"/>
      <c r="G814" s="1023">
        <f t="shared" ref="G814:N814" ca="1" si="519">MAX(0,MIN(G$1072+G$1074,G$1075))+G$1289</f>
        <v>0</v>
      </c>
      <c r="H814" s="1023">
        <f t="shared" ca="1" si="519"/>
        <v>0</v>
      </c>
      <c r="I814" s="1023">
        <f t="shared" ca="1" si="519"/>
        <v>0</v>
      </c>
      <c r="J814" s="1023">
        <f t="shared" ca="1" si="519"/>
        <v>0</v>
      </c>
      <c r="K814" s="1023">
        <f t="shared" ca="1" si="519"/>
        <v>0</v>
      </c>
      <c r="L814" s="1023">
        <f t="shared" ca="1" si="519"/>
        <v>0</v>
      </c>
      <c r="M814" s="1023">
        <f t="shared" ca="1" si="519"/>
        <v>0</v>
      </c>
      <c r="N814" s="582">
        <f t="shared" ca="1" si="519"/>
        <v>0</v>
      </c>
      <c r="O814" s="326"/>
      <c r="P814" s="324" t="s">
        <v>651</v>
      </c>
    </row>
    <row r="815" spans="1:16" ht="13" hidden="1" customHeight="1" x14ac:dyDescent="0.35">
      <c r="A815" s="235"/>
      <c r="B815" s="450"/>
      <c r="C815" s="542" t="s">
        <v>993</v>
      </c>
      <c r="D815" s="1116"/>
      <c r="E815" s="439" t="s">
        <v>994</v>
      </c>
      <c r="F815" s="1022">
        <f ca="1">OFFSET($E$816,0,F$8)+OFFSET($E$817,0,F$8)+OFFSET($E$818,0,F$8)+OFFSET($E$819,0,F$8)+OFFSET($E$820,0,F$8)+OFFSET($E$821,0,F$8)</f>
        <v>0</v>
      </c>
      <c r="G815" s="1022">
        <f t="shared" ref="G815:N815" ca="1" si="520">G$816+G$817+G$818+G$819+G$820+G$821</f>
        <v>0</v>
      </c>
      <c r="H815" s="1022">
        <f t="shared" ca="1" si="520"/>
        <v>5731689.283867606</v>
      </c>
      <c r="I815" s="1022">
        <f t="shared" ca="1" si="520"/>
        <v>1800106.1629046947</v>
      </c>
      <c r="J815" s="1022">
        <f t="shared" ca="1" si="520"/>
        <v>2205130.0495582512</v>
      </c>
      <c r="K815" s="1022">
        <f t="shared" ca="1" si="520"/>
        <v>2701284.3107088581</v>
      </c>
      <c r="L815" s="1022">
        <f t="shared" ca="1" si="520"/>
        <v>3309073.280618351</v>
      </c>
      <c r="M815" s="1022">
        <f t="shared" ca="1" si="520"/>
        <v>4053614.7687574802</v>
      </c>
      <c r="N815" s="516">
        <f t="shared" ca="1" si="520"/>
        <v>0</v>
      </c>
      <c r="O815" s="326"/>
      <c r="P815" s="324" t="s">
        <v>79</v>
      </c>
    </row>
    <row r="816" spans="1:16" ht="13" hidden="1" customHeight="1" x14ac:dyDescent="0.35">
      <c r="A816" s="235"/>
      <c r="B816" s="450"/>
      <c r="C816" s="538" t="s">
        <v>719</v>
      </c>
      <c r="D816" s="1112"/>
      <c r="E816" s="439" t="s">
        <v>995</v>
      </c>
      <c r="F816" s="1021"/>
      <c r="G816" s="1022">
        <f t="shared" ref="G816:N816" ca="1" si="521">OFFSET(G816,0,-1)+G$619-OFFSET($E$614,0,G$8)-OFFSET($E$616,0,G$8)-OFFSET($E$618,0,G$8)+G$1121+G$1290</f>
        <v>0</v>
      </c>
      <c r="H816" s="1022">
        <f t="shared" ca="1" si="521"/>
        <v>5731689.283867606</v>
      </c>
      <c r="I816" s="1022">
        <f t="shared" ca="1" si="521"/>
        <v>1800106.1629046947</v>
      </c>
      <c r="J816" s="1022">
        <f t="shared" ca="1" si="521"/>
        <v>2205130.0495582512</v>
      </c>
      <c r="K816" s="1022">
        <f t="shared" ca="1" si="521"/>
        <v>2701284.3107088581</v>
      </c>
      <c r="L816" s="1022">
        <f t="shared" ca="1" si="521"/>
        <v>3309073.280618351</v>
      </c>
      <c r="M816" s="1022">
        <f t="shared" ca="1" si="521"/>
        <v>4053614.7687574802</v>
      </c>
      <c r="N816" s="1247">
        <f t="shared" ca="1" si="521"/>
        <v>0</v>
      </c>
      <c r="O816" s="326"/>
      <c r="P816" s="324" t="s">
        <v>651</v>
      </c>
    </row>
    <row r="817" spans="1:16" ht="13" hidden="1" customHeight="1" x14ac:dyDescent="0.35">
      <c r="A817" s="235"/>
      <c r="B817" s="450"/>
      <c r="C817" s="538" t="s">
        <v>5377</v>
      </c>
      <c r="D817" s="1112"/>
      <c r="E817" s="1245" t="s">
        <v>5409</v>
      </c>
      <c r="F817" s="1021"/>
      <c r="G817" s="1022">
        <f t="shared" ref="G817:N817" ca="1" si="522">OFFSET(G817,0,-1)+IF(AND(G$5=-99,NoResCol=1),0,OFFSET($E$614,0,G$8)+G$1234)+G$1291</f>
        <v>0</v>
      </c>
      <c r="H817" s="1022">
        <f t="shared" ca="1" si="522"/>
        <v>0</v>
      </c>
      <c r="I817" s="1022">
        <f t="shared" ca="1" si="522"/>
        <v>0</v>
      </c>
      <c r="J817" s="1022">
        <f t="shared" ca="1" si="522"/>
        <v>0</v>
      </c>
      <c r="K817" s="1022">
        <f t="shared" ca="1" si="522"/>
        <v>0</v>
      </c>
      <c r="L817" s="1022">
        <f t="shared" ca="1" si="522"/>
        <v>0</v>
      </c>
      <c r="M817" s="1022">
        <f t="shared" ca="1" si="522"/>
        <v>0</v>
      </c>
      <c r="N817" s="1247">
        <f t="shared" ca="1" si="522"/>
        <v>0</v>
      </c>
      <c r="O817" s="326"/>
      <c r="P817" s="324" t="s">
        <v>5738</v>
      </c>
    </row>
    <row r="818" spans="1:16" ht="13" hidden="1" customHeight="1" x14ac:dyDescent="0.35">
      <c r="A818" s="235"/>
      <c r="B818" s="450"/>
      <c r="C818" s="538" t="s">
        <v>996</v>
      </c>
      <c r="D818" s="1112"/>
      <c r="E818" s="439" t="s">
        <v>997</v>
      </c>
      <c r="F818" s="1021"/>
      <c r="G818" s="1022">
        <f t="shared" ref="G818:N818" ca="1" si="523">OFFSET(G818,0,-1)+IF(OR(AND(G$5=0,NoZeroCol=1),AND(G$5=-99,NoResCol=1)),0,OFFSET($E$616,0,G$8)+G$1122)+G$1292</f>
        <v>0</v>
      </c>
      <c r="H818" s="1022">
        <f t="shared" ca="1" si="523"/>
        <v>0</v>
      </c>
      <c r="I818" s="1022">
        <f t="shared" ca="1" si="523"/>
        <v>0</v>
      </c>
      <c r="J818" s="1022">
        <f t="shared" ca="1" si="523"/>
        <v>0</v>
      </c>
      <c r="K818" s="1022">
        <f t="shared" ca="1" si="523"/>
        <v>0</v>
      </c>
      <c r="L818" s="1022">
        <f t="shared" ca="1" si="523"/>
        <v>0</v>
      </c>
      <c r="M818" s="1022">
        <f t="shared" ca="1" si="523"/>
        <v>0</v>
      </c>
      <c r="N818" s="516">
        <f t="shared" ca="1" si="523"/>
        <v>0</v>
      </c>
      <c r="O818" s="326"/>
      <c r="P818" s="324" t="s">
        <v>651</v>
      </c>
    </row>
    <row r="819" spans="1:16" ht="13" hidden="1" customHeight="1" x14ac:dyDescent="0.35">
      <c r="A819" s="235"/>
      <c r="B819" s="450"/>
      <c r="C819" s="538" t="s">
        <v>5412</v>
      </c>
      <c r="D819" s="1112"/>
      <c r="E819" s="1245" t="s">
        <v>5411</v>
      </c>
      <c r="F819" s="1021"/>
      <c r="G819" s="1022">
        <f t="shared" ref="G819:N819" ca="1" si="524">OFFSET(G819,0,-1)+IF(AND(G$5=-99,NoResCol=1),0,OFFSET($E$618,0,G$8)+G$1235)+G$1293</f>
        <v>0</v>
      </c>
      <c r="H819" s="1022">
        <f t="shared" ca="1" si="524"/>
        <v>0</v>
      </c>
      <c r="I819" s="1022">
        <f t="shared" ca="1" si="524"/>
        <v>0</v>
      </c>
      <c r="J819" s="1022">
        <f t="shared" ca="1" si="524"/>
        <v>0</v>
      </c>
      <c r="K819" s="1022">
        <f t="shared" ca="1" si="524"/>
        <v>0</v>
      </c>
      <c r="L819" s="1022">
        <f t="shared" ca="1" si="524"/>
        <v>0</v>
      </c>
      <c r="M819" s="1022">
        <f t="shared" ca="1" si="524"/>
        <v>0</v>
      </c>
      <c r="N819" s="516">
        <f t="shared" ca="1" si="524"/>
        <v>0</v>
      </c>
      <c r="O819" s="326"/>
      <c r="P819" s="324" t="s">
        <v>5738</v>
      </c>
    </row>
    <row r="820" spans="1:16" ht="13" hidden="1" customHeight="1" x14ac:dyDescent="0.35">
      <c r="A820" s="235"/>
      <c r="B820" s="450"/>
      <c r="C820" s="538" t="s">
        <v>998</v>
      </c>
      <c r="D820" s="1112"/>
      <c r="E820" s="439" t="s">
        <v>999</v>
      </c>
      <c r="F820" s="1022">
        <f>F$1294</f>
        <v>0</v>
      </c>
      <c r="G820" s="1022">
        <f t="shared" ref="G820:N820" si="525">SUM(G$928:G$957)+G$1294</f>
        <v>0</v>
      </c>
      <c r="H820" s="1022">
        <f t="shared" si="525"/>
        <v>0</v>
      </c>
      <c r="I820" s="1022">
        <f t="shared" si="525"/>
        <v>0</v>
      </c>
      <c r="J820" s="1022">
        <f t="shared" si="525"/>
        <v>0</v>
      </c>
      <c r="K820" s="1022">
        <f t="shared" si="525"/>
        <v>0</v>
      </c>
      <c r="L820" s="1022">
        <f t="shared" si="525"/>
        <v>0</v>
      </c>
      <c r="M820" s="1022">
        <f t="shared" si="525"/>
        <v>0</v>
      </c>
      <c r="N820" s="516">
        <f t="shared" si="525"/>
        <v>0</v>
      </c>
      <c r="O820" s="326"/>
      <c r="P820" s="324" t="s">
        <v>651</v>
      </c>
    </row>
    <row r="821" spans="1:16" ht="13" hidden="1" customHeight="1" x14ac:dyDescent="0.35">
      <c r="A821" s="235"/>
      <c r="B821" s="450"/>
      <c r="C821" s="583" t="s">
        <v>1000</v>
      </c>
      <c r="D821" s="1118"/>
      <c r="E821" s="511" t="s">
        <v>1001</v>
      </c>
      <c r="F821" s="1053">
        <f>F$1295</f>
        <v>0</v>
      </c>
      <c r="G821" s="1053">
        <f t="shared" ref="G821:N821" ca="1" si="526">OFFSET(G821,0,-1)-(OFFSET($E$503,0,G$8)-OFFSET($E$663,0,G$8)-OFFSET($E$683,0,G$8)+G1090)+G$1295</f>
        <v>0</v>
      </c>
      <c r="H821" s="1053">
        <f t="shared" ca="1" si="526"/>
        <v>0</v>
      </c>
      <c r="I821" s="1053">
        <f t="shared" ca="1" si="526"/>
        <v>0</v>
      </c>
      <c r="J821" s="1053">
        <f t="shared" ca="1" si="526"/>
        <v>0</v>
      </c>
      <c r="K821" s="1053">
        <f t="shared" ca="1" si="526"/>
        <v>0</v>
      </c>
      <c r="L821" s="1053">
        <f t="shared" ca="1" si="526"/>
        <v>0</v>
      </c>
      <c r="M821" s="1053">
        <f t="shared" ca="1" si="526"/>
        <v>0</v>
      </c>
      <c r="N821" s="1048">
        <f t="shared" ca="1" si="526"/>
        <v>0</v>
      </c>
      <c r="O821" s="326"/>
      <c r="P821" s="324" t="s">
        <v>651</v>
      </c>
    </row>
    <row r="822" spans="1:16" ht="13" customHeight="1" x14ac:dyDescent="0.35">
      <c r="A822" s="235"/>
      <c r="B822" s="450"/>
      <c r="C822" s="515" t="s">
        <v>1002</v>
      </c>
      <c r="D822" s="1119"/>
      <c r="E822" s="515" t="s">
        <v>1003</v>
      </c>
      <c r="F822" s="1052">
        <f t="shared" ref="F822:N822" ca="1" si="527">F805+F811</f>
        <v>0</v>
      </c>
      <c r="G822" s="1052">
        <f t="shared" ca="1" si="527"/>
        <v>0</v>
      </c>
      <c r="H822" s="1052">
        <f t="shared" ca="1" si="527"/>
        <v>5731689.283867606</v>
      </c>
      <c r="I822" s="1052">
        <f t="shared" ca="1" si="527"/>
        <v>1800106.1629046947</v>
      </c>
      <c r="J822" s="1052">
        <f t="shared" ca="1" si="527"/>
        <v>2205130.0495582512</v>
      </c>
      <c r="K822" s="1052">
        <f t="shared" ca="1" si="527"/>
        <v>2701284.3107088581</v>
      </c>
      <c r="L822" s="1052">
        <f t="shared" ca="1" si="527"/>
        <v>3309073.280618351</v>
      </c>
      <c r="M822" s="1052">
        <f t="shared" ref="M822" ca="1" si="528">M805+M811</f>
        <v>4053614.7687574802</v>
      </c>
      <c r="N822" s="561">
        <f t="shared" ca="1" si="527"/>
        <v>0</v>
      </c>
      <c r="O822" s="326"/>
      <c r="P822" s="324" t="s">
        <v>71</v>
      </c>
    </row>
    <row r="823" spans="1:16" ht="13" customHeight="1" x14ac:dyDescent="0.35">
      <c r="A823" s="235"/>
      <c r="B823" s="520" t="s">
        <v>957</v>
      </c>
      <c r="C823" s="521"/>
      <c r="D823" s="1120"/>
      <c r="E823" s="515" t="s">
        <v>1004</v>
      </c>
      <c r="F823" s="1054">
        <f t="shared" ref="F823:N823" ca="1" si="529">F800+OFFSET($E$801,0,F$8)+OFFSET($E$802,0,F$8)+OFFSET($E$803,0,F$8)+F822</f>
        <v>0</v>
      </c>
      <c r="G823" s="1054">
        <f t="shared" ca="1" si="529"/>
        <v>0</v>
      </c>
      <c r="H823" s="1054">
        <f t="shared" ca="1" si="529"/>
        <v>6460430.5692660967</v>
      </c>
      <c r="I823" s="1054">
        <f t="shared" ca="1" si="529"/>
        <v>6582792.9154141173</v>
      </c>
      <c r="J823" s="1054">
        <f t="shared" ca="1" si="529"/>
        <v>13345216.749278553</v>
      </c>
      <c r="K823" s="1054">
        <f t="shared" ca="1" si="529"/>
        <v>23019920.508262489</v>
      </c>
      <c r="L823" s="1054">
        <f t="shared" ca="1" si="529"/>
        <v>36192779.284892812</v>
      </c>
      <c r="M823" s="1054">
        <f t="shared" ref="M823" ca="1" si="530">M800+OFFSET($E$801,0,M$8)+OFFSET($E$802,0,M$8)+OFFSET($E$803,0,M$8)+M822</f>
        <v>53646829.540171206</v>
      </c>
      <c r="N823" s="562">
        <f t="shared" ca="1" si="529"/>
        <v>46391295.337819979</v>
      </c>
      <c r="O823" s="326"/>
      <c r="P823" s="324" t="s">
        <v>71</v>
      </c>
    </row>
    <row r="824" spans="1:16" ht="13" hidden="1" customHeight="1" x14ac:dyDescent="0.35">
      <c r="A824" s="235"/>
      <c r="B824" s="584" t="s">
        <v>1005</v>
      </c>
      <c r="C824" s="584"/>
      <c r="D824" s="585"/>
      <c r="E824" s="508" t="s">
        <v>1006</v>
      </c>
      <c r="F824" s="585">
        <f t="shared" ref="F824:N824" ca="1" si="531">IF(SUM(BalCheck)=0,F823-F$776,0)</f>
        <v>0</v>
      </c>
      <c r="G824" s="585">
        <f t="shared" ca="1" si="531"/>
        <v>0</v>
      </c>
      <c r="H824" s="585">
        <f t="shared" ca="1" si="531"/>
        <v>9.3132257461547852E-10</v>
      </c>
      <c r="I824" s="585">
        <f t="shared" ca="1" si="531"/>
        <v>2.7939677238464355E-9</v>
      </c>
      <c r="J824" s="585">
        <f t="shared" ca="1" si="531"/>
        <v>1.862645149230957E-9</v>
      </c>
      <c r="K824" s="585">
        <f t="shared" ca="1" si="531"/>
        <v>3.7252902984619141E-9</v>
      </c>
      <c r="L824" s="585">
        <f t="shared" ca="1" si="531"/>
        <v>0</v>
      </c>
      <c r="M824" s="585">
        <f t="shared" ref="M824" ca="1" si="532">IF(SUM(BalCheck)=0,M823-M$776,0)</f>
        <v>0</v>
      </c>
      <c r="N824" s="585">
        <f t="shared" ca="1" si="531"/>
        <v>0</v>
      </c>
      <c r="O824" s="326"/>
      <c r="P824" s="324" t="s">
        <v>651</v>
      </c>
    </row>
    <row r="825" spans="1:16" ht="13" hidden="1" customHeight="1" x14ac:dyDescent="0.35">
      <c r="A825" s="235"/>
      <c r="B825" s="586" t="s">
        <v>536</v>
      </c>
      <c r="C825" s="587"/>
      <c r="D825" s="1105"/>
      <c r="E825" s="589" t="s">
        <v>1007</v>
      </c>
      <c r="F825" s="1082">
        <f>0</f>
        <v>0</v>
      </c>
      <c r="G825" s="1083">
        <f>0</f>
        <v>0</v>
      </c>
      <c r="H825" s="1083">
        <f>0</f>
        <v>0</v>
      </c>
      <c r="I825" s="1083">
        <f>0</f>
        <v>0</v>
      </c>
      <c r="J825" s="1083">
        <f>0</f>
        <v>0</v>
      </c>
      <c r="K825" s="1083">
        <f>0</f>
        <v>0</v>
      </c>
      <c r="L825" s="1083">
        <f>0</f>
        <v>0</v>
      </c>
      <c r="M825" s="1083">
        <f>0</f>
        <v>0</v>
      </c>
      <c r="N825" s="588">
        <f>0</f>
        <v>0</v>
      </c>
      <c r="O825" s="326"/>
      <c r="P825" s="324" t="s">
        <v>406</v>
      </c>
    </row>
    <row r="826" spans="1:16" ht="13" hidden="1" customHeight="1" x14ac:dyDescent="0.35">
      <c r="A826" s="235"/>
      <c r="B826" s="590" t="s">
        <v>633</v>
      </c>
      <c r="C826" s="591"/>
      <c r="D826" s="1106"/>
      <c r="E826" s="354" t="s">
        <v>1008</v>
      </c>
      <c r="F826" s="1077"/>
      <c r="G826" s="1084">
        <f t="shared" ref="G826:N826" ca="1" si="533">OFFSET(G826,0,-1)-G$524+OFFSET($E$505,0,G$8)</f>
        <v>0</v>
      </c>
      <c r="H826" s="1084">
        <f t="shared" ca="1" si="533"/>
        <v>0</v>
      </c>
      <c r="I826" s="1084">
        <f t="shared" ca="1" si="533"/>
        <v>0</v>
      </c>
      <c r="J826" s="1084">
        <f t="shared" ca="1" si="533"/>
        <v>0</v>
      </c>
      <c r="K826" s="1084">
        <f t="shared" ca="1" si="533"/>
        <v>0</v>
      </c>
      <c r="L826" s="1084">
        <f t="shared" ca="1" si="533"/>
        <v>0</v>
      </c>
      <c r="M826" s="1084">
        <f t="shared" ca="1" si="533"/>
        <v>0</v>
      </c>
      <c r="N826" s="592">
        <f t="shared" ca="1" si="533"/>
        <v>0</v>
      </c>
      <c r="O826" s="326"/>
      <c r="P826" s="324" t="s">
        <v>406</v>
      </c>
    </row>
    <row r="827" spans="1:16" ht="13" hidden="1" customHeight="1" x14ac:dyDescent="0.35">
      <c r="A827" s="235"/>
      <c r="B827" s="590" t="s">
        <v>440</v>
      </c>
      <c r="C827" s="591"/>
      <c r="D827" s="1106"/>
      <c r="E827" s="354" t="s">
        <v>1009</v>
      </c>
      <c r="F827" s="1077"/>
      <c r="G827" s="1084">
        <f ca="1">IF(GWtype=2,G$1021,0)</f>
        <v>0</v>
      </c>
      <c r="H827" s="1084">
        <f t="shared" ref="H827:N827" ca="1" si="534">IF(GWtype=2,H$1021,0)</f>
        <v>0</v>
      </c>
      <c r="I827" s="1084">
        <f t="shared" ca="1" si="534"/>
        <v>0</v>
      </c>
      <c r="J827" s="1084">
        <f t="shared" ca="1" si="534"/>
        <v>0</v>
      </c>
      <c r="K827" s="1084">
        <f t="shared" ca="1" si="534"/>
        <v>0</v>
      </c>
      <c r="L827" s="1084">
        <f t="shared" ca="1" si="534"/>
        <v>0</v>
      </c>
      <c r="M827" s="1084">
        <f t="shared" ca="1" si="534"/>
        <v>0</v>
      </c>
      <c r="N827" s="592">
        <f t="shared" si="534"/>
        <v>0</v>
      </c>
      <c r="O827" s="326"/>
      <c r="P827" s="324" t="s">
        <v>406</v>
      </c>
    </row>
    <row r="828" spans="1:16" ht="13" hidden="1" customHeight="1" x14ac:dyDescent="0.35">
      <c r="A828" s="235"/>
      <c r="B828" s="590" t="s">
        <v>977</v>
      </c>
      <c r="C828" s="591"/>
      <c r="D828" s="1107"/>
      <c r="E828" s="354" t="s">
        <v>1010</v>
      </c>
      <c r="F828" s="1077"/>
      <c r="G828" s="1084">
        <f t="shared" ref="G828:N828" ca="1" si="535">G$430-G$829</f>
        <v>0</v>
      </c>
      <c r="H828" s="1084">
        <f t="shared" ca="1" si="535"/>
        <v>0</v>
      </c>
      <c r="I828" s="1084">
        <f t="shared" ca="1" si="535"/>
        <v>0</v>
      </c>
      <c r="J828" s="1084">
        <f t="shared" ca="1" si="535"/>
        <v>0</v>
      </c>
      <c r="K828" s="1084">
        <f t="shared" ca="1" si="535"/>
        <v>0</v>
      </c>
      <c r="L828" s="1084">
        <f t="shared" ca="1" si="535"/>
        <v>0</v>
      </c>
      <c r="M828" s="1084">
        <f t="shared" ca="1" si="535"/>
        <v>0</v>
      </c>
      <c r="N828" s="592">
        <f t="shared" ca="1" si="535"/>
        <v>0</v>
      </c>
      <c r="O828" s="326"/>
      <c r="P828" s="324" t="s">
        <v>406</v>
      </c>
    </row>
    <row r="829" spans="1:16" ht="13" hidden="1" customHeight="1" x14ac:dyDescent="0.35">
      <c r="A829" s="439"/>
      <c r="B829" s="593" t="s">
        <v>987</v>
      </c>
      <c r="C829" s="594"/>
      <c r="D829" s="1108"/>
      <c r="E829" s="595" t="s">
        <v>1011</v>
      </c>
      <c r="F829" s="1078"/>
      <c r="G829" s="1085">
        <f ca="1">G$1071</f>
        <v>0</v>
      </c>
      <c r="H829" s="1085">
        <f t="shared" ref="H829:N829" ca="1" si="536">H$1071</f>
        <v>0</v>
      </c>
      <c r="I829" s="1085">
        <f t="shared" ca="1" si="536"/>
        <v>0</v>
      </c>
      <c r="J829" s="1085">
        <f t="shared" ca="1" si="536"/>
        <v>0</v>
      </c>
      <c r="K829" s="1085">
        <f t="shared" ca="1" si="536"/>
        <v>0</v>
      </c>
      <c r="L829" s="1085">
        <f t="shared" ca="1" si="536"/>
        <v>0</v>
      </c>
      <c r="M829" s="1085">
        <f t="shared" ca="1" si="536"/>
        <v>0</v>
      </c>
      <c r="N829" s="1081">
        <f t="shared" ca="1" si="536"/>
        <v>0</v>
      </c>
      <c r="O829" s="386"/>
      <c r="P829" s="324" t="s">
        <v>406</v>
      </c>
    </row>
    <row r="830" spans="1:16" ht="13" hidden="1" customHeight="1" x14ac:dyDescent="0.35">
      <c r="A830" s="235"/>
      <c r="B830" s="596" t="s">
        <v>1012</v>
      </c>
      <c r="C830" s="597"/>
      <c r="D830" s="1109"/>
      <c r="E830" s="318" t="s">
        <v>1013</v>
      </c>
      <c r="F830" s="1079"/>
      <c r="G830" s="1080">
        <f t="shared" ref="G830:N830" ca="1" si="537">G823+SUM(G825:G829)</f>
        <v>0</v>
      </c>
      <c r="H830" s="1080">
        <f t="shared" ca="1" si="537"/>
        <v>6460430.5692660967</v>
      </c>
      <c r="I830" s="1080">
        <f t="shared" ca="1" si="537"/>
        <v>6582792.9154141173</v>
      </c>
      <c r="J830" s="1080">
        <f t="shared" ca="1" si="537"/>
        <v>13345216.749278553</v>
      </c>
      <c r="K830" s="1080">
        <f t="shared" ca="1" si="537"/>
        <v>23019920.508262489</v>
      </c>
      <c r="L830" s="1080">
        <f t="shared" ca="1" si="537"/>
        <v>36192779.284892812</v>
      </c>
      <c r="M830" s="1080">
        <f t="shared" ref="M830" ca="1" si="538">M823+SUM(M825:M829)</f>
        <v>53646829.540171206</v>
      </c>
      <c r="N830" s="576">
        <f t="shared" ca="1" si="537"/>
        <v>46391295.337819979</v>
      </c>
      <c r="O830" s="326"/>
      <c r="P830" s="324" t="s">
        <v>406</v>
      </c>
    </row>
    <row r="831" spans="1:16" ht="11.25" hidden="1" customHeight="1" x14ac:dyDescent="0.35">
      <c r="A831" s="235"/>
      <c r="B831" s="587" t="s">
        <v>1014</v>
      </c>
      <c r="C831" s="587"/>
      <c r="D831" s="587"/>
      <c r="E831" s="508" t="s">
        <v>1015</v>
      </c>
      <c r="F831" s="565"/>
      <c r="G831" s="598">
        <f t="shared" ref="G831:N831" ca="1" si="539">IF(SUM(BalCheck)=0,G830-G$791,0)</f>
        <v>0</v>
      </c>
      <c r="H831" s="598">
        <f t="shared" ca="1" si="539"/>
        <v>9.3132257461547852E-10</v>
      </c>
      <c r="I831" s="598">
        <f t="shared" ca="1" si="539"/>
        <v>2.7939677238464355E-9</v>
      </c>
      <c r="J831" s="598">
        <f t="shared" ca="1" si="539"/>
        <v>1.862645149230957E-9</v>
      </c>
      <c r="K831" s="598">
        <f t="shared" ca="1" si="539"/>
        <v>3.7252902984619141E-9</v>
      </c>
      <c r="L831" s="598">
        <f t="shared" ca="1" si="539"/>
        <v>0</v>
      </c>
      <c r="M831" s="598">
        <f t="shared" ref="M831" ca="1" si="540">IF(SUM(BalCheck)=0,M830-M$791,0)</f>
        <v>0</v>
      </c>
      <c r="N831" s="598">
        <f t="shared" ca="1" si="539"/>
        <v>0</v>
      </c>
      <c r="O831" s="326"/>
      <c r="P831" s="324" t="s">
        <v>681</v>
      </c>
    </row>
    <row r="832" spans="1:16" ht="3" hidden="1" customHeight="1" x14ac:dyDescent="0.35">
      <c r="A832" s="235"/>
      <c r="B832" s="599"/>
      <c r="C832" s="599"/>
      <c r="D832" s="599"/>
      <c r="E832" s="439" t="s">
        <v>39</v>
      </c>
      <c r="F832" s="439"/>
      <c r="G832" s="600"/>
      <c r="H832" s="600"/>
      <c r="I832" s="600"/>
      <c r="J832" s="600"/>
      <c r="K832" s="600"/>
      <c r="L832" s="600"/>
      <c r="M832" s="600"/>
      <c r="N832" s="600"/>
      <c r="O832" s="326"/>
      <c r="P832" s="324" t="s">
        <v>40</v>
      </c>
    </row>
    <row r="833" spans="1:16" ht="13" hidden="1" customHeight="1" x14ac:dyDescent="0.35">
      <c r="A833" s="235"/>
      <c r="B833" s="601" t="s">
        <v>1016</v>
      </c>
      <c r="C833" s="601"/>
      <c r="D833" s="602"/>
      <c r="E833" s="511" t="s">
        <v>1017</v>
      </c>
      <c r="F833" s="439"/>
      <c r="G833" s="600"/>
      <c r="H833" s="600"/>
      <c r="I833" s="600"/>
      <c r="J833" s="600"/>
      <c r="K833" s="600"/>
      <c r="L833" s="600"/>
      <c r="M833" s="600"/>
      <c r="N833" s="600"/>
      <c r="O833" s="326"/>
      <c r="P833" s="324" t="s">
        <v>788</v>
      </c>
    </row>
    <row r="834" spans="1:16" ht="13" hidden="1" customHeight="1" x14ac:dyDescent="0.35">
      <c r="A834" s="235"/>
      <c r="B834" s="603" t="s">
        <v>1018</v>
      </c>
      <c r="C834" s="604"/>
      <c r="D834" s="1103"/>
      <c r="E834" s="515" t="s">
        <v>1019</v>
      </c>
      <c r="F834" s="1087"/>
      <c r="G834" s="1088">
        <f t="shared" ref="G834:M834" ca="1" si="541">IF(G$16&lt;&gt;LastPeriod,G$767-G$755-G$759+IF(ImpairmentWorkingCapital=1,G$621-G$567,0)+IF(ImpairmentFinancialAssets=1,G$774+G$755+G$759,0)+IF(InvOrAcq=2,G$789+IF(ImpairmentFinancialAssets=1,G$790,0)+IF(GWtype=2,SUM(G$777:G$788),0),0),"")</f>
        <v>0</v>
      </c>
      <c r="H834" s="1088">
        <f t="shared" ca="1" si="541"/>
        <v>7867000</v>
      </c>
      <c r="I834" s="1088">
        <f t="shared" ca="1" si="541"/>
        <v>6959875</v>
      </c>
      <c r="J834" s="1088">
        <f t="shared" ca="1" si="541"/>
        <v>6431031.25</v>
      </c>
      <c r="K834" s="1088">
        <f t="shared" ca="1" si="541"/>
        <v>5764023.4375</v>
      </c>
      <c r="L834" s="1088">
        <f t="shared" ca="1" si="541"/>
        <v>5297142.578125</v>
      </c>
      <c r="M834" s="1088" t="str">
        <f t="shared" si="541"/>
        <v/>
      </c>
      <c r="N834" s="1086"/>
      <c r="O834" s="326"/>
      <c r="P834" s="324" t="s">
        <v>788</v>
      </c>
    </row>
    <row r="835" spans="1:16" ht="13" hidden="1" customHeight="1" x14ac:dyDescent="0.35">
      <c r="A835" s="235"/>
      <c r="B835" s="603" t="str">
        <f>SUBSTITUTE(B680," (IAS)","")</f>
        <v>Value in use</v>
      </c>
      <c r="C835" s="604"/>
      <c r="D835" s="1103"/>
      <c r="E835" s="515" t="s">
        <v>1020</v>
      </c>
      <c r="F835" s="1087"/>
      <c r="G835" s="1088">
        <f t="shared" ref="G835:L835" ca="1" si="542">G680</f>
        <v>57245949.454775512</v>
      </c>
      <c r="H835" s="1088">
        <f t="shared" ca="1" si="542"/>
        <v>81072212.08185558</v>
      </c>
      <c r="I835" s="1088">
        <f t="shared" ca="1" si="542"/>
        <v>65385011.010110199</v>
      </c>
      <c r="J835" s="1088">
        <f t="shared" ca="1" si="542"/>
        <v>58965801.484245002</v>
      </c>
      <c r="K835" s="1088">
        <f t="shared" ca="1" si="542"/>
        <v>48570421.797473781</v>
      </c>
      <c r="L835" s="1088">
        <f t="shared" ca="1" si="542"/>
        <v>33700357.843109034</v>
      </c>
      <c r="M835" s="1088" t="str">
        <f t="shared" ref="M835" ca="1" si="543">M680</f>
        <v/>
      </c>
      <c r="N835" s="1086"/>
      <c r="O835" s="326"/>
      <c r="P835" s="324" t="s">
        <v>788</v>
      </c>
    </row>
    <row r="836" spans="1:16" ht="13" hidden="1" customHeight="1" x14ac:dyDescent="0.35">
      <c r="A836" s="235"/>
      <c r="B836" s="605" t="s">
        <v>1021</v>
      </c>
      <c r="C836" s="606"/>
      <c r="D836" s="1104"/>
      <c r="E836" s="515" t="s">
        <v>1022</v>
      </c>
      <c r="F836" s="1054"/>
      <c r="G836" s="1088">
        <f t="shared" ref="G836:L836" ca="1" si="544">IF(ISERROR(G835-G834),"",G835-G834)</f>
        <v>57245949.454775512</v>
      </c>
      <c r="H836" s="1088">
        <f t="shared" ca="1" si="544"/>
        <v>73205212.08185558</v>
      </c>
      <c r="I836" s="1088">
        <f t="shared" ca="1" si="544"/>
        <v>58425136.010110199</v>
      </c>
      <c r="J836" s="1088">
        <f t="shared" ca="1" si="544"/>
        <v>52534770.234245002</v>
      </c>
      <c r="K836" s="1088">
        <f t="shared" ca="1" si="544"/>
        <v>42806398.359973781</v>
      </c>
      <c r="L836" s="1088">
        <f t="shared" ca="1" si="544"/>
        <v>28403215.264984034</v>
      </c>
      <c r="M836" s="1088" t="str">
        <f t="shared" ref="M836" ca="1" si="545">IF(ISERROR(M835-M834),"",M835-M834)</f>
        <v/>
      </c>
      <c r="N836" s="1086"/>
      <c r="O836" s="326"/>
      <c r="P836" s="324" t="s">
        <v>788</v>
      </c>
    </row>
    <row r="837" spans="1:16" ht="5.15" customHeight="1" x14ac:dyDescent="0.35">
      <c r="A837" s="607" t="str">
        <f>$B$483&amp;IF(TRIM(IF(Figures&gt;1,Figures&amp;" ","")&amp;Currency)&lt;&gt;"",", ","")&amp;IF(Figures&gt;1,Figures&amp;" ","")&amp;Currency</f>
        <v>EBITDA; Operating income before depreciation, Euro</v>
      </c>
      <c r="B837" s="235"/>
      <c r="C837" s="235"/>
      <c r="D837" s="235"/>
      <c r="E837" s="439" t="s">
        <v>39</v>
      </c>
      <c r="F837" s="439"/>
      <c r="G837" s="608"/>
      <c r="H837" s="608"/>
      <c r="I837" s="608"/>
      <c r="J837" s="608"/>
      <c r="K837" s="608"/>
      <c r="L837" s="608"/>
      <c r="M837" s="608"/>
      <c r="N837" s="608"/>
      <c r="O837" s="326"/>
      <c r="P837" s="324" t="s">
        <v>66</v>
      </c>
    </row>
    <row r="838" spans="1:16" ht="11.25" customHeight="1" x14ac:dyDescent="0.35">
      <c r="A838" s="609" t="s">
        <v>5084</v>
      </c>
      <c r="B838" s="336" t="s">
        <v>1023</v>
      </c>
      <c r="C838" s="235"/>
      <c r="D838" s="235"/>
      <c r="E838" s="439" t="s">
        <v>1024</v>
      </c>
      <c r="F838" s="439"/>
      <c r="G838" s="235"/>
      <c r="H838" s="235"/>
      <c r="I838" s="235"/>
      <c r="J838" s="235"/>
      <c r="K838" s="235"/>
      <c r="L838" s="235"/>
      <c r="M838" s="235"/>
      <c r="N838" s="235"/>
      <c r="O838" s="326"/>
      <c r="P838" s="324" t="s">
        <v>54</v>
      </c>
    </row>
    <row r="839" spans="1:16" ht="11.25" customHeight="1" x14ac:dyDescent="0.35">
      <c r="A839" s="609" t="str">
        <f>$B$489&amp;IF(TRIM(IF(Figures&gt;1,Figures&amp;" ","")&amp;Currency)&lt;&gt;"",", ","")&amp;IF(Figures&gt;1,Figures&amp;" ","")&amp;Currency</f>
        <v>EBIT; Operating income, Euro</v>
      </c>
      <c r="B839" s="235" t="s">
        <v>45</v>
      </c>
      <c r="C839" s="235"/>
      <c r="D839" s="235"/>
      <c r="E839" s="439" t="s">
        <v>1025</v>
      </c>
      <c r="F839" s="439"/>
      <c r="G839" s="235"/>
      <c r="H839" s="235"/>
      <c r="I839" s="235"/>
      <c r="J839" s="235"/>
      <c r="K839" s="235"/>
      <c r="L839" s="235"/>
      <c r="M839" s="235"/>
      <c r="N839" s="235"/>
      <c r="O839" s="326"/>
      <c r="P839" s="324" t="s">
        <v>54</v>
      </c>
    </row>
    <row r="840" spans="1:16" ht="16" customHeight="1" x14ac:dyDescent="0.35">
      <c r="A840" s="609" t="s">
        <v>5083</v>
      </c>
      <c r="B840" s="610" t="s">
        <v>1026</v>
      </c>
      <c r="C840" s="511"/>
      <c r="D840" s="511"/>
      <c r="E840" s="439" t="s">
        <v>1027</v>
      </c>
      <c r="F840" s="439"/>
      <c r="G840" s="235"/>
      <c r="H840" s="235"/>
      <c r="I840" s="235"/>
      <c r="J840" s="235"/>
      <c r="K840" s="235"/>
      <c r="L840" s="235"/>
      <c r="M840" s="235"/>
      <c r="N840" s="511"/>
      <c r="O840" s="326"/>
      <c r="P840" s="324" t="s">
        <v>66</v>
      </c>
    </row>
    <row r="841" spans="1:16" ht="11.25" customHeight="1" x14ac:dyDescent="0.35">
      <c r="A841" s="611" t="str">
        <f>$B$510</f>
        <v>Return on net assets (RONA), %</v>
      </c>
      <c r="B841" s="339" t="s">
        <v>45</v>
      </c>
      <c r="C841" s="440"/>
      <c r="D841" s="1097"/>
      <c r="E841" s="342" t="s">
        <v>1028</v>
      </c>
      <c r="F841" s="946" t="str">
        <f>F$1&amp;"/"&amp;F$3</f>
        <v>8/2019</v>
      </c>
      <c r="G841" s="947" t="str">
        <f>G$1&amp;"/"&amp;G$3</f>
        <v>9/2019</v>
      </c>
      <c r="H841" s="948" t="str">
        <f t="shared" ref="H841:M841" si="546">H$440</f>
        <v>12/2019</v>
      </c>
      <c r="I841" s="948" t="str">
        <f t="shared" si="546"/>
        <v>12/2020</v>
      </c>
      <c r="J841" s="948" t="str">
        <f t="shared" si="546"/>
        <v>12/2021</v>
      </c>
      <c r="K841" s="948" t="str">
        <f t="shared" si="546"/>
        <v>12/2022</v>
      </c>
      <c r="L841" s="948" t="str">
        <f t="shared" si="546"/>
        <v>12/2023</v>
      </c>
      <c r="M841" s="948" t="str">
        <f t="shared" si="546"/>
        <v>12/2024</v>
      </c>
      <c r="N841" s="943" t="str">
        <f ca="1">N$16</f>
        <v>Residual</v>
      </c>
      <c r="O841" s="326"/>
      <c r="P841" s="324" t="s">
        <v>66</v>
      </c>
    </row>
    <row r="842" spans="1:16" ht="11.25" customHeight="1" x14ac:dyDescent="0.35">
      <c r="A842" s="612" t="str">
        <f>$B$511&amp;IF(TRIM(IF(Figures&gt;1,Figures&amp;" ","")&amp;Currency)&lt;&gt;"",", ","")&amp;IF(Figures&gt;1,Figures&amp;" ","")&amp;Currency</f>
        <v>Economic Value Added (EVA), Euro</v>
      </c>
      <c r="B842" s="346" t="s">
        <v>59</v>
      </c>
      <c r="C842" s="347"/>
      <c r="D842" s="1098"/>
      <c r="E842" s="439" t="s">
        <v>1029</v>
      </c>
      <c r="F842" s="949">
        <f>F$17</f>
        <v>12</v>
      </c>
      <c r="G842" s="950"/>
      <c r="H842" s="950">
        <f t="shared" ref="H842:N842" si="547">H$17</f>
        <v>4</v>
      </c>
      <c r="I842" s="950">
        <f t="shared" si="547"/>
        <v>12</v>
      </c>
      <c r="J842" s="950">
        <f t="shared" si="547"/>
        <v>12</v>
      </c>
      <c r="K842" s="950">
        <f t="shared" si="547"/>
        <v>12</v>
      </c>
      <c r="L842" s="950">
        <f t="shared" si="547"/>
        <v>12</v>
      </c>
      <c r="M842" s="950">
        <f t="shared" si="547"/>
        <v>12</v>
      </c>
      <c r="N842" s="944" t="str">
        <f t="shared" ca="1" si="547"/>
        <v>(12/2024)</v>
      </c>
      <c r="O842" s="326"/>
      <c r="P842" s="324" t="s">
        <v>71</v>
      </c>
    </row>
    <row r="843" spans="1:16" ht="13" customHeight="1" x14ac:dyDescent="0.35">
      <c r="A843" s="612" t="str">
        <f t="shared" ref="A843:A902" ca="1" si="548">TRIM(""&amp;OFFSET(A843,0,1)&amp;" "&amp;OFFSET(A843,0,2)&amp;" "&amp;OFFSET(A843,0,3))</f>
        <v/>
      </c>
      <c r="B843" s="613"/>
      <c r="C843" s="614"/>
      <c r="D843" s="1099"/>
      <c r="E843" s="615" t="s">
        <v>1030</v>
      </c>
      <c r="F843" s="1093"/>
      <c r="G843" s="1093"/>
      <c r="H843" s="1093"/>
      <c r="I843" s="1093"/>
      <c r="J843" s="1093"/>
      <c r="K843" s="1093"/>
      <c r="L843" s="1093"/>
      <c r="M843" s="1093"/>
      <c r="N843" s="1089"/>
      <c r="O843" s="616"/>
      <c r="P843" s="324" t="s">
        <v>392</v>
      </c>
    </row>
    <row r="844" spans="1:16" ht="13" customHeight="1" x14ac:dyDescent="0.35">
      <c r="A844" s="612" t="str">
        <f t="shared" ca="1" si="548"/>
        <v/>
      </c>
      <c r="B844" s="617"/>
      <c r="C844" s="618"/>
      <c r="D844" s="1100"/>
      <c r="E844" s="615" t="s">
        <v>1031</v>
      </c>
      <c r="F844" s="1094"/>
      <c r="G844" s="1094"/>
      <c r="H844" s="1094"/>
      <c r="I844" s="1094"/>
      <c r="J844" s="1094"/>
      <c r="K844" s="1094"/>
      <c r="L844" s="1094"/>
      <c r="M844" s="1094"/>
      <c r="N844" s="1090"/>
      <c r="O844" s="616"/>
      <c r="P844" s="324" t="s">
        <v>392</v>
      </c>
    </row>
    <row r="845" spans="1:16" ht="13" customHeight="1" x14ac:dyDescent="0.35">
      <c r="A845" s="612" t="str">
        <f t="shared" ca="1" si="548"/>
        <v/>
      </c>
      <c r="B845" s="617"/>
      <c r="C845" s="618"/>
      <c r="D845" s="1100"/>
      <c r="E845" s="615" t="s">
        <v>1032</v>
      </c>
      <c r="F845" s="1094"/>
      <c r="G845" s="1094"/>
      <c r="H845" s="1094"/>
      <c r="I845" s="1094"/>
      <c r="J845" s="1094"/>
      <c r="K845" s="1094"/>
      <c r="L845" s="1094"/>
      <c r="M845" s="1094"/>
      <c r="N845" s="1090"/>
      <c r="O845" s="616"/>
      <c r="P845" s="324" t="s">
        <v>392</v>
      </c>
    </row>
    <row r="846" spans="1:16" ht="13" customHeight="1" x14ac:dyDescent="0.35">
      <c r="A846" s="612" t="str">
        <f t="shared" ca="1" si="548"/>
        <v/>
      </c>
      <c r="B846" s="617"/>
      <c r="C846" s="618"/>
      <c r="D846" s="1100"/>
      <c r="E846" s="615" t="s">
        <v>1033</v>
      </c>
      <c r="F846" s="1094"/>
      <c r="G846" s="1094"/>
      <c r="H846" s="1094"/>
      <c r="I846" s="1094"/>
      <c r="J846" s="1094"/>
      <c r="K846" s="1094"/>
      <c r="L846" s="1094"/>
      <c r="M846" s="1094"/>
      <c r="N846" s="1090"/>
      <c r="O846" s="616"/>
      <c r="P846" s="324" t="s">
        <v>392</v>
      </c>
    </row>
    <row r="847" spans="1:16" ht="13" customHeight="1" x14ac:dyDescent="0.35">
      <c r="A847" s="612" t="str">
        <f t="shared" ca="1" si="548"/>
        <v/>
      </c>
      <c r="B847" s="617"/>
      <c r="C847" s="618"/>
      <c r="D847" s="1100"/>
      <c r="E847" s="615" t="s">
        <v>1034</v>
      </c>
      <c r="F847" s="1094"/>
      <c r="G847" s="1094"/>
      <c r="H847" s="1094"/>
      <c r="I847" s="1094"/>
      <c r="J847" s="1094"/>
      <c r="K847" s="1094"/>
      <c r="L847" s="1094"/>
      <c r="M847" s="1094"/>
      <c r="N847" s="1090"/>
      <c r="O847" s="616"/>
      <c r="P847" s="324" t="s">
        <v>392</v>
      </c>
    </row>
    <row r="848" spans="1:16" ht="13" customHeight="1" x14ac:dyDescent="0.35">
      <c r="A848" s="612" t="str">
        <f t="shared" ca="1" si="548"/>
        <v/>
      </c>
      <c r="B848" s="617"/>
      <c r="C848" s="618"/>
      <c r="D848" s="1100"/>
      <c r="E848" s="615" t="s">
        <v>1035</v>
      </c>
      <c r="F848" s="1094"/>
      <c r="G848" s="1094"/>
      <c r="H848" s="1094"/>
      <c r="I848" s="1094"/>
      <c r="J848" s="1094"/>
      <c r="K848" s="1094"/>
      <c r="L848" s="1094"/>
      <c r="M848" s="1094"/>
      <c r="N848" s="1090"/>
      <c r="O848" s="616"/>
      <c r="P848" s="324" t="s">
        <v>392</v>
      </c>
    </row>
    <row r="849" spans="1:16" ht="13" customHeight="1" x14ac:dyDescent="0.35">
      <c r="A849" s="612" t="str">
        <f t="shared" ca="1" si="548"/>
        <v/>
      </c>
      <c r="B849" s="617"/>
      <c r="C849" s="618"/>
      <c r="D849" s="1100"/>
      <c r="E849" s="615" t="s">
        <v>1036</v>
      </c>
      <c r="F849" s="1094"/>
      <c r="G849" s="1094"/>
      <c r="H849" s="1094"/>
      <c r="I849" s="1094"/>
      <c r="J849" s="1094"/>
      <c r="K849" s="1094"/>
      <c r="L849" s="1094"/>
      <c r="M849" s="1094"/>
      <c r="N849" s="1090"/>
      <c r="O849" s="616"/>
      <c r="P849" s="324" t="s">
        <v>392</v>
      </c>
    </row>
    <row r="850" spans="1:16" ht="13" customHeight="1" x14ac:dyDescent="0.35">
      <c r="A850" s="612" t="str">
        <f t="shared" ca="1" si="548"/>
        <v/>
      </c>
      <c r="B850" s="617"/>
      <c r="C850" s="618"/>
      <c r="D850" s="1100"/>
      <c r="E850" s="615" t="s">
        <v>1037</v>
      </c>
      <c r="F850" s="1094"/>
      <c r="G850" s="1094"/>
      <c r="H850" s="1094"/>
      <c r="I850" s="1094"/>
      <c r="J850" s="1094"/>
      <c r="K850" s="1094"/>
      <c r="L850" s="1094"/>
      <c r="M850" s="1094"/>
      <c r="N850" s="1090"/>
      <c r="O850" s="616"/>
      <c r="P850" s="324" t="s">
        <v>392</v>
      </c>
    </row>
    <row r="851" spans="1:16" ht="13" customHeight="1" x14ac:dyDescent="0.35">
      <c r="A851" s="612" t="str">
        <f t="shared" ca="1" si="548"/>
        <v/>
      </c>
      <c r="B851" s="617"/>
      <c r="C851" s="618"/>
      <c r="D851" s="1100"/>
      <c r="E851" s="615" t="s">
        <v>1038</v>
      </c>
      <c r="F851" s="1094"/>
      <c r="G851" s="1094"/>
      <c r="H851" s="1094"/>
      <c r="I851" s="1094"/>
      <c r="J851" s="1094"/>
      <c r="K851" s="1094"/>
      <c r="L851" s="1094"/>
      <c r="M851" s="1094"/>
      <c r="N851" s="1090"/>
      <c r="O851" s="616"/>
      <c r="P851" s="324" t="s">
        <v>392</v>
      </c>
    </row>
    <row r="852" spans="1:16" ht="13" customHeight="1" x14ac:dyDescent="0.35">
      <c r="A852" s="612" t="str">
        <f t="shared" ca="1" si="548"/>
        <v/>
      </c>
      <c r="B852" s="617"/>
      <c r="C852" s="618"/>
      <c r="D852" s="1100"/>
      <c r="E852" s="615" t="s">
        <v>1039</v>
      </c>
      <c r="F852" s="1094"/>
      <c r="G852" s="1094"/>
      <c r="H852" s="1094"/>
      <c r="I852" s="1094"/>
      <c r="J852" s="1094"/>
      <c r="K852" s="1094"/>
      <c r="L852" s="1094"/>
      <c r="M852" s="1094"/>
      <c r="N852" s="1090"/>
      <c r="O852" s="616"/>
      <c r="P852" s="324" t="s">
        <v>392</v>
      </c>
    </row>
    <row r="853" spans="1:16" ht="13" customHeight="1" x14ac:dyDescent="0.35">
      <c r="A853" s="612" t="str">
        <f t="shared" ca="1" si="548"/>
        <v/>
      </c>
      <c r="B853" s="617"/>
      <c r="C853" s="618"/>
      <c r="D853" s="1100"/>
      <c r="E853" s="615" t="s">
        <v>1040</v>
      </c>
      <c r="F853" s="1094"/>
      <c r="G853" s="1094"/>
      <c r="H853" s="1094"/>
      <c r="I853" s="1094"/>
      <c r="J853" s="1094"/>
      <c r="K853" s="1094"/>
      <c r="L853" s="1094"/>
      <c r="M853" s="1094"/>
      <c r="N853" s="1090"/>
      <c r="O853" s="616"/>
      <c r="P853" s="324" t="s">
        <v>392</v>
      </c>
    </row>
    <row r="854" spans="1:16" ht="13" customHeight="1" x14ac:dyDescent="0.35">
      <c r="A854" s="612" t="str">
        <f t="shared" ca="1" si="548"/>
        <v/>
      </c>
      <c r="B854" s="617"/>
      <c r="C854" s="618"/>
      <c r="D854" s="1100"/>
      <c r="E854" s="615" t="s">
        <v>1041</v>
      </c>
      <c r="F854" s="1094"/>
      <c r="G854" s="1094"/>
      <c r="H854" s="1094"/>
      <c r="I854" s="1094"/>
      <c r="J854" s="1094"/>
      <c r="K854" s="1094"/>
      <c r="L854" s="1094"/>
      <c r="M854" s="1094"/>
      <c r="N854" s="1090"/>
      <c r="O854" s="616"/>
      <c r="P854" s="324" t="s">
        <v>392</v>
      </c>
    </row>
    <row r="855" spans="1:16" ht="13" customHeight="1" x14ac:dyDescent="0.35">
      <c r="A855" s="612" t="str">
        <f t="shared" ca="1" si="548"/>
        <v/>
      </c>
      <c r="B855" s="617"/>
      <c r="C855" s="618"/>
      <c r="D855" s="1100"/>
      <c r="E855" s="615" t="s">
        <v>1042</v>
      </c>
      <c r="F855" s="1094"/>
      <c r="G855" s="1094"/>
      <c r="H855" s="1094"/>
      <c r="I855" s="1094"/>
      <c r="J855" s="1094"/>
      <c r="K855" s="1094"/>
      <c r="L855" s="1094"/>
      <c r="M855" s="1094"/>
      <c r="N855" s="1090"/>
      <c r="O855" s="616"/>
      <c r="P855" s="324" t="s">
        <v>392</v>
      </c>
    </row>
    <row r="856" spans="1:16" ht="13" customHeight="1" x14ac:dyDescent="0.35">
      <c r="A856" s="612" t="str">
        <f t="shared" ca="1" si="548"/>
        <v/>
      </c>
      <c r="B856" s="617"/>
      <c r="C856" s="618"/>
      <c r="D856" s="1100"/>
      <c r="E856" s="615" t="s">
        <v>1043</v>
      </c>
      <c r="F856" s="1094"/>
      <c r="G856" s="1094"/>
      <c r="H856" s="1094"/>
      <c r="I856" s="1094"/>
      <c r="J856" s="1094"/>
      <c r="K856" s="1094"/>
      <c r="L856" s="1094"/>
      <c r="M856" s="1094"/>
      <c r="N856" s="1090"/>
      <c r="O856" s="616"/>
      <c r="P856" s="324" t="s">
        <v>392</v>
      </c>
    </row>
    <row r="857" spans="1:16" ht="13" customHeight="1" x14ac:dyDescent="0.35">
      <c r="A857" s="612" t="str">
        <f t="shared" ca="1" si="548"/>
        <v/>
      </c>
      <c r="B857" s="617"/>
      <c r="C857" s="618"/>
      <c r="D857" s="1100"/>
      <c r="E857" s="615" t="s">
        <v>1044</v>
      </c>
      <c r="F857" s="1094"/>
      <c r="G857" s="1094"/>
      <c r="H857" s="1094"/>
      <c r="I857" s="1094"/>
      <c r="J857" s="1094"/>
      <c r="K857" s="1094"/>
      <c r="L857" s="1094"/>
      <c r="M857" s="1094"/>
      <c r="N857" s="1090"/>
      <c r="O857" s="616"/>
      <c r="P857" s="324" t="s">
        <v>392</v>
      </c>
    </row>
    <row r="858" spans="1:16" ht="13" customHeight="1" x14ac:dyDescent="0.35">
      <c r="A858" s="612" t="str">
        <f t="shared" ca="1" si="548"/>
        <v/>
      </c>
      <c r="B858" s="617"/>
      <c r="C858" s="618"/>
      <c r="D858" s="1100"/>
      <c r="E858" s="615" t="s">
        <v>1045</v>
      </c>
      <c r="F858" s="1094"/>
      <c r="G858" s="1094"/>
      <c r="H858" s="1094"/>
      <c r="I858" s="1094"/>
      <c r="J858" s="1094"/>
      <c r="K858" s="1094"/>
      <c r="L858" s="1094"/>
      <c r="M858" s="1094"/>
      <c r="N858" s="1090"/>
      <c r="O858" s="616"/>
      <c r="P858" s="324" t="s">
        <v>392</v>
      </c>
    </row>
    <row r="859" spans="1:16" ht="13" customHeight="1" x14ac:dyDescent="0.35">
      <c r="A859" s="612" t="str">
        <f t="shared" ca="1" si="548"/>
        <v/>
      </c>
      <c r="B859" s="617"/>
      <c r="C859" s="618"/>
      <c r="D859" s="1100"/>
      <c r="E859" s="615" t="s">
        <v>1046</v>
      </c>
      <c r="F859" s="1094"/>
      <c r="G859" s="1094"/>
      <c r="H859" s="1094"/>
      <c r="I859" s="1094"/>
      <c r="J859" s="1094"/>
      <c r="K859" s="1094"/>
      <c r="L859" s="1094"/>
      <c r="M859" s="1094"/>
      <c r="N859" s="1090"/>
      <c r="O859" s="616"/>
      <c r="P859" s="324" t="s">
        <v>392</v>
      </c>
    </row>
    <row r="860" spans="1:16" ht="13" customHeight="1" x14ac:dyDescent="0.35">
      <c r="A860" s="612" t="str">
        <f t="shared" ca="1" si="548"/>
        <v/>
      </c>
      <c r="B860" s="617"/>
      <c r="C860" s="618"/>
      <c r="D860" s="1100"/>
      <c r="E860" s="615" t="s">
        <v>1047</v>
      </c>
      <c r="F860" s="1094"/>
      <c r="G860" s="1094"/>
      <c r="H860" s="1094"/>
      <c r="I860" s="1094"/>
      <c r="J860" s="1094"/>
      <c r="K860" s="1094"/>
      <c r="L860" s="1094"/>
      <c r="M860" s="1094"/>
      <c r="N860" s="1090"/>
      <c r="O860" s="616"/>
      <c r="P860" s="324" t="s">
        <v>392</v>
      </c>
    </row>
    <row r="861" spans="1:16" ht="13" customHeight="1" x14ac:dyDescent="0.35">
      <c r="A861" s="612" t="str">
        <f t="shared" ca="1" si="548"/>
        <v/>
      </c>
      <c r="B861" s="617"/>
      <c r="C861" s="618"/>
      <c r="D861" s="1100"/>
      <c r="E861" s="615" t="s">
        <v>1048</v>
      </c>
      <c r="F861" s="1094"/>
      <c r="G861" s="1094"/>
      <c r="H861" s="1094"/>
      <c r="I861" s="1094"/>
      <c r="J861" s="1094"/>
      <c r="K861" s="1094"/>
      <c r="L861" s="1094"/>
      <c r="M861" s="1094"/>
      <c r="N861" s="1090"/>
      <c r="O861" s="616"/>
      <c r="P861" s="324" t="s">
        <v>392</v>
      </c>
    </row>
    <row r="862" spans="1:16" ht="13" customHeight="1" x14ac:dyDescent="0.35">
      <c r="A862" s="612" t="str">
        <f t="shared" ca="1" si="548"/>
        <v/>
      </c>
      <c r="B862" s="617"/>
      <c r="C862" s="618"/>
      <c r="D862" s="1100"/>
      <c r="E862" s="615" t="s">
        <v>1049</v>
      </c>
      <c r="F862" s="1094"/>
      <c r="G862" s="1094"/>
      <c r="H862" s="1094"/>
      <c r="I862" s="1094"/>
      <c r="J862" s="1094"/>
      <c r="K862" s="1094"/>
      <c r="L862" s="1094"/>
      <c r="M862" s="1094"/>
      <c r="N862" s="1090"/>
      <c r="O862" s="616"/>
      <c r="P862" s="324" t="s">
        <v>392</v>
      </c>
    </row>
    <row r="863" spans="1:16" ht="13" customHeight="1" x14ac:dyDescent="0.35">
      <c r="A863" s="612" t="str">
        <f t="shared" ca="1" si="548"/>
        <v/>
      </c>
      <c r="B863" s="617"/>
      <c r="C863" s="618"/>
      <c r="D863" s="1100"/>
      <c r="E863" s="615" t="s">
        <v>1050</v>
      </c>
      <c r="F863" s="1094"/>
      <c r="G863" s="1094"/>
      <c r="H863" s="1094"/>
      <c r="I863" s="1094"/>
      <c r="J863" s="1094"/>
      <c r="K863" s="1094"/>
      <c r="L863" s="1094"/>
      <c r="M863" s="1094"/>
      <c r="N863" s="1090"/>
      <c r="O863" s="616"/>
      <c r="P863" s="324" t="s">
        <v>392</v>
      </c>
    </row>
    <row r="864" spans="1:16" ht="13" customHeight="1" x14ac:dyDescent="0.35">
      <c r="A864" s="612" t="str">
        <f t="shared" ca="1" si="548"/>
        <v/>
      </c>
      <c r="B864" s="617"/>
      <c r="C864" s="618"/>
      <c r="D864" s="1100"/>
      <c r="E864" s="615" t="s">
        <v>1051</v>
      </c>
      <c r="F864" s="1094"/>
      <c r="G864" s="1094"/>
      <c r="H864" s="1094"/>
      <c r="I864" s="1094"/>
      <c r="J864" s="1094"/>
      <c r="K864" s="1094"/>
      <c r="L864" s="1094"/>
      <c r="M864" s="1094"/>
      <c r="N864" s="1090"/>
      <c r="O864" s="616"/>
      <c r="P864" s="324" t="s">
        <v>392</v>
      </c>
    </row>
    <row r="865" spans="1:16" ht="13" customHeight="1" x14ac:dyDescent="0.35">
      <c r="A865" s="612" t="str">
        <f t="shared" ca="1" si="548"/>
        <v/>
      </c>
      <c r="B865" s="617"/>
      <c r="C865" s="618"/>
      <c r="D865" s="1100"/>
      <c r="E865" s="615" t="s">
        <v>1052</v>
      </c>
      <c r="F865" s="1094"/>
      <c r="G865" s="1094"/>
      <c r="H865" s="1094"/>
      <c r="I865" s="1094"/>
      <c r="J865" s="1094"/>
      <c r="K865" s="1094"/>
      <c r="L865" s="1094"/>
      <c r="M865" s="1094"/>
      <c r="N865" s="1090"/>
      <c r="O865" s="616"/>
      <c r="P865" s="324" t="s">
        <v>392</v>
      </c>
    </row>
    <row r="866" spans="1:16" ht="13" customHeight="1" x14ac:dyDescent="0.35">
      <c r="A866" s="612" t="str">
        <f t="shared" ca="1" si="548"/>
        <v/>
      </c>
      <c r="B866" s="617"/>
      <c r="C866" s="619"/>
      <c r="D866" s="1101"/>
      <c r="E866" s="615" t="s">
        <v>1053</v>
      </c>
      <c r="F866" s="1095"/>
      <c r="G866" s="1095"/>
      <c r="H866" s="1095"/>
      <c r="I866" s="1095"/>
      <c r="J866" s="1095"/>
      <c r="K866" s="1095"/>
      <c r="L866" s="1095"/>
      <c r="M866" s="1095"/>
      <c r="N866" s="1091"/>
      <c r="O866" s="616"/>
      <c r="P866" s="324" t="s">
        <v>392</v>
      </c>
    </row>
    <row r="867" spans="1:16" ht="13" customHeight="1" x14ac:dyDescent="0.35">
      <c r="A867" s="612" t="str">
        <f t="shared" ca="1" si="548"/>
        <v/>
      </c>
      <c r="B867" s="617"/>
      <c r="C867" s="619"/>
      <c r="D867" s="1101"/>
      <c r="E867" s="615" t="s">
        <v>1054</v>
      </c>
      <c r="F867" s="1095"/>
      <c r="G867" s="1095"/>
      <c r="H867" s="1095"/>
      <c r="I867" s="1095"/>
      <c r="J867" s="1095"/>
      <c r="K867" s="1095"/>
      <c r="L867" s="1095"/>
      <c r="M867" s="1095"/>
      <c r="N867" s="1091"/>
      <c r="O867" s="616"/>
      <c r="P867" s="324" t="s">
        <v>392</v>
      </c>
    </row>
    <row r="868" spans="1:16" ht="13" customHeight="1" x14ac:dyDescent="0.35">
      <c r="A868" s="612" t="str">
        <f t="shared" ca="1" si="548"/>
        <v/>
      </c>
      <c r="B868" s="617"/>
      <c r="C868" s="619"/>
      <c r="D868" s="1101"/>
      <c r="E868" s="615" t="s">
        <v>1055</v>
      </c>
      <c r="F868" s="1095"/>
      <c r="G868" s="1095"/>
      <c r="H868" s="1095"/>
      <c r="I868" s="1095"/>
      <c r="J868" s="1095"/>
      <c r="K868" s="1095"/>
      <c r="L868" s="1095"/>
      <c r="M868" s="1095"/>
      <c r="N868" s="1091"/>
      <c r="O868" s="616"/>
      <c r="P868" s="324" t="s">
        <v>392</v>
      </c>
    </row>
    <row r="869" spans="1:16" ht="13" customHeight="1" x14ac:dyDescent="0.35">
      <c r="A869" s="612" t="str">
        <f t="shared" ca="1" si="548"/>
        <v/>
      </c>
      <c r="B869" s="617"/>
      <c r="C869" s="619"/>
      <c r="D869" s="1101"/>
      <c r="E869" s="615" t="s">
        <v>1056</v>
      </c>
      <c r="F869" s="1095"/>
      <c r="G869" s="1095"/>
      <c r="H869" s="1095"/>
      <c r="I869" s="1095"/>
      <c r="J869" s="1095"/>
      <c r="K869" s="1095"/>
      <c r="L869" s="1095"/>
      <c r="M869" s="1095"/>
      <c r="N869" s="1091"/>
      <c r="O869" s="616"/>
      <c r="P869" s="324" t="s">
        <v>392</v>
      </c>
    </row>
    <row r="870" spans="1:16" ht="13" customHeight="1" x14ac:dyDescent="0.35">
      <c r="A870" s="612" t="str">
        <f t="shared" ca="1" si="548"/>
        <v/>
      </c>
      <c r="B870" s="617"/>
      <c r="C870" s="619"/>
      <c r="D870" s="1101"/>
      <c r="E870" s="615" t="s">
        <v>1057</v>
      </c>
      <c r="F870" s="1095"/>
      <c r="G870" s="1095"/>
      <c r="H870" s="1095"/>
      <c r="I870" s="1095"/>
      <c r="J870" s="1095"/>
      <c r="K870" s="1095"/>
      <c r="L870" s="1095"/>
      <c r="M870" s="1095"/>
      <c r="N870" s="1091"/>
      <c r="O870" s="616"/>
      <c r="P870" s="324" t="s">
        <v>392</v>
      </c>
    </row>
    <row r="871" spans="1:16" ht="13" customHeight="1" x14ac:dyDescent="0.35">
      <c r="A871" s="612" t="str">
        <f t="shared" ca="1" si="548"/>
        <v/>
      </c>
      <c r="B871" s="617"/>
      <c r="C871" s="619"/>
      <c r="D871" s="1101"/>
      <c r="E871" s="615" t="s">
        <v>1058</v>
      </c>
      <c r="F871" s="1095"/>
      <c r="G871" s="1095"/>
      <c r="H871" s="1095"/>
      <c r="I871" s="1095"/>
      <c r="J871" s="1095"/>
      <c r="K871" s="1095"/>
      <c r="L871" s="1095"/>
      <c r="M871" s="1095"/>
      <c r="N871" s="1091"/>
      <c r="O871" s="616"/>
      <c r="P871" s="324" t="s">
        <v>392</v>
      </c>
    </row>
    <row r="872" spans="1:16" ht="13" customHeight="1" x14ac:dyDescent="0.35">
      <c r="A872" s="612" t="str">
        <f t="shared" ca="1" si="548"/>
        <v/>
      </c>
      <c r="B872" s="617"/>
      <c r="C872" s="619"/>
      <c r="D872" s="1101"/>
      <c r="E872" s="615" t="s">
        <v>1059</v>
      </c>
      <c r="F872" s="1095"/>
      <c r="G872" s="1095"/>
      <c r="H872" s="1095"/>
      <c r="I872" s="1095"/>
      <c r="J872" s="1095"/>
      <c r="K872" s="1095"/>
      <c r="L872" s="1095"/>
      <c r="M872" s="1095"/>
      <c r="N872" s="1091"/>
      <c r="O872" s="616"/>
      <c r="P872" s="324" t="s">
        <v>392</v>
      </c>
    </row>
    <row r="873" spans="1:16" ht="13" customHeight="1" x14ac:dyDescent="0.35">
      <c r="A873" s="612" t="str">
        <f t="shared" ca="1" si="548"/>
        <v/>
      </c>
      <c r="B873" s="617"/>
      <c r="C873" s="619"/>
      <c r="D873" s="1101"/>
      <c r="E873" s="615" t="s">
        <v>1060</v>
      </c>
      <c r="F873" s="1095"/>
      <c r="G873" s="1095"/>
      <c r="H873" s="1095"/>
      <c r="I873" s="1095"/>
      <c r="J873" s="1095"/>
      <c r="K873" s="1095"/>
      <c r="L873" s="1095"/>
      <c r="M873" s="1095"/>
      <c r="N873" s="1091"/>
      <c r="O873" s="616"/>
      <c r="P873" s="324" t="s">
        <v>392</v>
      </c>
    </row>
    <row r="874" spans="1:16" ht="13" customHeight="1" x14ac:dyDescent="0.35">
      <c r="A874" s="612" t="str">
        <f t="shared" ca="1" si="548"/>
        <v/>
      </c>
      <c r="B874" s="617"/>
      <c r="C874" s="619"/>
      <c r="D874" s="1101"/>
      <c r="E874" s="615" t="s">
        <v>1061</v>
      </c>
      <c r="F874" s="1095"/>
      <c r="G874" s="1095"/>
      <c r="H874" s="1095"/>
      <c r="I874" s="1095"/>
      <c r="J874" s="1095"/>
      <c r="K874" s="1095"/>
      <c r="L874" s="1095"/>
      <c r="M874" s="1095"/>
      <c r="N874" s="1091"/>
      <c r="O874" s="616"/>
      <c r="P874" s="324" t="s">
        <v>392</v>
      </c>
    </row>
    <row r="875" spans="1:16" ht="13" customHeight="1" x14ac:dyDescent="0.35">
      <c r="A875" s="612" t="str">
        <f t="shared" ca="1" si="548"/>
        <v/>
      </c>
      <c r="B875" s="617"/>
      <c r="C875" s="619"/>
      <c r="D875" s="1101"/>
      <c r="E875" s="615" t="s">
        <v>1062</v>
      </c>
      <c r="F875" s="1095"/>
      <c r="G875" s="1095"/>
      <c r="H875" s="1095"/>
      <c r="I875" s="1095"/>
      <c r="J875" s="1095"/>
      <c r="K875" s="1095"/>
      <c r="L875" s="1095"/>
      <c r="M875" s="1095"/>
      <c r="N875" s="1091"/>
      <c r="O875" s="616"/>
      <c r="P875" s="324" t="s">
        <v>392</v>
      </c>
    </row>
    <row r="876" spans="1:16" ht="13" customHeight="1" x14ac:dyDescent="0.35">
      <c r="A876" s="612" t="str">
        <f t="shared" ca="1" si="548"/>
        <v/>
      </c>
      <c r="B876" s="617"/>
      <c r="C876" s="619"/>
      <c r="D876" s="1101"/>
      <c r="E876" s="615" t="s">
        <v>1063</v>
      </c>
      <c r="F876" s="1095"/>
      <c r="G876" s="1095"/>
      <c r="H876" s="1095"/>
      <c r="I876" s="1095"/>
      <c r="J876" s="1095"/>
      <c r="K876" s="1095"/>
      <c r="L876" s="1095"/>
      <c r="M876" s="1095"/>
      <c r="N876" s="1091"/>
      <c r="O876" s="616"/>
      <c r="P876" s="324" t="s">
        <v>392</v>
      </c>
    </row>
    <row r="877" spans="1:16" ht="13" customHeight="1" x14ac:dyDescent="0.35">
      <c r="A877" s="612" t="str">
        <f t="shared" ca="1" si="548"/>
        <v/>
      </c>
      <c r="B877" s="617"/>
      <c r="C877" s="619"/>
      <c r="D877" s="1101"/>
      <c r="E877" s="615" t="s">
        <v>1064</v>
      </c>
      <c r="F877" s="1095"/>
      <c r="G877" s="1095"/>
      <c r="H877" s="1095"/>
      <c r="I877" s="1095"/>
      <c r="J877" s="1095"/>
      <c r="K877" s="1095"/>
      <c r="L877" s="1095"/>
      <c r="M877" s="1095"/>
      <c r="N877" s="1091"/>
      <c r="O877" s="616"/>
      <c r="P877" s="324" t="s">
        <v>392</v>
      </c>
    </row>
    <row r="878" spans="1:16" ht="13" customHeight="1" x14ac:dyDescent="0.35">
      <c r="A878" s="612" t="str">
        <f t="shared" ca="1" si="548"/>
        <v/>
      </c>
      <c r="B878" s="617"/>
      <c r="C878" s="619"/>
      <c r="D878" s="1101"/>
      <c r="E878" s="615" t="s">
        <v>1065</v>
      </c>
      <c r="F878" s="1095"/>
      <c r="G878" s="1095"/>
      <c r="H878" s="1095"/>
      <c r="I878" s="1095"/>
      <c r="J878" s="1095"/>
      <c r="K878" s="1095"/>
      <c r="L878" s="1095"/>
      <c r="M878" s="1095"/>
      <c r="N878" s="1091"/>
      <c r="O878" s="616"/>
      <c r="P878" s="324" t="s">
        <v>392</v>
      </c>
    </row>
    <row r="879" spans="1:16" ht="13" customHeight="1" x14ac:dyDescent="0.35">
      <c r="A879" s="612" t="str">
        <f t="shared" ca="1" si="548"/>
        <v/>
      </c>
      <c r="B879" s="617"/>
      <c r="C879" s="619"/>
      <c r="D879" s="1101"/>
      <c r="E879" s="615" t="s">
        <v>1066</v>
      </c>
      <c r="F879" s="1095"/>
      <c r="G879" s="1095"/>
      <c r="H879" s="1095"/>
      <c r="I879" s="1095"/>
      <c r="J879" s="1095"/>
      <c r="K879" s="1095"/>
      <c r="L879" s="1095"/>
      <c r="M879" s="1095"/>
      <c r="N879" s="1091"/>
      <c r="O879" s="616"/>
      <c r="P879" s="324" t="s">
        <v>392</v>
      </c>
    </row>
    <row r="880" spans="1:16" ht="13" customHeight="1" x14ac:dyDescent="0.35">
      <c r="A880" s="612" t="str">
        <f t="shared" ca="1" si="548"/>
        <v/>
      </c>
      <c r="B880" s="617"/>
      <c r="C880" s="619"/>
      <c r="D880" s="1101"/>
      <c r="E880" s="615" t="s">
        <v>1067</v>
      </c>
      <c r="F880" s="1095"/>
      <c r="G880" s="1095"/>
      <c r="H880" s="1095"/>
      <c r="I880" s="1095"/>
      <c r="J880" s="1095"/>
      <c r="K880" s="1095"/>
      <c r="L880" s="1095"/>
      <c r="M880" s="1095"/>
      <c r="N880" s="1091"/>
      <c r="O880" s="616"/>
      <c r="P880" s="324" t="s">
        <v>392</v>
      </c>
    </row>
    <row r="881" spans="1:16" ht="13" customHeight="1" x14ac:dyDescent="0.35">
      <c r="A881" s="612" t="str">
        <f t="shared" ca="1" si="548"/>
        <v/>
      </c>
      <c r="B881" s="617"/>
      <c r="C881" s="619"/>
      <c r="D881" s="1101"/>
      <c r="E881" s="615" t="s">
        <v>1068</v>
      </c>
      <c r="F881" s="1095"/>
      <c r="G881" s="1095"/>
      <c r="H881" s="1095"/>
      <c r="I881" s="1095"/>
      <c r="J881" s="1095"/>
      <c r="K881" s="1095"/>
      <c r="L881" s="1095"/>
      <c r="M881" s="1095"/>
      <c r="N881" s="1091"/>
      <c r="O881" s="616"/>
      <c r="P881" s="324" t="s">
        <v>392</v>
      </c>
    </row>
    <row r="882" spans="1:16" ht="13" customHeight="1" x14ac:dyDescent="0.35">
      <c r="A882" s="612" t="str">
        <f t="shared" ca="1" si="548"/>
        <v/>
      </c>
      <c r="B882" s="617"/>
      <c r="C882" s="619"/>
      <c r="D882" s="1101"/>
      <c r="E882" s="615" t="s">
        <v>4936</v>
      </c>
      <c r="F882" s="1095"/>
      <c r="G882" s="1095"/>
      <c r="H882" s="1095"/>
      <c r="I882" s="1095"/>
      <c r="J882" s="1095"/>
      <c r="K882" s="1095"/>
      <c r="L882" s="1095"/>
      <c r="M882" s="1095"/>
      <c r="N882" s="1091"/>
      <c r="O882" s="616"/>
      <c r="P882" s="324" t="s">
        <v>392</v>
      </c>
    </row>
    <row r="883" spans="1:16" ht="13" customHeight="1" x14ac:dyDescent="0.35">
      <c r="A883" s="612" t="str">
        <f t="shared" ca="1" si="548"/>
        <v/>
      </c>
      <c r="B883" s="617"/>
      <c r="C883" s="619"/>
      <c r="D883" s="1101"/>
      <c r="E883" s="615" t="s">
        <v>4937</v>
      </c>
      <c r="F883" s="1095"/>
      <c r="G883" s="1095"/>
      <c r="H883" s="1095"/>
      <c r="I883" s="1095"/>
      <c r="J883" s="1095"/>
      <c r="K883" s="1095"/>
      <c r="L883" s="1095"/>
      <c r="M883" s="1095"/>
      <c r="N883" s="1091"/>
      <c r="O883" s="616"/>
      <c r="P883" s="324" t="s">
        <v>392</v>
      </c>
    </row>
    <row r="884" spans="1:16" ht="13" customHeight="1" x14ac:dyDescent="0.35">
      <c r="A884" s="612" t="str">
        <f t="shared" ca="1" si="548"/>
        <v/>
      </c>
      <c r="B884" s="617"/>
      <c r="C884" s="619"/>
      <c r="D884" s="1101"/>
      <c r="E884" s="615" t="s">
        <v>4938</v>
      </c>
      <c r="F884" s="1095"/>
      <c r="G884" s="1095"/>
      <c r="H884" s="1095"/>
      <c r="I884" s="1095"/>
      <c r="J884" s="1095"/>
      <c r="K884" s="1095"/>
      <c r="L884" s="1095"/>
      <c r="M884" s="1095"/>
      <c r="N884" s="1091"/>
      <c r="O884" s="616"/>
      <c r="P884" s="324" t="s">
        <v>392</v>
      </c>
    </row>
    <row r="885" spans="1:16" ht="13" customHeight="1" x14ac:dyDescent="0.35">
      <c r="A885" s="612" t="str">
        <f t="shared" ca="1" si="548"/>
        <v/>
      </c>
      <c r="B885" s="617"/>
      <c r="C885" s="619"/>
      <c r="D885" s="1101"/>
      <c r="E885" s="615" t="s">
        <v>4939</v>
      </c>
      <c r="F885" s="1095"/>
      <c r="G885" s="1095"/>
      <c r="H885" s="1095"/>
      <c r="I885" s="1095"/>
      <c r="J885" s="1095"/>
      <c r="K885" s="1095"/>
      <c r="L885" s="1095"/>
      <c r="M885" s="1095"/>
      <c r="N885" s="1091"/>
      <c r="O885" s="616"/>
      <c r="P885" s="324" t="s">
        <v>392</v>
      </c>
    </row>
    <row r="886" spans="1:16" ht="13" customHeight="1" x14ac:dyDescent="0.35">
      <c r="A886" s="612" t="str">
        <f t="shared" ca="1" si="548"/>
        <v/>
      </c>
      <c r="B886" s="617"/>
      <c r="C886" s="619"/>
      <c r="D886" s="1101"/>
      <c r="E886" s="615" t="s">
        <v>4940</v>
      </c>
      <c r="F886" s="1095"/>
      <c r="G886" s="1095"/>
      <c r="H886" s="1095"/>
      <c r="I886" s="1095"/>
      <c r="J886" s="1095"/>
      <c r="K886" s="1095"/>
      <c r="L886" s="1095"/>
      <c r="M886" s="1095"/>
      <c r="N886" s="1091"/>
      <c r="O886" s="616"/>
      <c r="P886" s="324" t="s">
        <v>392</v>
      </c>
    </row>
    <row r="887" spans="1:16" ht="13" customHeight="1" x14ac:dyDescent="0.35">
      <c r="A887" s="612" t="str">
        <f t="shared" ca="1" si="548"/>
        <v/>
      </c>
      <c r="B887" s="617"/>
      <c r="C887" s="619"/>
      <c r="D887" s="1101"/>
      <c r="E887" s="615" t="s">
        <v>4941</v>
      </c>
      <c r="F887" s="1095"/>
      <c r="G887" s="1095"/>
      <c r="H887" s="1095"/>
      <c r="I887" s="1095"/>
      <c r="J887" s="1095"/>
      <c r="K887" s="1095"/>
      <c r="L887" s="1095"/>
      <c r="M887" s="1095"/>
      <c r="N887" s="1091"/>
      <c r="O887" s="616"/>
      <c r="P887" s="324" t="s">
        <v>392</v>
      </c>
    </row>
    <row r="888" spans="1:16" ht="13" customHeight="1" x14ac:dyDescent="0.35">
      <c r="A888" s="612" t="str">
        <f t="shared" ca="1" si="548"/>
        <v/>
      </c>
      <c r="B888" s="617"/>
      <c r="C888" s="619"/>
      <c r="D888" s="1101"/>
      <c r="E888" s="615" t="s">
        <v>4942</v>
      </c>
      <c r="F888" s="1095"/>
      <c r="G888" s="1095"/>
      <c r="H888" s="1095"/>
      <c r="I888" s="1095"/>
      <c r="J888" s="1095"/>
      <c r="K888" s="1095"/>
      <c r="L888" s="1095"/>
      <c r="M888" s="1095"/>
      <c r="N888" s="1091"/>
      <c r="O888" s="616"/>
      <c r="P888" s="324" t="s">
        <v>392</v>
      </c>
    </row>
    <row r="889" spans="1:16" ht="13" customHeight="1" x14ac:dyDescent="0.35">
      <c r="A889" s="612" t="str">
        <f t="shared" ca="1" si="548"/>
        <v/>
      </c>
      <c r="B889" s="617"/>
      <c r="C889" s="619"/>
      <c r="D889" s="1101"/>
      <c r="E889" s="615" t="s">
        <v>4943</v>
      </c>
      <c r="F889" s="1095"/>
      <c r="G889" s="1095"/>
      <c r="H889" s="1095"/>
      <c r="I889" s="1095"/>
      <c r="J889" s="1095"/>
      <c r="K889" s="1095"/>
      <c r="L889" s="1095"/>
      <c r="M889" s="1095"/>
      <c r="N889" s="1091"/>
      <c r="O889" s="616"/>
      <c r="P889" s="324" t="s">
        <v>392</v>
      </c>
    </row>
    <row r="890" spans="1:16" ht="13" customHeight="1" x14ac:dyDescent="0.35">
      <c r="A890" s="612" t="str">
        <f t="shared" ca="1" si="548"/>
        <v/>
      </c>
      <c r="B890" s="617"/>
      <c r="C890" s="619"/>
      <c r="D890" s="1101"/>
      <c r="E890" s="615" t="s">
        <v>4944</v>
      </c>
      <c r="F890" s="1095"/>
      <c r="G890" s="1095"/>
      <c r="H890" s="1095"/>
      <c r="I890" s="1095"/>
      <c r="J890" s="1095"/>
      <c r="K890" s="1095"/>
      <c r="L890" s="1095"/>
      <c r="M890" s="1095"/>
      <c r="N890" s="1091"/>
      <c r="O890" s="616"/>
      <c r="P890" s="324" t="s">
        <v>392</v>
      </c>
    </row>
    <row r="891" spans="1:16" ht="13" customHeight="1" x14ac:dyDescent="0.35">
      <c r="A891" s="612" t="str">
        <f t="shared" ca="1" si="548"/>
        <v/>
      </c>
      <c r="B891" s="617"/>
      <c r="C891" s="619"/>
      <c r="D891" s="1101"/>
      <c r="E891" s="615" t="s">
        <v>4945</v>
      </c>
      <c r="F891" s="1095"/>
      <c r="G891" s="1095"/>
      <c r="H891" s="1095"/>
      <c r="I891" s="1095"/>
      <c r="J891" s="1095"/>
      <c r="K891" s="1095"/>
      <c r="L891" s="1095"/>
      <c r="M891" s="1095"/>
      <c r="N891" s="1091"/>
      <c r="O891" s="616"/>
      <c r="P891" s="324" t="s">
        <v>392</v>
      </c>
    </row>
    <row r="892" spans="1:16" ht="13" customHeight="1" x14ac:dyDescent="0.35">
      <c r="A892" s="612" t="str">
        <f t="shared" ca="1" si="548"/>
        <v/>
      </c>
      <c r="B892" s="617"/>
      <c r="C892" s="619"/>
      <c r="D892" s="1101"/>
      <c r="E892" s="615" t="s">
        <v>4946</v>
      </c>
      <c r="F892" s="1095"/>
      <c r="G892" s="1095"/>
      <c r="H892" s="1095"/>
      <c r="I892" s="1095"/>
      <c r="J892" s="1095"/>
      <c r="K892" s="1095"/>
      <c r="L892" s="1095"/>
      <c r="M892" s="1095"/>
      <c r="N892" s="1091"/>
      <c r="O892" s="616"/>
      <c r="P892" s="324" t="s">
        <v>392</v>
      </c>
    </row>
    <row r="893" spans="1:16" ht="13" customHeight="1" x14ac:dyDescent="0.35">
      <c r="A893" s="612" t="str">
        <f t="shared" ca="1" si="548"/>
        <v/>
      </c>
      <c r="B893" s="617"/>
      <c r="C893" s="619"/>
      <c r="D893" s="1101"/>
      <c r="E893" s="615" t="s">
        <v>4947</v>
      </c>
      <c r="F893" s="1095"/>
      <c r="G893" s="1095"/>
      <c r="H893" s="1095"/>
      <c r="I893" s="1095"/>
      <c r="J893" s="1095"/>
      <c r="K893" s="1095"/>
      <c r="L893" s="1095"/>
      <c r="M893" s="1095"/>
      <c r="N893" s="1091"/>
      <c r="O893" s="616"/>
      <c r="P893" s="324" t="s">
        <v>392</v>
      </c>
    </row>
    <row r="894" spans="1:16" ht="13" customHeight="1" x14ac:dyDescent="0.35">
      <c r="A894" s="612" t="str">
        <f t="shared" ca="1" si="548"/>
        <v/>
      </c>
      <c r="B894" s="617"/>
      <c r="C894" s="619"/>
      <c r="D894" s="1101"/>
      <c r="E894" s="615" t="s">
        <v>4948</v>
      </c>
      <c r="F894" s="1095"/>
      <c r="G894" s="1095"/>
      <c r="H894" s="1095"/>
      <c r="I894" s="1095"/>
      <c r="J894" s="1095"/>
      <c r="K894" s="1095"/>
      <c r="L894" s="1095"/>
      <c r="M894" s="1095"/>
      <c r="N894" s="1091"/>
      <c r="O894" s="616"/>
      <c r="P894" s="324" t="s">
        <v>392</v>
      </c>
    </row>
    <row r="895" spans="1:16" ht="13" customHeight="1" x14ac:dyDescent="0.35">
      <c r="A895" s="612" t="str">
        <f t="shared" ca="1" si="548"/>
        <v/>
      </c>
      <c r="B895" s="617"/>
      <c r="C895" s="619"/>
      <c r="D895" s="1101"/>
      <c r="E895" s="615" t="s">
        <v>4949</v>
      </c>
      <c r="F895" s="1095"/>
      <c r="G895" s="1095"/>
      <c r="H895" s="1095"/>
      <c r="I895" s="1095"/>
      <c r="J895" s="1095"/>
      <c r="K895" s="1095"/>
      <c r="L895" s="1095"/>
      <c r="M895" s="1095"/>
      <c r="N895" s="1091"/>
      <c r="O895" s="616"/>
      <c r="P895" s="324" t="s">
        <v>392</v>
      </c>
    </row>
    <row r="896" spans="1:16" ht="13" customHeight="1" x14ac:dyDescent="0.35">
      <c r="A896" s="612" t="str">
        <f t="shared" ca="1" si="548"/>
        <v/>
      </c>
      <c r="B896" s="617"/>
      <c r="C896" s="619"/>
      <c r="D896" s="1101"/>
      <c r="E896" s="615" t="s">
        <v>4950</v>
      </c>
      <c r="F896" s="1095"/>
      <c r="G896" s="1095"/>
      <c r="H896" s="1095"/>
      <c r="I896" s="1095"/>
      <c r="J896" s="1095"/>
      <c r="K896" s="1095"/>
      <c r="L896" s="1095"/>
      <c r="M896" s="1095"/>
      <c r="N896" s="1091"/>
      <c r="O896" s="616"/>
      <c r="P896" s="324" t="s">
        <v>392</v>
      </c>
    </row>
    <row r="897" spans="1:17" ht="13" customHeight="1" x14ac:dyDescent="0.35">
      <c r="A897" s="612" t="str">
        <f t="shared" ca="1" si="548"/>
        <v/>
      </c>
      <c r="B897" s="617"/>
      <c r="C897" s="619"/>
      <c r="D897" s="1101"/>
      <c r="E897" s="615" t="s">
        <v>4951</v>
      </c>
      <c r="F897" s="1095"/>
      <c r="G897" s="1095"/>
      <c r="H897" s="1095"/>
      <c r="I897" s="1095"/>
      <c r="J897" s="1095"/>
      <c r="K897" s="1095"/>
      <c r="L897" s="1095"/>
      <c r="M897" s="1095"/>
      <c r="N897" s="1091"/>
      <c r="O897" s="616"/>
      <c r="P897" s="324" t="s">
        <v>392</v>
      </c>
    </row>
    <row r="898" spans="1:17" ht="13" customHeight="1" x14ac:dyDescent="0.35">
      <c r="A898" s="612" t="str">
        <f t="shared" ca="1" si="548"/>
        <v/>
      </c>
      <c r="B898" s="617"/>
      <c r="C898" s="619"/>
      <c r="D898" s="1101"/>
      <c r="E898" s="615" t="s">
        <v>4952</v>
      </c>
      <c r="F898" s="1095"/>
      <c r="G898" s="1095"/>
      <c r="H898" s="1095"/>
      <c r="I898" s="1095"/>
      <c r="J898" s="1095"/>
      <c r="K898" s="1095"/>
      <c r="L898" s="1095"/>
      <c r="M898" s="1095"/>
      <c r="N898" s="1091"/>
      <c r="O898" s="616"/>
      <c r="P898" s="324" t="s">
        <v>392</v>
      </c>
    </row>
    <row r="899" spans="1:17" ht="13" customHeight="1" x14ac:dyDescent="0.35">
      <c r="A899" s="612" t="str">
        <f t="shared" ca="1" si="548"/>
        <v/>
      </c>
      <c r="B899" s="617"/>
      <c r="C899" s="619"/>
      <c r="D899" s="1101"/>
      <c r="E899" s="615" t="s">
        <v>4953</v>
      </c>
      <c r="F899" s="1095"/>
      <c r="G899" s="1095"/>
      <c r="H899" s="1095"/>
      <c r="I899" s="1095"/>
      <c r="J899" s="1095"/>
      <c r="K899" s="1095"/>
      <c r="L899" s="1095"/>
      <c r="M899" s="1095"/>
      <c r="N899" s="1091"/>
      <c r="O899" s="616"/>
      <c r="P899" s="324" t="s">
        <v>392</v>
      </c>
    </row>
    <row r="900" spans="1:17" ht="13" customHeight="1" x14ac:dyDescent="0.35">
      <c r="A900" s="612" t="str">
        <f t="shared" ca="1" si="548"/>
        <v/>
      </c>
      <c r="B900" s="617"/>
      <c r="C900" s="619"/>
      <c r="D900" s="1101"/>
      <c r="E900" s="615" t="s">
        <v>4954</v>
      </c>
      <c r="F900" s="1095"/>
      <c r="G900" s="1095"/>
      <c r="H900" s="1095"/>
      <c r="I900" s="1095"/>
      <c r="J900" s="1095"/>
      <c r="K900" s="1095"/>
      <c r="L900" s="1095"/>
      <c r="M900" s="1095"/>
      <c r="N900" s="1091"/>
      <c r="O900" s="616"/>
      <c r="P900" s="324" t="s">
        <v>392</v>
      </c>
    </row>
    <row r="901" spans="1:17" ht="13" customHeight="1" x14ac:dyDescent="0.35">
      <c r="A901" s="612" t="str">
        <f t="shared" ca="1" si="548"/>
        <v/>
      </c>
      <c r="B901" s="617"/>
      <c r="C901" s="619"/>
      <c r="D901" s="1101"/>
      <c r="E901" s="615" t="s">
        <v>4955</v>
      </c>
      <c r="F901" s="1095"/>
      <c r="G901" s="1095"/>
      <c r="H901" s="1095"/>
      <c r="I901" s="1095"/>
      <c r="J901" s="1095"/>
      <c r="K901" s="1095"/>
      <c r="L901" s="1095"/>
      <c r="M901" s="1095"/>
      <c r="N901" s="1091"/>
      <c r="O901" s="616"/>
      <c r="P901" s="324" t="s">
        <v>392</v>
      </c>
    </row>
    <row r="902" spans="1:17" ht="13" customHeight="1" x14ac:dyDescent="0.35">
      <c r="A902" s="612" t="str">
        <f t="shared" ca="1" si="548"/>
        <v/>
      </c>
      <c r="B902" s="620"/>
      <c r="C902" s="621"/>
      <c r="D902" s="1102"/>
      <c r="E902" s="310" t="s">
        <v>1069</v>
      </c>
      <c r="F902" s="1096"/>
      <c r="G902" s="1096"/>
      <c r="H902" s="1096"/>
      <c r="I902" s="1096"/>
      <c r="J902" s="1096"/>
      <c r="K902" s="1096"/>
      <c r="L902" s="1096"/>
      <c r="M902" s="1096"/>
      <c r="N902" s="1092"/>
      <c r="O902" s="616"/>
      <c r="P902" s="324" t="s">
        <v>392</v>
      </c>
    </row>
    <row r="903" spans="1:17" ht="4" customHeight="1" x14ac:dyDescent="0.35">
      <c r="A903" s="235"/>
      <c r="B903" s="622"/>
      <c r="C903" s="508"/>
      <c r="D903" s="508"/>
      <c r="E903" s="508" t="s">
        <v>39</v>
      </c>
      <c r="F903" s="508"/>
      <c r="G903" s="508"/>
      <c r="H903" s="508"/>
      <c r="I903" s="508"/>
      <c r="J903" s="508"/>
      <c r="K903" s="508"/>
      <c r="L903" s="508"/>
      <c r="M903" s="508"/>
      <c r="N903" s="508"/>
      <c r="O903" s="541"/>
      <c r="P903" s="324" t="s">
        <v>66</v>
      </c>
    </row>
    <row r="904" spans="1:17" ht="11.25" hidden="1" customHeight="1" x14ac:dyDescent="0.35">
      <c r="A904" s="1267"/>
      <c r="B904" s="1268" t="s">
        <v>1070</v>
      </c>
      <c r="C904" s="1268"/>
      <c r="D904" s="1268"/>
      <c r="E904" s="1268" t="s">
        <v>1071</v>
      </c>
      <c r="F904" s="1269"/>
      <c r="G904" s="1269">
        <f ca="1">G520+G521+(G522-OFFSET($E$503,0,G$8))</f>
        <v>0</v>
      </c>
      <c r="H904" s="1269">
        <f t="shared" ref="H904:N904" ca="1" si="549">H520+H521+(H522-OFFSET($E$503,0,H$8))</f>
        <v>0</v>
      </c>
      <c r="I904" s="1269">
        <f t="shared" ca="1" si="549"/>
        <v>0</v>
      </c>
      <c r="J904" s="1269">
        <f t="shared" ca="1" si="549"/>
        <v>0</v>
      </c>
      <c r="K904" s="1269">
        <f t="shared" ca="1" si="549"/>
        <v>0</v>
      </c>
      <c r="L904" s="1269">
        <f t="shared" ca="1" si="549"/>
        <v>0</v>
      </c>
      <c r="M904" s="1269">
        <f t="shared" ref="M904" ca="1" si="550">M520+M521+(M522-OFFSET($E$503,0,M$8))</f>
        <v>0</v>
      </c>
      <c r="N904" s="1269">
        <f t="shared" ca="1" si="549"/>
        <v>0</v>
      </c>
      <c r="O904" s="1270"/>
      <c r="P904" s="1268" t="s">
        <v>533</v>
      </c>
      <c r="Q904" s="1271"/>
    </row>
    <row r="905" spans="1:17" ht="11.25" hidden="1" customHeight="1" x14ac:dyDescent="0.35">
      <c r="A905" s="1267"/>
      <c r="B905" s="1268" t="s">
        <v>1072</v>
      </c>
      <c r="C905" s="1268"/>
      <c r="D905" s="1268"/>
      <c r="E905" s="1268" t="s">
        <v>1073</v>
      </c>
      <c r="F905" s="1269"/>
      <c r="G905" s="1269">
        <f t="shared" ref="G905:N905" ca="1" si="551">G904+OFFSET(G905,0,-1)</f>
        <v>0</v>
      </c>
      <c r="H905" s="1269">
        <f t="shared" ca="1" si="551"/>
        <v>0</v>
      </c>
      <c r="I905" s="1269">
        <f t="shared" ca="1" si="551"/>
        <v>0</v>
      </c>
      <c r="J905" s="1269">
        <f t="shared" ca="1" si="551"/>
        <v>0</v>
      </c>
      <c r="K905" s="1269">
        <f t="shared" ca="1" si="551"/>
        <v>0</v>
      </c>
      <c r="L905" s="1269">
        <f t="shared" ca="1" si="551"/>
        <v>0</v>
      </c>
      <c r="M905" s="1269">
        <f t="shared" ref="M905" ca="1" si="552">M904+OFFSET(M905,0,-1)</f>
        <v>0</v>
      </c>
      <c r="N905" s="1269">
        <f t="shared" ca="1" si="551"/>
        <v>0</v>
      </c>
      <c r="O905" s="1270"/>
      <c r="P905" s="1268" t="s">
        <v>533</v>
      </c>
      <c r="Q905" s="1271"/>
    </row>
    <row r="906" spans="1:17" ht="11.25" hidden="1" customHeight="1" x14ac:dyDescent="0.35">
      <c r="A906" s="1267"/>
      <c r="B906" s="1268" t="s">
        <v>390</v>
      </c>
      <c r="C906" s="1268"/>
      <c r="D906" s="1268" t="s">
        <v>1074</v>
      </c>
      <c r="E906" s="1268" t="s">
        <v>1075</v>
      </c>
      <c r="F906" s="1272"/>
      <c r="G906" s="1269">
        <f t="shared" ref="G906:N906" ca="1" si="553">IF(NOT(IFRSSheetInUse),0,IF(OR(AND(G$5=0,NoZeroCol=1),AND(G$5=-99,NoResCol=1)),0,+OFFSET(G$21,-2,0)+OFFSET(G$31,-2,0)+OFFSET(G$41,-2,0)+OFFSET(G$51,-2,0)+OFFSET(G$61,-2,0)+OFFSET(G$71,-2,0)+OFFSET(G$81,-2,0)+OFFSET(G$91,-2,0)+OFFSET(G$101,-2,0)+OFFSET(G$111,-2,0)+OFFSET(G$121,-2,0)+OFFSET(G$131,-2,0)+OFFSET(G$141,-2,0)+OFFSET(G$151,-2,0)+OFFSET(G$161,-2,0)+OFFSET(G$171,-2,0)+OFFSET(G$181,-2,0)+OFFSET(G$191,-2,0)+OFFSET(G$201,-2,0)+OFFSET(G$211,-2,0)+OFFSET(G$221,-2,0)+OFFSET(G$231,-2,0)+OFFSET(G$241,-2,0)+OFFSET(G$251,-2,0)+OFFSET(G$261,-2,0)+OFFSET(G$271,-2,0)+OFFSET(G$281,-2,0)+OFFSET(G$291,-2,0)+OFFSET(G$301,-2,0)+OFFSET(G$311,-2,0)-G$907-G$908-G$909))</f>
        <v>0</v>
      </c>
      <c r="H906" s="1269">
        <f t="shared" ca="1" si="553"/>
        <v>0</v>
      </c>
      <c r="I906" s="1269">
        <f t="shared" ca="1" si="553"/>
        <v>0</v>
      </c>
      <c r="J906" s="1269">
        <f t="shared" ca="1" si="553"/>
        <v>0</v>
      </c>
      <c r="K906" s="1269">
        <f t="shared" ca="1" si="553"/>
        <v>0</v>
      </c>
      <c r="L906" s="1269">
        <f t="shared" ca="1" si="553"/>
        <v>0</v>
      </c>
      <c r="M906" s="1269">
        <f t="shared" ca="1" si="553"/>
        <v>0</v>
      </c>
      <c r="N906" s="1269">
        <f t="shared" ca="1" si="553"/>
        <v>0</v>
      </c>
      <c r="O906" s="1270"/>
      <c r="P906" s="1268" t="s">
        <v>40</v>
      </c>
      <c r="Q906" s="1271"/>
    </row>
    <row r="907" spans="1:17" ht="11.25" hidden="1" customHeight="1" x14ac:dyDescent="0.35">
      <c r="A907" s="1267"/>
      <c r="B907" s="1268" t="s">
        <v>393</v>
      </c>
      <c r="C907" s="1268"/>
      <c r="D907" s="1268"/>
      <c r="E907" s="1268" t="s">
        <v>1076</v>
      </c>
      <c r="F907" s="1272"/>
      <c r="G907" s="1269">
        <f t="shared" ref="G907:N907" si="554">IF(NOT(IFRSSheetInUse),0,IF(OR(AND(G$5=0,NoZeroCol=1),AND(G$5=-99,NoResCol=1)),0,+G$22+G$32+G$42+G$52+G$62+G$72+G$82+G$92+G$102+G$112+G$122+G$132+G$142+G$152+G$162+G$172+G$182+G$192+G$202+G$212+G$222+G$232+G$242+G$252+G$262+G$272+G$282+G$292+G$302+G$312-G$908-G$909))</f>
        <v>0</v>
      </c>
      <c r="H907" s="1269">
        <f t="shared" si="554"/>
        <v>0</v>
      </c>
      <c r="I907" s="1269">
        <f t="shared" si="554"/>
        <v>0</v>
      </c>
      <c r="J907" s="1269">
        <f t="shared" si="554"/>
        <v>0</v>
      </c>
      <c r="K907" s="1269">
        <f t="shared" si="554"/>
        <v>0</v>
      </c>
      <c r="L907" s="1269">
        <f t="shared" si="554"/>
        <v>0</v>
      </c>
      <c r="M907" s="1269">
        <f t="shared" si="554"/>
        <v>0</v>
      </c>
      <c r="N907" s="1269">
        <f t="shared" si="554"/>
        <v>0</v>
      </c>
      <c r="O907" s="1270"/>
      <c r="P907" s="1268" t="s">
        <v>40</v>
      </c>
      <c r="Q907" s="1271"/>
    </row>
    <row r="908" spans="1:17" ht="11.25" hidden="1" customHeight="1" x14ac:dyDescent="0.35">
      <c r="A908" s="1267"/>
      <c r="B908" s="1268" t="s">
        <v>1077</v>
      </c>
      <c r="C908" s="1268"/>
      <c r="D908" s="1268"/>
      <c r="E908" s="1268" t="s">
        <v>1078</v>
      </c>
      <c r="F908" s="1272"/>
      <c r="G908" s="1269">
        <f t="shared" ref="G908:N908" si="555">IF(NOT(IFRSSheetInUse),0,IF(OR(AND(G$5=0,NoZeroCol=1),AND(G$5=-99,NoResCol=1)),0,+MAX(0,G$23)+MAX(0,G$33)+MAX(0,G$43)+MAX(0,G$53)+MAX(0,G$63)+MAX(0,G$73)+MAX(0,G$83)+MAX(0,G$93)+MAX(0,G$103)+MAX(0,G$113)+MAX(0,G$123)+MAX(0,G$133)+MAX(0,G$143)+MAX(0,G$153)+MAX(0,G$163)+MAX(0,G$173)+MAX(0,G$183)+MAX(0,G$193)+MAX(0,G$203)+MAX(0,G$213)+MAX(0,G$223)+MAX(0,G$233)+MAX(0,G$243)+MAX(0,G$253)+MAX(0,G$263)+MAX(0,G$273)+MAX(0,G$283)+MAX(0,G$293)+MAX(0,G$303)+MAX(0,G$313)))</f>
        <v>0</v>
      </c>
      <c r="H908" s="1269">
        <f t="shared" si="555"/>
        <v>0</v>
      </c>
      <c r="I908" s="1269">
        <f t="shared" si="555"/>
        <v>0</v>
      </c>
      <c r="J908" s="1269">
        <f t="shared" si="555"/>
        <v>0</v>
      </c>
      <c r="K908" s="1269">
        <f t="shared" si="555"/>
        <v>0</v>
      </c>
      <c r="L908" s="1269">
        <f t="shared" si="555"/>
        <v>0</v>
      </c>
      <c r="M908" s="1269">
        <f t="shared" si="555"/>
        <v>0</v>
      </c>
      <c r="N908" s="1269">
        <f t="shared" si="555"/>
        <v>0</v>
      </c>
      <c r="O908" s="1270"/>
      <c r="P908" s="1268" t="s">
        <v>40</v>
      </c>
      <c r="Q908" s="1271"/>
    </row>
    <row r="909" spans="1:17" ht="11.25" hidden="1" customHeight="1" x14ac:dyDescent="0.35">
      <c r="A909" s="1267"/>
      <c r="B909" s="1268" t="s">
        <v>1079</v>
      </c>
      <c r="C909" s="1268"/>
      <c r="D909" s="1268"/>
      <c r="E909" s="1268" t="s">
        <v>1080</v>
      </c>
      <c r="F909" s="1272"/>
      <c r="G909" s="1269">
        <f t="shared" ref="G909:N909" si="556">IF(NOT(IFRSSheetInUse),0,IF(OR(AND(G$5=0,NoZeroCol=1),AND(G$5=-99,NoResCol=1)),0,+MIN(0,G$23)+MIN(0,G$33)+MIN(0,G$43)+MIN(0,G$53)+MIN(0,G$63)+MIN(0,G$73)+MIN(0,G$83)+MIN(0,G$93)+MIN(0,G$103)+MIN(0,G$113)+MIN(0,G$123)+MIN(0,G$133)+MIN(0,G$143)+MIN(0,G$153)+MIN(0,G$163)+MIN(0,G$173)+MIN(0,G$183)+MIN(0,G$193)+MIN(0,G$203)+MIN(0,G$213)+MIN(0,G$223)+MIN(0,G$233)+MIN(0,G$243)+MIN(0,G$253)+MIN(0,G$263)+MIN(0,G$273)+MIN(0,G$283)+MIN(0,G$293)+MIN(0,G$303)+MIN(0,G$313)))</f>
        <v>0</v>
      </c>
      <c r="H909" s="1269">
        <f t="shared" si="556"/>
        <v>0</v>
      </c>
      <c r="I909" s="1269">
        <f t="shared" si="556"/>
        <v>0</v>
      </c>
      <c r="J909" s="1269">
        <f t="shared" si="556"/>
        <v>0</v>
      </c>
      <c r="K909" s="1269">
        <f t="shared" si="556"/>
        <v>0</v>
      </c>
      <c r="L909" s="1269">
        <f t="shared" si="556"/>
        <v>0</v>
      </c>
      <c r="M909" s="1269">
        <f t="shared" si="556"/>
        <v>0</v>
      </c>
      <c r="N909" s="1269">
        <f t="shared" si="556"/>
        <v>0</v>
      </c>
      <c r="O909" s="1270"/>
      <c r="P909" s="1268" t="s">
        <v>40</v>
      </c>
      <c r="Q909" s="1271"/>
    </row>
    <row r="910" spans="1:17" ht="11.25" hidden="1" customHeight="1" x14ac:dyDescent="0.35">
      <c r="A910" s="1267"/>
      <c r="B910" s="1268" t="s">
        <v>395</v>
      </c>
      <c r="C910" s="1268"/>
      <c r="D910" s="1268"/>
      <c r="E910" s="1268" t="s">
        <v>1081</v>
      </c>
      <c r="F910" s="1272"/>
      <c r="G910" s="1269">
        <f t="shared" ref="G910:N910" ca="1" si="557">IF(NOT(IFRSSheetInUse),0,IF(OR(AND(G$5=0,NoZeroCol=1),AND(G$5=-99,NoResCol=1)),0,+OFFSET(G$21,-1,0)+OFFSET(G$31,-1,0)+OFFSET(G$41,-1,0)+OFFSET(G$51,-1,0)+OFFSET(G$61,-1,0)+OFFSET(G$71,-1,0)+OFFSET(G$81,-1,0)+OFFSET(G$91,-1,0)+OFFSET(G$101,-1,0)+OFFSET(G$111,-1,0)+OFFSET(G$121,-1,0)+OFFSET(G$131,-1,0)+OFFSET(G$141,-1,0)+OFFSET(G$151,-1,0)+OFFSET(G$161,-1,0)+OFFSET(G$171,-1,0)+OFFSET(G$181,-1,0)+OFFSET(G$191,-1,0)+OFFSET(G$201,-1,0)+OFFSET(G$211,-1,0)+OFFSET(G$221,-1,0)+OFFSET(G$231,-1,0)+OFFSET(G$241,-1,0)+OFFSET(G$251,-1,0)+OFFSET(G$261,-1,0)+OFFSET(G$271,-1,0)+OFFSET(G$281,-1,0)+OFFSET(G$291,-1,0)+OFFSET(G$301,-1,0)+OFFSET(G$311,-1,0)))</f>
        <v>0</v>
      </c>
      <c r="H910" s="1269">
        <f t="shared" ca="1" si="557"/>
        <v>0</v>
      </c>
      <c r="I910" s="1269">
        <f t="shared" ca="1" si="557"/>
        <v>0</v>
      </c>
      <c r="J910" s="1269">
        <f t="shared" ca="1" si="557"/>
        <v>0</v>
      </c>
      <c r="K910" s="1269">
        <f t="shared" ca="1" si="557"/>
        <v>0</v>
      </c>
      <c r="L910" s="1269">
        <f t="shared" ca="1" si="557"/>
        <v>0</v>
      </c>
      <c r="M910" s="1269">
        <f t="shared" ca="1" si="557"/>
        <v>0</v>
      </c>
      <c r="N910" s="1269">
        <f t="shared" ca="1" si="557"/>
        <v>0</v>
      </c>
      <c r="O910" s="1270"/>
      <c r="P910" s="1268" t="s">
        <v>40</v>
      </c>
      <c r="Q910" s="1271"/>
    </row>
    <row r="911" spans="1:17" ht="11.25" hidden="1" customHeight="1" x14ac:dyDescent="0.35">
      <c r="A911" s="1267"/>
      <c r="B911" s="1268" t="s">
        <v>390</v>
      </c>
      <c r="C911" s="1268"/>
      <c r="D911" s="1268" t="s">
        <v>1082</v>
      </c>
      <c r="E911" s="1268" t="s">
        <v>1083</v>
      </c>
      <c r="F911" s="1272"/>
      <c r="G911" s="1269"/>
      <c r="H911" s="1269"/>
      <c r="I911" s="1269"/>
      <c r="J911" s="1269"/>
      <c r="K911" s="1269"/>
      <c r="L911" s="1269"/>
      <c r="M911" s="1269"/>
      <c r="N911" s="1269"/>
      <c r="O911" s="1270"/>
      <c r="P911" s="1268" t="s">
        <v>1084</v>
      </c>
      <c r="Q911" s="1271"/>
    </row>
    <row r="912" spans="1:17" ht="11.25" hidden="1" customHeight="1" x14ac:dyDescent="0.35">
      <c r="A912" s="1267"/>
      <c r="B912" s="1268" t="s">
        <v>393</v>
      </c>
      <c r="C912" s="1268"/>
      <c r="D912" s="1268"/>
      <c r="E912" s="1268" t="s">
        <v>1085</v>
      </c>
      <c r="F912" s="1272"/>
      <c r="G912" s="1269"/>
      <c r="H912" s="1269"/>
      <c r="I912" s="1269"/>
      <c r="J912" s="1269"/>
      <c r="K912" s="1269"/>
      <c r="L912" s="1269"/>
      <c r="M912" s="1269"/>
      <c r="N912" s="1269"/>
      <c r="O912" s="1270"/>
      <c r="P912" s="1268" t="s">
        <v>1084</v>
      </c>
      <c r="Q912" s="1271"/>
    </row>
    <row r="913" spans="1:17" ht="11.25" hidden="1" customHeight="1" x14ac:dyDescent="0.35">
      <c r="A913" s="1267"/>
      <c r="B913" s="1268" t="s">
        <v>1077</v>
      </c>
      <c r="C913" s="1268"/>
      <c r="D913" s="1268"/>
      <c r="E913" s="1268" t="s">
        <v>1086</v>
      </c>
      <c r="F913" s="1272"/>
      <c r="G913" s="1269"/>
      <c r="H913" s="1269"/>
      <c r="I913" s="1269"/>
      <c r="J913" s="1269"/>
      <c r="K913" s="1269"/>
      <c r="L913" s="1269"/>
      <c r="M913" s="1269"/>
      <c r="N913" s="1269"/>
      <c r="O913" s="1270"/>
      <c r="P913" s="1268" t="s">
        <v>1084</v>
      </c>
      <c r="Q913" s="1271"/>
    </row>
    <row r="914" spans="1:17" ht="11.25" hidden="1" customHeight="1" x14ac:dyDescent="0.35">
      <c r="A914" s="1267"/>
      <c r="B914" s="1268" t="s">
        <v>1079</v>
      </c>
      <c r="C914" s="1268"/>
      <c r="D914" s="1268"/>
      <c r="E914" s="1268" t="s">
        <v>1087</v>
      </c>
      <c r="F914" s="1272"/>
      <c r="G914" s="1269"/>
      <c r="H914" s="1269"/>
      <c r="I914" s="1269"/>
      <c r="J914" s="1269"/>
      <c r="K914" s="1269"/>
      <c r="L914" s="1269"/>
      <c r="M914" s="1269"/>
      <c r="N914" s="1269"/>
      <c r="O914" s="1270"/>
      <c r="P914" s="1268" t="s">
        <v>1084</v>
      </c>
      <c r="Q914" s="1271"/>
    </row>
    <row r="915" spans="1:17" ht="11.25" hidden="1" customHeight="1" x14ac:dyDescent="0.35">
      <c r="A915" s="1267"/>
      <c r="B915" s="1268" t="s">
        <v>395</v>
      </c>
      <c r="C915" s="1268"/>
      <c r="D915" s="1268"/>
      <c r="E915" s="1268" t="s">
        <v>1088</v>
      </c>
      <c r="F915" s="1272"/>
      <c r="G915" s="1269"/>
      <c r="H915" s="1269"/>
      <c r="I915" s="1269"/>
      <c r="J915" s="1269"/>
      <c r="K915" s="1269"/>
      <c r="L915" s="1269"/>
      <c r="M915" s="1269"/>
      <c r="N915" s="1269"/>
      <c r="O915" s="1270"/>
      <c r="P915" s="1268" t="s">
        <v>1084</v>
      </c>
      <c r="Q915" s="1271"/>
    </row>
    <row r="916" spans="1:17" ht="11.25" hidden="1" customHeight="1" x14ac:dyDescent="0.35">
      <c r="A916" s="1267"/>
      <c r="B916" s="1268" t="s">
        <v>390</v>
      </c>
      <c r="C916" s="1268"/>
      <c r="D916" s="1268" t="s">
        <v>1089</v>
      </c>
      <c r="E916" s="1268" t="s">
        <v>1090</v>
      </c>
      <c r="F916" s="1272"/>
      <c r="G916" s="1269"/>
      <c r="H916" s="1269"/>
      <c r="I916" s="1269"/>
      <c r="J916" s="1269"/>
      <c r="K916" s="1269"/>
      <c r="L916" s="1269"/>
      <c r="M916" s="1269"/>
      <c r="N916" s="1269"/>
      <c r="O916" s="1270"/>
      <c r="P916" s="1268" t="s">
        <v>448</v>
      </c>
      <c r="Q916" s="1271"/>
    </row>
    <row r="917" spans="1:17" ht="11.25" hidden="1" customHeight="1" x14ac:dyDescent="0.35">
      <c r="A917" s="1267"/>
      <c r="B917" s="1268" t="s">
        <v>393</v>
      </c>
      <c r="C917" s="1268"/>
      <c r="D917" s="1268"/>
      <c r="E917" s="1268" t="s">
        <v>1091</v>
      </c>
      <c r="F917" s="1272"/>
      <c r="G917" s="1269"/>
      <c r="H917" s="1269"/>
      <c r="I917" s="1269"/>
      <c r="J917" s="1269"/>
      <c r="K917" s="1269"/>
      <c r="L917" s="1269"/>
      <c r="M917" s="1269"/>
      <c r="N917" s="1269"/>
      <c r="O917" s="1270"/>
      <c r="P917" s="1268" t="s">
        <v>448</v>
      </c>
      <c r="Q917" s="1271"/>
    </row>
    <row r="918" spans="1:17" ht="11.25" hidden="1" customHeight="1" x14ac:dyDescent="0.35">
      <c r="A918" s="1267"/>
      <c r="B918" s="1268" t="s">
        <v>1077</v>
      </c>
      <c r="C918" s="1268"/>
      <c r="D918" s="1268"/>
      <c r="E918" s="1268" t="s">
        <v>1092</v>
      </c>
      <c r="F918" s="1272"/>
      <c r="G918" s="1269"/>
      <c r="H918" s="1269"/>
      <c r="I918" s="1269"/>
      <c r="J918" s="1269"/>
      <c r="K918" s="1269"/>
      <c r="L918" s="1269"/>
      <c r="M918" s="1269"/>
      <c r="N918" s="1269"/>
      <c r="O918" s="1270"/>
      <c r="P918" s="1268" t="s">
        <v>448</v>
      </c>
      <c r="Q918" s="1271"/>
    </row>
    <row r="919" spans="1:17" ht="11.25" hidden="1" customHeight="1" x14ac:dyDescent="0.35">
      <c r="A919" s="1267"/>
      <c r="B919" s="1268" t="s">
        <v>1079</v>
      </c>
      <c r="C919" s="1268"/>
      <c r="D919" s="1268"/>
      <c r="E919" s="1268" t="s">
        <v>1093</v>
      </c>
      <c r="F919" s="1272"/>
      <c r="G919" s="1269"/>
      <c r="H919" s="1269"/>
      <c r="I919" s="1269"/>
      <c r="J919" s="1269"/>
      <c r="K919" s="1269"/>
      <c r="L919" s="1269"/>
      <c r="M919" s="1269"/>
      <c r="N919" s="1269"/>
      <c r="O919" s="1270"/>
      <c r="P919" s="1268" t="s">
        <v>448</v>
      </c>
      <c r="Q919" s="1271"/>
    </row>
    <row r="920" spans="1:17" ht="11.25" hidden="1" customHeight="1" x14ac:dyDescent="0.35">
      <c r="A920" s="1267"/>
      <c r="B920" s="1268" t="s">
        <v>395</v>
      </c>
      <c r="C920" s="1268"/>
      <c r="D920" s="1268"/>
      <c r="E920" s="1268" t="s">
        <v>1094</v>
      </c>
      <c r="F920" s="1272"/>
      <c r="G920" s="1269"/>
      <c r="H920" s="1269"/>
      <c r="I920" s="1269"/>
      <c r="J920" s="1269"/>
      <c r="K920" s="1269"/>
      <c r="L920" s="1269"/>
      <c r="M920" s="1269"/>
      <c r="N920" s="1269"/>
      <c r="O920" s="1270"/>
      <c r="P920" s="1268" t="s">
        <v>448</v>
      </c>
      <c r="Q920" s="1271"/>
    </row>
    <row r="921" spans="1:17" ht="11.25" hidden="1" customHeight="1" x14ac:dyDescent="0.35">
      <c r="A921" s="1267"/>
      <c r="B921" s="1268" t="s">
        <v>390</v>
      </c>
      <c r="C921" s="1268"/>
      <c r="D921" s="1268" t="s">
        <v>1095</v>
      </c>
      <c r="E921" s="1268" t="s">
        <v>1096</v>
      </c>
      <c r="F921" s="1272"/>
      <c r="G921" s="1269"/>
      <c r="H921" s="1269"/>
      <c r="I921" s="1269"/>
      <c r="J921" s="1269"/>
      <c r="K921" s="1269"/>
      <c r="L921" s="1269"/>
      <c r="M921" s="1269"/>
      <c r="N921" s="1269"/>
      <c r="O921" s="1270"/>
      <c r="P921" s="1268" t="s">
        <v>1097</v>
      </c>
      <c r="Q921" s="1271"/>
    </row>
    <row r="922" spans="1:17" ht="11.25" hidden="1" customHeight="1" x14ac:dyDescent="0.35">
      <c r="A922" s="1267"/>
      <c r="B922" s="1268" t="s">
        <v>393</v>
      </c>
      <c r="C922" s="1268"/>
      <c r="D922" s="1268"/>
      <c r="E922" s="1268" t="s">
        <v>1098</v>
      </c>
      <c r="F922" s="1272"/>
      <c r="G922" s="1269"/>
      <c r="H922" s="1269"/>
      <c r="I922" s="1269"/>
      <c r="J922" s="1269"/>
      <c r="K922" s="1269"/>
      <c r="L922" s="1269"/>
      <c r="M922" s="1269"/>
      <c r="N922" s="1269"/>
      <c r="O922" s="1270"/>
      <c r="P922" s="1268" t="s">
        <v>1097</v>
      </c>
      <c r="Q922" s="1271"/>
    </row>
    <row r="923" spans="1:17" ht="11.25" hidden="1" customHeight="1" x14ac:dyDescent="0.35">
      <c r="A923" s="1267"/>
      <c r="B923" s="1268" t="s">
        <v>1077</v>
      </c>
      <c r="C923" s="1268"/>
      <c r="D923" s="1268"/>
      <c r="E923" s="1268" t="s">
        <v>1099</v>
      </c>
      <c r="F923" s="1272"/>
      <c r="G923" s="1269"/>
      <c r="H923" s="1269"/>
      <c r="I923" s="1269"/>
      <c r="J923" s="1269"/>
      <c r="K923" s="1269"/>
      <c r="L923" s="1269"/>
      <c r="M923" s="1269"/>
      <c r="N923" s="1269"/>
      <c r="O923" s="1270"/>
      <c r="P923" s="1268" t="s">
        <v>1097</v>
      </c>
      <c r="Q923" s="1271"/>
    </row>
    <row r="924" spans="1:17" ht="11.25" hidden="1" customHeight="1" x14ac:dyDescent="0.35">
      <c r="A924" s="1267"/>
      <c r="B924" s="1268" t="s">
        <v>1079</v>
      </c>
      <c r="C924" s="1268"/>
      <c r="D924" s="1268"/>
      <c r="E924" s="1268" t="s">
        <v>1100</v>
      </c>
      <c r="F924" s="1272"/>
      <c r="G924" s="1269"/>
      <c r="H924" s="1269"/>
      <c r="I924" s="1269"/>
      <c r="J924" s="1269"/>
      <c r="K924" s="1269"/>
      <c r="L924" s="1269"/>
      <c r="M924" s="1269"/>
      <c r="N924" s="1269"/>
      <c r="O924" s="1270"/>
      <c r="P924" s="1268" t="s">
        <v>1097</v>
      </c>
      <c r="Q924" s="1271"/>
    </row>
    <row r="925" spans="1:17" ht="11.25" hidden="1" customHeight="1" x14ac:dyDescent="0.35">
      <c r="A925" s="1267"/>
      <c r="B925" s="1268" t="s">
        <v>395</v>
      </c>
      <c r="C925" s="1268"/>
      <c r="D925" s="1268"/>
      <c r="E925" s="1268" t="s">
        <v>1101</v>
      </c>
      <c r="F925" s="1272"/>
      <c r="G925" s="1269"/>
      <c r="H925" s="1269"/>
      <c r="I925" s="1269"/>
      <c r="J925" s="1269"/>
      <c r="K925" s="1269"/>
      <c r="L925" s="1269"/>
      <c r="M925" s="1269"/>
      <c r="N925" s="1269"/>
      <c r="O925" s="1270"/>
      <c r="P925" s="1268" t="s">
        <v>1097</v>
      </c>
      <c r="Q925" s="1271"/>
    </row>
    <row r="926" spans="1:17" ht="11.25" hidden="1" customHeight="1" x14ac:dyDescent="0.35">
      <c r="A926" s="1267"/>
      <c r="B926" s="1268" t="s">
        <v>1102</v>
      </c>
      <c r="C926" s="1268"/>
      <c r="D926" s="1268"/>
      <c r="E926" s="1268" t="s">
        <v>1103</v>
      </c>
      <c r="F926" s="1272">
        <f>0</f>
        <v>0</v>
      </c>
      <c r="G926" s="1269">
        <f>0</f>
        <v>0</v>
      </c>
      <c r="H926" s="1269">
        <f>0</f>
        <v>0</v>
      </c>
      <c r="I926" s="1269">
        <f>0</f>
        <v>0</v>
      </c>
      <c r="J926" s="1269">
        <f>0</f>
        <v>0</v>
      </c>
      <c r="K926" s="1269">
        <f>0</f>
        <v>0</v>
      </c>
      <c r="L926" s="1269">
        <f>0</f>
        <v>0</v>
      </c>
      <c r="M926" s="1269">
        <f>0</f>
        <v>0</v>
      </c>
      <c r="N926" s="1269">
        <f>0</f>
        <v>0</v>
      </c>
      <c r="O926" s="1270"/>
      <c r="P926" s="1268" t="s">
        <v>1097</v>
      </c>
      <c r="Q926" s="1271"/>
    </row>
    <row r="927" spans="1:17" ht="11.25" hidden="1" customHeight="1" x14ac:dyDescent="0.35">
      <c r="A927" s="1267"/>
      <c r="B927" s="1268" t="s">
        <v>1104</v>
      </c>
      <c r="C927" s="1268"/>
      <c r="D927" s="1268"/>
      <c r="E927" s="1268" t="s">
        <v>1105</v>
      </c>
      <c r="F927" s="1272">
        <f>0</f>
        <v>0</v>
      </c>
      <c r="G927" s="1269">
        <f>0</f>
        <v>0</v>
      </c>
      <c r="H927" s="1269">
        <f>0</f>
        <v>0</v>
      </c>
      <c r="I927" s="1269">
        <f>0</f>
        <v>0</v>
      </c>
      <c r="J927" s="1269">
        <f>0</f>
        <v>0</v>
      </c>
      <c r="K927" s="1269">
        <f>0</f>
        <v>0</v>
      </c>
      <c r="L927" s="1269">
        <f>0</f>
        <v>0</v>
      </c>
      <c r="M927" s="1269">
        <f>0</f>
        <v>0</v>
      </c>
      <c r="N927" s="1269">
        <f>0</f>
        <v>0</v>
      </c>
      <c r="O927" s="1270"/>
      <c r="P927" s="1268" t="s">
        <v>1097</v>
      </c>
      <c r="Q927" s="1271"/>
    </row>
    <row r="928" spans="1:17" ht="11.25" hidden="1" customHeight="1" x14ac:dyDescent="0.35">
      <c r="A928" s="1273"/>
      <c r="B928" s="1268"/>
      <c r="C928" s="1268" t="s">
        <v>1106</v>
      </c>
      <c r="D928" s="1268" t="s">
        <v>1107</v>
      </c>
      <c r="E928" s="1268" t="s">
        <v>1108</v>
      </c>
      <c r="F928" s="1272"/>
      <c r="G928" s="1269"/>
      <c r="H928" s="1269"/>
      <c r="I928" s="1269"/>
      <c r="J928" s="1269"/>
      <c r="K928" s="1269"/>
      <c r="L928" s="1269"/>
      <c r="M928" s="1269"/>
      <c r="N928" s="1269"/>
      <c r="O928" s="1270"/>
      <c r="P928" s="1268" t="s">
        <v>40</v>
      </c>
      <c r="Q928" s="1271"/>
    </row>
    <row r="929" spans="1:17" ht="11.25" hidden="1" customHeight="1" x14ac:dyDescent="0.35">
      <c r="A929" s="1273"/>
      <c r="B929" s="1268"/>
      <c r="C929" s="1268"/>
      <c r="D929" s="1268"/>
      <c r="E929" s="1268" t="s">
        <v>1109</v>
      </c>
      <c r="F929" s="1272"/>
      <c r="G929" s="1269"/>
      <c r="H929" s="1269"/>
      <c r="I929" s="1269"/>
      <c r="J929" s="1269"/>
      <c r="K929" s="1269"/>
      <c r="L929" s="1269"/>
      <c r="M929" s="1269"/>
      <c r="N929" s="1269"/>
      <c r="O929" s="1270"/>
      <c r="P929" s="1268" t="s">
        <v>40</v>
      </c>
      <c r="Q929" s="1271"/>
    </row>
    <row r="930" spans="1:17" ht="11.25" hidden="1" customHeight="1" x14ac:dyDescent="0.35">
      <c r="A930" s="1273"/>
      <c r="B930" s="1268"/>
      <c r="C930" s="1268"/>
      <c r="D930" s="1268"/>
      <c r="E930" s="1268" t="s">
        <v>1110</v>
      </c>
      <c r="F930" s="1272"/>
      <c r="G930" s="1269"/>
      <c r="H930" s="1269"/>
      <c r="I930" s="1269"/>
      <c r="J930" s="1269"/>
      <c r="K930" s="1269"/>
      <c r="L930" s="1269"/>
      <c r="M930" s="1269"/>
      <c r="N930" s="1269"/>
      <c r="O930" s="1270"/>
      <c r="P930" s="1268" t="s">
        <v>40</v>
      </c>
      <c r="Q930" s="1271"/>
    </row>
    <row r="931" spans="1:17" ht="11.25" hidden="1" customHeight="1" x14ac:dyDescent="0.35">
      <c r="A931" s="1273"/>
      <c r="B931" s="1268"/>
      <c r="C931" s="1268"/>
      <c r="D931" s="1268"/>
      <c r="E931" s="1268" t="s">
        <v>1111</v>
      </c>
      <c r="F931" s="1272"/>
      <c r="G931" s="1269"/>
      <c r="H931" s="1269"/>
      <c r="I931" s="1269"/>
      <c r="J931" s="1269"/>
      <c r="K931" s="1269"/>
      <c r="L931" s="1269"/>
      <c r="M931" s="1269"/>
      <c r="N931" s="1269"/>
      <c r="O931" s="1270"/>
      <c r="P931" s="1268" t="s">
        <v>40</v>
      </c>
      <c r="Q931" s="1271"/>
    </row>
    <row r="932" spans="1:17" ht="11.25" hidden="1" customHeight="1" x14ac:dyDescent="0.35">
      <c r="A932" s="1273"/>
      <c r="B932" s="1268"/>
      <c r="C932" s="1268"/>
      <c r="D932" s="1268"/>
      <c r="E932" s="1268" t="s">
        <v>1112</v>
      </c>
      <c r="F932" s="1272"/>
      <c r="G932" s="1269"/>
      <c r="H932" s="1269"/>
      <c r="I932" s="1269"/>
      <c r="J932" s="1269"/>
      <c r="K932" s="1269"/>
      <c r="L932" s="1269"/>
      <c r="M932" s="1269"/>
      <c r="N932" s="1269"/>
      <c r="O932" s="1270"/>
      <c r="P932" s="1268" t="s">
        <v>40</v>
      </c>
      <c r="Q932" s="1271"/>
    </row>
    <row r="933" spans="1:17" ht="11.25" hidden="1" customHeight="1" x14ac:dyDescent="0.35">
      <c r="A933" s="1273"/>
      <c r="B933" s="1268"/>
      <c r="C933" s="1268"/>
      <c r="D933" s="1268"/>
      <c r="E933" s="1268" t="s">
        <v>1113</v>
      </c>
      <c r="F933" s="1272"/>
      <c r="G933" s="1269"/>
      <c r="H933" s="1269"/>
      <c r="I933" s="1269"/>
      <c r="J933" s="1269"/>
      <c r="K933" s="1269"/>
      <c r="L933" s="1269"/>
      <c r="M933" s="1269"/>
      <c r="N933" s="1269"/>
      <c r="O933" s="1270"/>
      <c r="P933" s="1268" t="s">
        <v>40</v>
      </c>
      <c r="Q933" s="1271"/>
    </row>
    <row r="934" spans="1:17" ht="11.25" hidden="1" customHeight="1" x14ac:dyDescent="0.35">
      <c r="A934" s="1273"/>
      <c r="B934" s="1268"/>
      <c r="C934" s="1268"/>
      <c r="D934" s="1268"/>
      <c r="E934" s="1268" t="s">
        <v>1114</v>
      </c>
      <c r="F934" s="1272"/>
      <c r="G934" s="1269"/>
      <c r="H934" s="1269"/>
      <c r="I934" s="1269"/>
      <c r="J934" s="1269"/>
      <c r="K934" s="1269"/>
      <c r="L934" s="1269"/>
      <c r="M934" s="1269"/>
      <c r="N934" s="1269"/>
      <c r="O934" s="1270"/>
      <c r="P934" s="1268" t="s">
        <v>40</v>
      </c>
      <c r="Q934" s="1271"/>
    </row>
    <row r="935" spans="1:17" ht="11.25" hidden="1" customHeight="1" x14ac:dyDescent="0.35">
      <c r="A935" s="1273"/>
      <c r="B935" s="1268"/>
      <c r="C935" s="1268"/>
      <c r="D935" s="1268"/>
      <c r="E935" s="1268" t="s">
        <v>1115</v>
      </c>
      <c r="F935" s="1272"/>
      <c r="G935" s="1269"/>
      <c r="H935" s="1269"/>
      <c r="I935" s="1269"/>
      <c r="J935" s="1269"/>
      <c r="K935" s="1269"/>
      <c r="L935" s="1269"/>
      <c r="M935" s="1269"/>
      <c r="N935" s="1269"/>
      <c r="O935" s="1270"/>
      <c r="P935" s="1268" t="s">
        <v>40</v>
      </c>
      <c r="Q935" s="1271"/>
    </row>
    <row r="936" spans="1:17" ht="11.25" hidden="1" customHeight="1" x14ac:dyDescent="0.35">
      <c r="A936" s="1273"/>
      <c r="B936" s="1268"/>
      <c r="C936" s="1268"/>
      <c r="D936" s="1268"/>
      <c r="E936" s="1268" t="s">
        <v>1116</v>
      </c>
      <c r="F936" s="1272"/>
      <c r="G936" s="1269"/>
      <c r="H936" s="1269"/>
      <c r="I936" s="1269"/>
      <c r="J936" s="1269"/>
      <c r="K936" s="1269"/>
      <c r="L936" s="1269"/>
      <c r="M936" s="1269"/>
      <c r="N936" s="1269"/>
      <c r="O936" s="1270"/>
      <c r="P936" s="1268" t="s">
        <v>40</v>
      </c>
      <c r="Q936" s="1271"/>
    </row>
    <row r="937" spans="1:17" ht="11.25" hidden="1" customHeight="1" x14ac:dyDescent="0.35">
      <c r="A937" s="1273"/>
      <c r="B937" s="1268"/>
      <c r="C937" s="1268"/>
      <c r="D937" s="1268"/>
      <c r="E937" s="1268" t="s">
        <v>1117</v>
      </c>
      <c r="F937" s="1272"/>
      <c r="G937" s="1269"/>
      <c r="H937" s="1269"/>
      <c r="I937" s="1269"/>
      <c r="J937" s="1269"/>
      <c r="K937" s="1269"/>
      <c r="L937" s="1269"/>
      <c r="M937" s="1269"/>
      <c r="N937" s="1269"/>
      <c r="O937" s="1270"/>
      <c r="P937" s="1268" t="s">
        <v>40</v>
      </c>
      <c r="Q937" s="1271"/>
    </row>
    <row r="938" spans="1:17" ht="11.25" hidden="1" customHeight="1" x14ac:dyDescent="0.35">
      <c r="A938" s="1273"/>
      <c r="B938" s="1268"/>
      <c r="C938" s="1268"/>
      <c r="D938" s="1268"/>
      <c r="E938" s="1268" t="s">
        <v>1118</v>
      </c>
      <c r="F938" s="1272"/>
      <c r="G938" s="1269"/>
      <c r="H938" s="1269"/>
      <c r="I938" s="1269"/>
      <c r="J938" s="1269"/>
      <c r="K938" s="1269"/>
      <c r="L938" s="1269"/>
      <c r="M938" s="1269"/>
      <c r="N938" s="1269"/>
      <c r="O938" s="1270"/>
      <c r="P938" s="1268" t="s">
        <v>40</v>
      </c>
      <c r="Q938" s="1271"/>
    </row>
    <row r="939" spans="1:17" ht="11.25" hidden="1" customHeight="1" x14ac:dyDescent="0.35">
      <c r="A939" s="1273"/>
      <c r="B939" s="1268"/>
      <c r="C939" s="1268"/>
      <c r="D939" s="1268"/>
      <c r="E939" s="1268" t="s">
        <v>1119</v>
      </c>
      <c r="F939" s="1272"/>
      <c r="G939" s="1269"/>
      <c r="H939" s="1269"/>
      <c r="I939" s="1269"/>
      <c r="J939" s="1269"/>
      <c r="K939" s="1269"/>
      <c r="L939" s="1269"/>
      <c r="M939" s="1269"/>
      <c r="N939" s="1269"/>
      <c r="O939" s="1270"/>
      <c r="P939" s="1268" t="s">
        <v>40</v>
      </c>
      <c r="Q939" s="1271"/>
    </row>
    <row r="940" spans="1:17" ht="11.25" hidden="1" customHeight="1" x14ac:dyDescent="0.35">
      <c r="A940" s="1273"/>
      <c r="B940" s="1268"/>
      <c r="C940" s="1268"/>
      <c r="D940" s="1268"/>
      <c r="E940" s="1268" t="s">
        <v>1120</v>
      </c>
      <c r="F940" s="1272"/>
      <c r="G940" s="1269"/>
      <c r="H940" s="1269"/>
      <c r="I940" s="1269"/>
      <c r="J940" s="1269"/>
      <c r="K940" s="1269"/>
      <c r="L940" s="1269"/>
      <c r="M940" s="1269"/>
      <c r="N940" s="1269"/>
      <c r="O940" s="1270"/>
      <c r="P940" s="1268" t="s">
        <v>40</v>
      </c>
      <c r="Q940" s="1271"/>
    </row>
    <row r="941" spans="1:17" ht="11.25" hidden="1" customHeight="1" x14ac:dyDescent="0.35">
      <c r="A941" s="1273"/>
      <c r="B941" s="1268"/>
      <c r="C941" s="1268"/>
      <c r="D941" s="1268"/>
      <c r="E941" s="1268" t="s">
        <v>1121</v>
      </c>
      <c r="F941" s="1272"/>
      <c r="G941" s="1269"/>
      <c r="H941" s="1269"/>
      <c r="I941" s="1269"/>
      <c r="J941" s="1269"/>
      <c r="K941" s="1269"/>
      <c r="L941" s="1269"/>
      <c r="M941" s="1269"/>
      <c r="N941" s="1269"/>
      <c r="O941" s="1270"/>
      <c r="P941" s="1268" t="s">
        <v>40</v>
      </c>
      <c r="Q941" s="1271"/>
    </row>
    <row r="942" spans="1:17" ht="11.25" hidden="1" customHeight="1" x14ac:dyDescent="0.35">
      <c r="A942" s="1273"/>
      <c r="B942" s="1268"/>
      <c r="C942" s="1268"/>
      <c r="D942" s="1268"/>
      <c r="E942" s="1268" t="s">
        <v>1122</v>
      </c>
      <c r="F942" s="1272"/>
      <c r="G942" s="1269"/>
      <c r="H942" s="1269"/>
      <c r="I942" s="1269"/>
      <c r="J942" s="1269"/>
      <c r="K942" s="1269"/>
      <c r="L942" s="1269"/>
      <c r="M942" s="1269"/>
      <c r="N942" s="1269"/>
      <c r="O942" s="1270"/>
      <c r="P942" s="1268" t="s">
        <v>40</v>
      </c>
      <c r="Q942" s="1271"/>
    </row>
    <row r="943" spans="1:17" ht="11.25" hidden="1" customHeight="1" x14ac:dyDescent="0.35">
      <c r="A943" s="1273"/>
      <c r="B943" s="1268"/>
      <c r="C943" s="1268"/>
      <c r="D943" s="1268"/>
      <c r="E943" s="1268" t="s">
        <v>1123</v>
      </c>
      <c r="F943" s="1272"/>
      <c r="G943" s="1269"/>
      <c r="H943" s="1269"/>
      <c r="I943" s="1269"/>
      <c r="J943" s="1269"/>
      <c r="K943" s="1269"/>
      <c r="L943" s="1269"/>
      <c r="M943" s="1269"/>
      <c r="N943" s="1269"/>
      <c r="O943" s="1270"/>
      <c r="P943" s="1268" t="s">
        <v>40</v>
      </c>
      <c r="Q943" s="1271"/>
    </row>
    <row r="944" spans="1:17" ht="11.25" hidden="1" customHeight="1" x14ac:dyDescent="0.35">
      <c r="A944" s="1273"/>
      <c r="B944" s="1268"/>
      <c r="C944" s="1268"/>
      <c r="D944" s="1268"/>
      <c r="E944" s="1268" t="s">
        <v>1124</v>
      </c>
      <c r="F944" s="1272"/>
      <c r="G944" s="1269"/>
      <c r="H944" s="1269"/>
      <c r="I944" s="1269"/>
      <c r="J944" s="1269"/>
      <c r="K944" s="1269"/>
      <c r="L944" s="1269"/>
      <c r="M944" s="1269"/>
      <c r="N944" s="1269"/>
      <c r="O944" s="1270"/>
      <c r="P944" s="1268" t="s">
        <v>40</v>
      </c>
      <c r="Q944" s="1271"/>
    </row>
    <row r="945" spans="1:17" ht="11.25" hidden="1" customHeight="1" x14ac:dyDescent="0.35">
      <c r="A945" s="1273"/>
      <c r="B945" s="1268"/>
      <c r="C945" s="1268"/>
      <c r="D945" s="1268"/>
      <c r="E945" s="1268" t="s">
        <v>1125</v>
      </c>
      <c r="F945" s="1272"/>
      <c r="G945" s="1269"/>
      <c r="H945" s="1269"/>
      <c r="I945" s="1269"/>
      <c r="J945" s="1269"/>
      <c r="K945" s="1269"/>
      <c r="L945" s="1269"/>
      <c r="M945" s="1269"/>
      <c r="N945" s="1269"/>
      <c r="O945" s="1270"/>
      <c r="P945" s="1268" t="s">
        <v>40</v>
      </c>
      <c r="Q945" s="1271"/>
    </row>
    <row r="946" spans="1:17" ht="11.25" hidden="1" customHeight="1" x14ac:dyDescent="0.35">
      <c r="A946" s="1273"/>
      <c r="B946" s="1268"/>
      <c r="C946" s="1268"/>
      <c r="D946" s="1268"/>
      <c r="E946" s="1268" t="s">
        <v>1126</v>
      </c>
      <c r="F946" s="1272"/>
      <c r="G946" s="1269"/>
      <c r="H946" s="1269"/>
      <c r="I946" s="1269"/>
      <c r="J946" s="1269"/>
      <c r="K946" s="1269"/>
      <c r="L946" s="1269"/>
      <c r="M946" s="1269"/>
      <c r="N946" s="1269"/>
      <c r="O946" s="1270"/>
      <c r="P946" s="1268" t="s">
        <v>40</v>
      </c>
      <c r="Q946" s="1271"/>
    </row>
    <row r="947" spans="1:17" ht="11.25" hidden="1" customHeight="1" x14ac:dyDescent="0.35">
      <c r="A947" s="1273"/>
      <c r="B947" s="1268"/>
      <c r="C947" s="1268"/>
      <c r="D947" s="1268"/>
      <c r="E947" s="1268" t="s">
        <v>1127</v>
      </c>
      <c r="F947" s="1272"/>
      <c r="G947" s="1269"/>
      <c r="H947" s="1269"/>
      <c r="I947" s="1269"/>
      <c r="J947" s="1269"/>
      <c r="K947" s="1269"/>
      <c r="L947" s="1269"/>
      <c r="M947" s="1269"/>
      <c r="N947" s="1269"/>
      <c r="O947" s="1270"/>
      <c r="P947" s="1268" t="s">
        <v>40</v>
      </c>
      <c r="Q947" s="1271"/>
    </row>
    <row r="948" spans="1:17" ht="11.25" hidden="1" customHeight="1" x14ac:dyDescent="0.35">
      <c r="A948" s="1273"/>
      <c r="B948" s="1268"/>
      <c r="C948" s="1268"/>
      <c r="D948" s="1268"/>
      <c r="E948" s="1268" t="s">
        <v>1128</v>
      </c>
      <c r="F948" s="1272"/>
      <c r="G948" s="1269"/>
      <c r="H948" s="1269"/>
      <c r="I948" s="1269"/>
      <c r="J948" s="1269"/>
      <c r="K948" s="1269"/>
      <c r="L948" s="1269"/>
      <c r="M948" s="1269"/>
      <c r="N948" s="1269"/>
      <c r="O948" s="1270"/>
      <c r="P948" s="1268" t="s">
        <v>40</v>
      </c>
      <c r="Q948" s="1271"/>
    </row>
    <row r="949" spans="1:17" ht="11.25" hidden="1" customHeight="1" x14ac:dyDescent="0.35">
      <c r="A949" s="1273"/>
      <c r="B949" s="1268"/>
      <c r="C949" s="1268"/>
      <c r="D949" s="1268"/>
      <c r="E949" s="1268" t="s">
        <v>1129</v>
      </c>
      <c r="F949" s="1272"/>
      <c r="G949" s="1269"/>
      <c r="H949" s="1269"/>
      <c r="I949" s="1269"/>
      <c r="J949" s="1269"/>
      <c r="K949" s="1269"/>
      <c r="L949" s="1269"/>
      <c r="M949" s="1269"/>
      <c r="N949" s="1269"/>
      <c r="O949" s="1270"/>
      <c r="P949" s="1268" t="s">
        <v>40</v>
      </c>
      <c r="Q949" s="1271"/>
    </row>
    <row r="950" spans="1:17" ht="11.25" hidden="1" customHeight="1" x14ac:dyDescent="0.35">
      <c r="A950" s="1273"/>
      <c r="B950" s="1268"/>
      <c r="C950" s="1268"/>
      <c r="D950" s="1268"/>
      <c r="E950" s="1268" t="s">
        <v>1130</v>
      </c>
      <c r="F950" s="1272"/>
      <c r="G950" s="1269"/>
      <c r="H950" s="1269"/>
      <c r="I950" s="1269"/>
      <c r="J950" s="1269"/>
      <c r="K950" s="1269"/>
      <c r="L950" s="1269"/>
      <c r="M950" s="1269"/>
      <c r="N950" s="1269"/>
      <c r="O950" s="1270"/>
      <c r="P950" s="1268" t="s">
        <v>40</v>
      </c>
      <c r="Q950" s="1271"/>
    </row>
    <row r="951" spans="1:17" ht="11.25" hidden="1" customHeight="1" x14ac:dyDescent="0.35">
      <c r="A951" s="1273"/>
      <c r="B951" s="1268"/>
      <c r="C951" s="1268"/>
      <c r="D951" s="1268"/>
      <c r="E951" s="1268" t="s">
        <v>1131</v>
      </c>
      <c r="F951" s="1272"/>
      <c r="G951" s="1269"/>
      <c r="H951" s="1269"/>
      <c r="I951" s="1269"/>
      <c r="J951" s="1269"/>
      <c r="K951" s="1269"/>
      <c r="L951" s="1269"/>
      <c r="M951" s="1269"/>
      <c r="N951" s="1269"/>
      <c r="O951" s="1270"/>
      <c r="P951" s="1268" t="s">
        <v>40</v>
      </c>
      <c r="Q951" s="1271"/>
    </row>
    <row r="952" spans="1:17" ht="11.25" hidden="1" customHeight="1" x14ac:dyDescent="0.35">
      <c r="A952" s="1273"/>
      <c r="B952" s="1268"/>
      <c r="C952" s="1268"/>
      <c r="D952" s="1268"/>
      <c r="E952" s="1268" t="s">
        <v>1132</v>
      </c>
      <c r="F952" s="1272"/>
      <c r="G952" s="1269"/>
      <c r="H952" s="1269"/>
      <c r="I952" s="1269"/>
      <c r="J952" s="1269"/>
      <c r="K952" s="1269"/>
      <c r="L952" s="1269"/>
      <c r="M952" s="1269"/>
      <c r="N952" s="1269"/>
      <c r="O952" s="1270"/>
      <c r="P952" s="1268" t="s">
        <v>40</v>
      </c>
      <c r="Q952" s="1271"/>
    </row>
    <row r="953" spans="1:17" ht="11.25" hidden="1" customHeight="1" x14ac:dyDescent="0.35">
      <c r="A953" s="1273"/>
      <c r="B953" s="1268"/>
      <c r="C953" s="1268"/>
      <c r="D953" s="1268"/>
      <c r="E953" s="1268" t="s">
        <v>1133</v>
      </c>
      <c r="F953" s="1272"/>
      <c r="G953" s="1269"/>
      <c r="H953" s="1269"/>
      <c r="I953" s="1269"/>
      <c r="J953" s="1269"/>
      <c r="K953" s="1269"/>
      <c r="L953" s="1269"/>
      <c r="M953" s="1269"/>
      <c r="N953" s="1269"/>
      <c r="O953" s="1270"/>
      <c r="P953" s="1268" t="s">
        <v>40</v>
      </c>
      <c r="Q953" s="1271"/>
    </row>
    <row r="954" spans="1:17" ht="11.25" hidden="1" customHeight="1" x14ac:dyDescent="0.35">
      <c r="A954" s="1273"/>
      <c r="B954" s="1268"/>
      <c r="C954" s="1268"/>
      <c r="D954" s="1268"/>
      <c r="E954" s="1268" t="s">
        <v>1134</v>
      </c>
      <c r="F954" s="1272"/>
      <c r="G954" s="1269"/>
      <c r="H954" s="1269"/>
      <c r="I954" s="1269"/>
      <c r="J954" s="1269"/>
      <c r="K954" s="1269"/>
      <c r="L954" s="1269"/>
      <c r="M954" s="1269"/>
      <c r="N954" s="1269"/>
      <c r="O954" s="1270"/>
      <c r="P954" s="1268" t="s">
        <v>40</v>
      </c>
      <c r="Q954" s="1271"/>
    </row>
    <row r="955" spans="1:17" ht="11.25" hidden="1" customHeight="1" x14ac:dyDescent="0.35">
      <c r="A955" s="1273"/>
      <c r="B955" s="1268"/>
      <c r="C955" s="1268"/>
      <c r="D955" s="1268"/>
      <c r="E955" s="1268" t="s">
        <v>1135</v>
      </c>
      <c r="F955" s="1272"/>
      <c r="G955" s="1269"/>
      <c r="H955" s="1269"/>
      <c r="I955" s="1269"/>
      <c r="J955" s="1269"/>
      <c r="K955" s="1269"/>
      <c r="L955" s="1269"/>
      <c r="M955" s="1269"/>
      <c r="N955" s="1269"/>
      <c r="O955" s="1270"/>
      <c r="P955" s="1268" t="s">
        <v>40</v>
      </c>
      <c r="Q955" s="1271"/>
    </row>
    <row r="956" spans="1:17" ht="11.25" hidden="1" customHeight="1" x14ac:dyDescent="0.35">
      <c r="A956" s="1273"/>
      <c r="B956" s="1268"/>
      <c r="C956" s="1268"/>
      <c r="D956" s="1268"/>
      <c r="E956" s="1268" t="s">
        <v>1136</v>
      </c>
      <c r="F956" s="1272"/>
      <c r="G956" s="1269"/>
      <c r="H956" s="1269"/>
      <c r="I956" s="1269"/>
      <c r="J956" s="1269"/>
      <c r="K956" s="1269"/>
      <c r="L956" s="1269"/>
      <c r="M956" s="1269"/>
      <c r="N956" s="1269"/>
      <c r="O956" s="1270"/>
      <c r="P956" s="1268" t="s">
        <v>40</v>
      </c>
      <c r="Q956" s="1271"/>
    </row>
    <row r="957" spans="1:17" ht="11.25" hidden="1" customHeight="1" x14ac:dyDescent="0.35">
      <c r="A957" s="1273"/>
      <c r="B957" s="1268"/>
      <c r="C957" s="1268"/>
      <c r="D957" s="1268"/>
      <c r="E957" s="1268" t="s">
        <v>1137</v>
      </c>
      <c r="F957" s="1272"/>
      <c r="G957" s="1269"/>
      <c r="H957" s="1269"/>
      <c r="I957" s="1269"/>
      <c r="J957" s="1269"/>
      <c r="K957" s="1269"/>
      <c r="L957" s="1269"/>
      <c r="M957" s="1269"/>
      <c r="N957" s="1269"/>
      <c r="O957" s="1270"/>
      <c r="P957" s="1268" t="s">
        <v>40</v>
      </c>
      <c r="Q957" s="1271"/>
    </row>
    <row r="958" spans="1:17" ht="11.25" hidden="1" customHeight="1" x14ac:dyDescent="0.35">
      <c r="A958" s="1273"/>
      <c r="B958" s="1268"/>
      <c r="C958" s="1268" t="s">
        <v>1138</v>
      </c>
      <c r="D958" s="1268" t="s">
        <v>1139</v>
      </c>
      <c r="E958" s="1268" t="s">
        <v>1140</v>
      </c>
      <c r="F958" s="1272"/>
      <c r="G958" s="1269"/>
      <c r="H958" s="1269"/>
      <c r="I958" s="1269"/>
      <c r="J958" s="1269"/>
      <c r="K958" s="1269"/>
      <c r="L958" s="1269"/>
      <c r="M958" s="1269"/>
      <c r="N958" s="1269"/>
      <c r="O958" s="1270"/>
      <c r="P958" s="1268" t="s">
        <v>40</v>
      </c>
      <c r="Q958" s="1271"/>
    </row>
    <row r="959" spans="1:17" ht="11.25" hidden="1" customHeight="1" x14ac:dyDescent="0.35">
      <c r="A959" s="1273"/>
      <c r="B959" s="1268"/>
      <c r="C959" s="1268"/>
      <c r="D959" s="1268"/>
      <c r="E959" s="1268" t="s">
        <v>1141</v>
      </c>
      <c r="F959" s="1272"/>
      <c r="G959" s="1269"/>
      <c r="H959" s="1269"/>
      <c r="I959" s="1269"/>
      <c r="J959" s="1269"/>
      <c r="K959" s="1269"/>
      <c r="L959" s="1269"/>
      <c r="M959" s="1269"/>
      <c r="N959" s="1269"/>
      <c r="O959" s="1270"/>
      <c r="P959" s="1268" t="s">
        <v>40</v>
      </c>
      <c r="Q959" s="1271"/>
    </row>
    <row r="960" spans="1:17" ht="11.25" hidden="1" customHeight="1" x14ac:dyDescent="0.35">
      <c r="A960" s="1273"/>
      <c r="B960" s="1268"/>
      <c r="C960" s="1268"/>
      <c r="D960" s="1268"/>
      <c r="E960" s="1268" t="s">
        <v>1142</v>
      </c>
      <c r="F960" s="1272"/>
      <c r="G960" s="1269"/>
      <c r="H960" s="1269"/>
      <c r="I960" s="1269"/>
      <c r="J960" s="1269"/>
      <c r="K960" s="1269"/>
      <c r="L960" s="1269"/>
      <c r="M960" s="1269"/>
      <c r="N960" s="1269"/>
      <c r="O960" s="1270"/>
      <c r="P960" s="1268" t="s">
        <v>40</v>
      </c>
      <c r="Q960" s="1271"/>
    </row>
    <row r="961" spans="1:17" ht="11.25" hidden="1" customHeight="1" x14ac:dyDescent="0.35">
      <c r="A961" s="1273"/>
      <c r="B961" s="1268"/>
      <c r="C961" s="1268"/>
      <c r="D961" s="1268"/>
      <c r="E961" s="1268" t="s">
        <v>1143</v>
      </c>
      <c r="F961" s="1272"/>
      <c r="G961" s="1269"/>
      <c r="H961" s="1269"/>
      <c r="I961" s="1269"/>
      <c r="J961" s="1269"/>
      <c r="K961" s="1269"/>
      <c r="L961" s="1269"/>
      <c r="M961" s="1269"/>
      <c r="N961" s="1269"/>
      <c r="O961" s="1270"/>
      <c r="P961" s="1268" t="s">
        <v>40</v>
      </c>
      <c r="Q961" s="1271"/>
    </row>
    <row r="962" spans="1:17" ht="11.25" hidden="1" customHeight="1" x14ac:dyDescent="0.35">
      <c r="A962" s="1273"/>
      <c r="B962" s="1268"/>
      <c r="C962" s="1268"/>
      <c r="D962" s="1268"/>
      <c r="E962" s="1268" t="s">
        <v>1144</v>
      </c>
      <c r="F962" s="1272"/>
      <c r="G962" s="1269"/>
      <c r="H962" s="1269"/>
      <c r="I962" s="1269"/>
      <c r="J962" s="1269"/>
      <c r="K962" s="1269"/>
      <c r="L962" s="1269"/>
      <c r="M962" s="1269"/>
      <c r="N962" s="1269"/>
      <c r="O962" s="1270"/>
      <c r="P962" s="1268" t="s">
        <v>40</v>
      </c>
      <c r="Q962" s="1271"/>
    </row>
    <row r="963" spans="1:17" ht="11.25" hidden="1" customHeight="1" x14ac:dyDescent="0.35">
      <c r="A963" s="1273"/>
      <c r="B963" s="1268"/>
      <c r="C963" s="1268"/>
      <c r="D963" s="1268"/>
      <c r="E963" s="1268" t="s">
        <v>1145</v>
      </c>
      <c r="F963" s="1272"/>
      <c r="G963" s="1269"/>
      <c r="H963" s="1269"/>
      <c r="I963" s="1269"/>
      <c r="J963" s="1269"/>
      <c r="K963" s="1269"/>
      <c r="L963" s="1269"/>
      <c r="M963" s="1269"/>
      <c r="N963" s="1269"/>
      <c r="O963" s="1270"/>
      <c r="P963" s="1268" t="s">
        <v>40</v>
      </c>
      <c r="Q963" s="1271"/>
    </row>
    <row r="964" spans="1:17" ht="11.25" hidden="1" customHeight="1" x14ac:dyDescent="0.35">
      <c r="A964" s="1273"/>
      <c r="B964" s="1268"/>
      <c r="C964" s="1268"/>
      <c r="D964" s="1268"/>
      <c r="E964" s="1268" t="s">
        <v>1146</v>
      </c>
      <c r="F964" s="1272"/>
      <c r="G964" s="1269"/>
      <c r="H964" s="1269"/>
      <c r="I964" s="1269"/>
      <c r="J964" s="1269"/>
      <c r="K964" s="1269"/>
      <c r="L964" s="1269"/>
      <c r="M964" s="1269"/>
      <c r="N964" s="1269"/>
      <c r="O964" s="1270"/>
      <c r="P964" s="1268" t="s">
        <v>40</v>
      </c>
      <c r="Q964" s="1271"/>
    </row>
    <row r="965" spans="1:17" ht="11.25" hidden="1" customHeight="1" x14ac:dyDescent="0.35">
      <c r="A965" s="1273"/>
      <c r="B965" s="1268"/>
      <c r="C965" s="1268"/>
      <c r="D965" s="1268"/>
      <c r="E965" s="1268" t="s">
        <v>1147</v>
      </c>
      <c r="F965" s="1272"/>
      <c r="G965" s="1269"/>
      <c r="H965" s="1269"/>
      <c r="I965" s="1269"/>
      <c r="J965" s="1269"/>
      <c r="K965" s="1269"/>
      <c r="L965" s="1269"/>
      <c r="M965" s="1269"/>
      <c r="N965" s="1269"/>
      <c r="O965" s="1270"/>
      <c r="P965" s="1268" t="s">
        <v>40</v>
      </c>
      <c r="Q965" s="1271"/>
    </row>
    <row r="966" spans="1:17" ht="11.25" hidden="1" customHeight="1" x14ac:dyDescent="0.35">
      <c r="A966" s="1273"/>
      <c r="B966" s="1268"/>
      <c r="C966" s="1268"/>
      <c r="D966" s="1268"/>
      <c r="E966" s="1268" t="s">
        <v>1148</v>
      </c>
      <c r="F966" s="1272"/>
      <c r="G966" s="1269"/>
      <c r="H966" s="1269"/>
      <c r="I966" s="1269"/>
      <c r="J966" s="1269"/>
      <c r="K966" s="1269"/>
      <c r="L966" s="1269"/>
      <c r="M966" s="1269"/>
      <c r="N966" s="1269"/>
      <c r="O966" s="1270"/>
      <c r="P966" s="1268" t="s">
        <v>40</v>
      </c>
      <c r="Q966" s="1271"/>
    </row>
    <row r="967" spans="1:17" ht="11.25" hidden="1" customHeight="1" x14ac:dyDescent="0.35">
      <c r="A967" s="1273"/>
      <c r="B967" s="1268"/>
      <c r="C967" s="1268"/>
      <c r="D967" s="1268"/>
      <c r="E967" s="1268" t="s">
        <v>1149</v>
      </c>
      <c r="F967" s="1272"/>
      <c r="G967" s="1269"/>
      <c r="H967" s="1269"/>
      <c r="I967" s="1269"/>
      <c r="J967" s="1269"/>
      <c r="K967" s="1269"/>
      <c r="L967" s="1269"/>
      <c r="M967" s="1269"/>
      <c r="N967" s="1269"/>
      <c r="O967" s="1270"/>
      <c r="P967" s="1268" t="s">
        <v>40</v>
      </c>
      <c r="Q967" s="1271"/>
    </row>
    <row r="968" spans="1:17" ht="11.25" hidden="1" customHeight="1" x14ac:dyDescent="0.35">
      <c r="A968" s="1273"/>
      <c r="B968" s="1268"/>
      <c r="C968" s="1268"/>
      <c r="D968" s="1268"/>
      <c r="E968" s="1268" t="s">
        <v>1150</v>
      </c>
      <c r="F968" s="1272"/>
      <c r="G968" s="1269"/>
      <c r="H968" s="1269"/>
      <c r="I968" s="1269"/>
      <c r="J968" s="1269"/>
      <c r="K968" s="1269"/>
      <c r="L968" s="1269"/>
      <c r="M968" s="1269"/>
      <c r="N968" s="1269"/>
      <c r="O968" s="1270"/>
      <c r="P968" s="1268" t="s">
        <v>40</v>
      </c>
      <c r="Q968" s="1271"/>
    </row>
    <row r="969" spans="1:17" ht="11.25" hidden="1" customHeight="1" x14ac:dyDescent="0.35">
      <c r="A969" s="1273"/>
      <c r="B969" s="1268"/>
      <c r="C969" s="1268"/>
      <c r="D969" s="1268"/>
      <c r="E969" s="1268" t="s">
        <v>1151</v>
      </c>
      <c r="F969" s="1272"/>
      <c r="G969" s="1269"/>
      <c r="H969" s="1269"/>
      <c r="I969" s="1269"/>
      <c r="J969" s="1269"/>
      <c r="K969" s="1269"/>
      <c r="L969" s="1269"/>
      <c r="M969" s="1269"/>
      <c r="N969" s="1269"/>
      <c r="O969" s="1270"/>
      <c r="P969" s="1268" t="s">
        <v>40</v>
      </c>
      <c r="Q969" s="1271"/>
    </row>
    <row r="970" spans="1:17" ht="11.25" hidden="1" customHeight="1" x14ac:dyDescent="0.35">
      <c r="A970" s="1273"/>
      <c r="B970" s="1268"/>
      <c r="C970" s="1268"/>
      <c r="D970" s="1268"/>
      <c r="E970" s="1268" t="s">
        <v>1152</v>
      </c>
      <c r="F970" s="1272"/>
      <c r="G970" s="1269"/>
      <c r="H970" s="1269"/>
      <c r="I970" s="1269"/>
      <c r="J970" s="1269"/>
      <c r="K970" s="1269"/>
      <c r="L970" s="1269"/>
      <c r="M970" s="1269"/>
      <c r="N970" s="1269"/>
      <c r="O970" s="1270"/>
      <c r="P970" s="1268" t="s">
        <v>40</v>
      </c>
      <c r="Q970" s="1271"/>
    </row>
    <row r="971" spans="1:17" ht="11.25" hidden="1" customHeight="1" x14ac:dyDescent="0.35">
      <c r="A971" s="1273"/>
      <c r="B971" s="1268"/>
      <c r="C971" s="1268"/>
      <c r="D971" s="1268"/>
      <c r="E971" s="1268" t="s">
        <v>1153</v>
      </c>
      <c r="F971" s="1272"/>
      <c r="G971" s="1269"/>
      <c r="H971" s="1269"/>
      <c r="I971" s="1269"/>
      <c r="J971" s="1269"/>
      <c r="K971" s="1269"/>
      <c r="L971" s="1269"/>
      <c r="M971" s="1269"/>
      <c r="N971" s="1269"/>
      <c r="O971" s="1270"/>
      <c r="P971" s="1268" t="s">
        <v>40</v>
      </c>
      <c r="Q971" s="1271"/>
    </row>
    <row r="972" spans="1:17" ht="11.25" hidden="1" customHeight="1" x14ac:dyDescent="0.35">
      <c r="A972" s="1273"/>
      <c r="B972" s="1268"/>
      <c r="C972" s="1268"/>
      <c r="D972" s="1268"/>
      <c r="E972" s="1268" t="s">
        <v>1154</v>
      </c>
      <c r="F972" s="1272"/>
      <c r="G972" s="1269"/>
      <c r="H972" s="1269"/>
      <c r="I972" s="1269"/>
      <c r="J972" s="1269"/>
      <c r="K972" s="1269"/>
      <c r="L972" s="1269"/>
      <c r="M972" s="1269"/>
      <c r="N972" s="1269"/>
      <c r="O972" s="1270"/>
      <c r="P972" s="1268" t="s">
        <v>40</v>
      </c>
      <c r="Q972" s="1271"/>
    </row>
    <row r="973" spans="1:17" ht="11.25" hidden="1" customHeight="1" x14ac:dyDescent="0.35">
      <c r="A973" s="1273"/>
      <c r="B973" s="1268"/>
      <c r="C973" s="1268"/>
      <c r="D973" s="1268"/>
      <c r="E973" s="1268" t="s">
        <v>1155</v>
      </c>
      <c r="F973" s="1272"/>
      <c r="G973" s="1269"/>
      <c r="H973" s="1269"/>
      <c r="I973" s="1269"/>
      <c r="J973" s="1269"/>
      <c r="K973" s="1269"/>
      <c r="L973" s="1269"/>
      <c r="M973" s="1269"/>
      <c r="N973" s="1269"/>
      <c r="O973" s="1270"/>
      <c r="P973" s="1268" t="s">
        <v>40</v>
      </c>
      <c r="Q973" s="1271"/>
    </row>
    <row r="974" spans="1:17" ht="11.25" hidden="1" customHeight="1" x14ac:dyDescent="0.35">
      <c r="A974" s="1273"/>
      <c r="B974" s="1268"/>
      <c r="C974" s="1268"/>
      <c r="D974" s="1268"/>
      <c r="E974" s="1268" t="s">
        <v>1156</v>
      </c>
      <c r="F974" s="1272"/>
      <c r="G974" s="1269"/>
      <c r="H974" s="1269"/>
      <c r="I974" s="1269"/>
      <c r="J974" s="1269"/>
      <c r="K974" s="1269"/>
      <c r="L974" s="1269"/>
      <c r="M974" s="1269"/>
      <c r="N974" s="1269"/>
      <c r="O974" s="1270"/>
      <c r="P974" s="1268" t="s">
        <v>40</v>
      </c>
      <c r="Q974" s="1271"/>
    </row>
    <row r="975" spans="1:17" ht="11.25" hidden="1" customHeight="1" x14ac:dyDescent="0.35">
      <c r="A975" s="1273"/>
      <c r="B975" s="1268"/>
      <c r="C975" s="1268"/>
      <c r="D975" s="1268"/>
      <c r="E975" s="1268" t="s">
        <v>1157</v>
      </c>
      <c r="F975" s="1272"/>
      <c r="G975" s="1269"/>
      <c r="H975" s="1269"/>
      <c r="I975" s="1269"/>
      <c r="J975" s="1269"/>
      <c r="K975" s="1269"/>
      <c r="L975" s="1269"/>
      <c r="M975" s="1269"/>
      <c r="N975" s="1269"/>
      <c r="O975" s="1270"/>
      <c r="P975" s="1268" t="s">
        <v>40</v>
      </c>
      <c r="Q975" s="1271"/>
    </row>
    <row r="976" spans="1:17" ht="11.25" hidden="1" customHeight="1" x14ac:dyDescent="0.35">
      <c r="A976" s="1273"/>
      <c r="B976" s="1268"/>
      <c r="C976" s="1268"/>
      <c r="D976" s="1268"/>
      <c r="E976" s="1268" t="s">
        <v>1158</v>
      </c>
      <c r="F976" s="1272"/>
      <c r="G976" s="1269"/>
      <c r="H976" s="1269"/>
      <c r="I976" s="1269"/>
      <c r="J976" s="1269"/>
      <c r="K976" s="1269"/>
      <c r="L976" s="1269"/>
      <c r="M976" s="1269"/>
      <c r="N976" s="1269"/>
      <c r="O976" s="1270"/>
      <c r="P976" s="1268" t="s">
        <v>40</v>
      </c>
      <c r="Q976" s="1271"/>
    </row>
    <row r="977" spans="1:17" ht="11.25" hidden="1" customHeight="1" x14ac:dyDescent="0.35">
      <c r="A977" s="1273"/>
      <c r="B977" s="1268"/>
      <c r="C977" s="1268"/>
      <c r="D977" s="1268"/>
      <c r="E977" s="1268" t="s">
        <v>1159</v>
      </c>
      <c r="F977" s="1272"/>
      <c r="G977" s="1269"/>
      <c r="H977" s="1269"/>
      <c r="I977" s="1269"/>
      <c r="J977" s="1269"/>
      <c r="K977" s="1269"/>
      <c r="L977" s="1269"/>
      <c r="M977" s="1269"/>
      <c r="N977" s="1269"/>
      <c r="O977" s="1270"/>
      <c r="P977" s="1268" t="s">
        <v>40</v>
      </c>
      <c r="Q977" s="1271"/>
    </row>
    <row r="978" spans="1:17" ht="11.25" hidden="1" customHeight="1" x14ac:dyDescent="0.35">
      <c r="A978" s="1273"/>
      <c r="B978" s="1268"/>
      <c r="C978" s="1268"/>
      <c r="D978" s="1268"/>
      <c r="E978" s="1268" t="s">
        <v>1160</v>
      </c>
      <c r="F978" s="1272"/>
      <c r="G978" s="1269"/>
      <c r="H978" s="1269"/>
      <c r="I978" s="1269"/>
      <c r="J978" s="1269"/>
      <c r="K978" s="1269"/>
      <c r="L978" s="1269"/>
      <c r="M978" s="1269"/>
      <c r="N978" s="1269"/>
      <c r="O978" s="1270"/>
      <c r="P978" s="1268" t="s">
        <v>40</v>
      </c>
      <c r="Q978" s="1271"/>
    </row>
    <row r="979" spans="1:17" ht="11.25" hidden="1" customHeight="1" x14ac:dyDescent="0.35">
      <c r="A979" s="1273"/>
      <c r="B979" s="1268"/>
      <c r="C979" s="1268"/>
      <c r="D979" s="1268"/>
      <c r="E979" s="1268" t="s">
        <v>1161</v>
      </c>
      <c r="F979" s="1272"/>
      <c r="G979" s="1269"/>
      <c r="H979" s="1269"/>
      <c r="I979" s="1269"/>
      <c r="J979" s="1269"/>
      <c r="K979" s="1269"/>
      <c r="L979" s="1269"/>
      <c r="M979" s="1269"/>
      <c r="N979" s="1269"/>
      <c r="O979" s="1270"/>
      <c r="P979" s="1268" t="s">
        <v>40</v>
      </c>
      <c r="Q979" s="1271"/>
    </row>
    <row r="980" spans="1:17" ht="11.25" hidden="1" customHeight="1" x14ac:dyDescent="0.35">
      <c r="A980" s="1273"/>
      <c r="B980" s="1268"/>
      <c r="C980" s="1268"/>
      <c r="D980" s="1268"/>
      <c r="E980" s="1268" t="s">
        <v>1162</v>
      </c>
      <c r="F980" s="1272"/>
      <c r="G980" s="1269"/>
      <c r="H980" s="1269"/>
      <c r="I980" s="1269"/>
      <c r="J980" s="1269"/>
      <c r="K980" s="1269"/>
      <c r="L980" s="1269"/>
      <c r="M980" s="1269"/>
      <c r="N980" s="1269"/>
      <c r="O980" s="1270"/>
      <c r="P980" s="1268" t="s">
        <v>40</v>
      </c>
      <c r="Q980" s="1271"/>
    </row>
    <row r="981" spans="1:17" ht="11.25" hidden="1" customHeight="1" x14ac:dyDescent="0.35">
      <c r="A981" s="1273"/>
      <c r="B981" s="1268"/>
      <c r="C981" s="1268"/>
      <c r="D981" s="1268"/>
      <c r="E981" s="1268" t="s">
        <v>1163</v>
      </c>
      <c r="F981" s="1272"/>
      <c r="G981" s="1269"/>
      <c r="H981" s="1269"/>
      <c r="I981" s="1269"/>
      <c r="J981" s="1269"/>
      <c r="K981" s="1269"/>
      <c r="L981" s="1269"/>
      <c r="M981" s="1269"/>
      <c r="N981" s="1269"/>
      <c r="O981" s="1270"/>
      <c r="P981" s="1268" t="s">
        <v>40</v>
      </c>
      <c r="Q981" s="1271"/>
    </row>
    <row r="982" spans="1:17" ht="11.25" hidden="1" customHeight="1" x14ac:dyDescent="0.35">
      <c r="A982" s="1273"/>
      <c r="B982" s="1268"/>
      <c r="C982" s="1268"/>
      <c r="D982" s="1268"/>
      <c r="E982" s="1268" t="s">
        <v>1164</v>
      </c>
      <c r="F982" s="1272"/>
      <c r="G982" s="1269"/>
      <c r="H982" s="1269"/>
      <c r="I982" s="1269"/>
      <c r="J982" s="1269"/>
      <c r="K982" s="1269"/>
      <c r="L982" s="1269"/>
      <c r="M982" s="1269"/>
      <c r="N982" s="1269"/>
      <c r="O982" s="1270"/>
      <c r="P982" s="1268" t="s">
        <v>40</v>
      </c>
      <c r="Q982" s="1271"/>
    </row>
    <row r="983" spans="1:17" ht="11.25" hidden="1" customHeight="1" x14ac:dyDescent="0.35">
      <c r="A983" s="1273"/>
      <c r="B983" s="1268"/>
      <c r="C983" s="1268"/>
      <c r="D983" s="1268"/>
      <c r="E983" s="1268" t="s">
        <v>1165</v>
      </c>
      <c r="F983" s="1272"/>
      <c r="G983" s="1269"/>
      <c r="H983" s="1269"/>
      <c r="I983" s="1269"/>
      <c r="J983" s="1269"/>
      <c r="K983" s="1269"/>
      <c r="L983" s="1269"/>
      <c r="M983" s="1269"/>
      <c r="N983" s="1269"/>
      <c r="O983" s="1270"/>
      <c r="P983" s="1268" t="s">
        <v>40</v>
      </c>
      <c r="Q983" s="1271"/>
    </row>
    <row r="984" spans="1:17" ht="11.25" hidden="1" customHeight="1" x14ac:dyDescent="0.35">
      <c r="A984" s="1273"/>
      <c r="B984" s="1268"/>
      <c r="C984" s="1268"/>
      <c r="D984" s="1268"/>
      <c r="E984" s="1268" t="s">
        <v>1166</v>
      </c>
      <c r="F984" s="1272"/>
      <c r="G984" s="1269"/>
      <c r="H984" s="1269"/>
      <c r="I984" s="1269"/>
      <c r="J984" s="1269"/>
      <c r="K984" s="1269"/>
      <c r="L984" s="1269"/>
      <c r="M984" s="1269"/>
      <c r="N984" s="1269"/>
      <c r="O984" s="1270"/>
      <c r="P984" s="1268" t="s">
        <v>40</v>
      </c>
      <c r="Q984" s="1271"/>
    </row>
    <row r="985" spans="1:17" ht="11.25" hidden="1" customHeight="1" x14ac:dyDescent="0.35">
      <c r="A985" s="1273"/>
      <c r="B985" s="1268"/>
      <c r="C985" s="1268"/>
      <c r="D985" s="1268"/>
      <c r="E985" s="1268" t="s">
        <v>1167</v>
      </c>
      <c r="F985" s="1272"/>
      <c r="G985" s="1269"/>
      <c r="H985" s="1269"/>
      <c r="I985" s="1269"/>
      <c r="J985" s="1269"/>
      <c r="K985" s="1269"/>
      <c r="L985" s="1269"/>
      <c r="M985" s="1269"/>
      <c r="N985" s="1269"/>
      <c r="O985" s="1270"/>
      <c r="P985" s="1268" t="s">
        <v>40</v>
      </c>
      <c r="Q985" s="1271"/>
    </row>
    <row r="986" spans="1:17" ht="11.25" hidden="1" customHeight="1" x14ac:dyDescent="0.35">
      <c r="A986" s="1273"/>
      <c r="B986" s="1268"/>
      <c r="C986" s="1268"/>
      <c r="D986" s="1268"/>
      <c r="E986" s="1268" t="s">
        <v>1168</v>
      </c>
      <c r="F986" s="1272"/>
      <c r="G986" s="1269"/>
      <c r="H986" s="1269"/>
      <c r="I986" s="1269"/>
      <c r="J986" s="1269"/>
      <c r="K986" s="1269"/>
      <c r="L986" s="1269"/>
      <c r="M986" s="1269"/>
      <c r="N986" s="1269"/>
      <c r="O986" s="1270"/>
      <c r="P986" s="1268" t="s">
        <v>40</v>
      </c>
      <c r="Q986" s="1271"/>
    </row>
    <row r="987" spans="1:17" ht="11.25" hidden="1" customHeight="1" x14ac:dyDescent="0.35">
      <c r="A987" s="1273"/>
      <c r="B987" s="1268"/>
      <c r="C987" s="1268"/>
      <c r="D987" s="1268"/>
      <c r="E987" s="1268" t="s">
        <v>1169</v>
      </c>
      <c r="F987" s="1272"/>
      <c r="G987" s="1269"/>
      <c r="H987" s="1269"/>
      <c r="I987" s="1269"/>
      <c r="J987" s="1269"/>
      <c r="K987" s="1269"/>
      <c r="L987" s="1269"/>
      <c r="M987" s="1269"/>
      <c r="N987" s="1269"/>
      <c r="O987" s="1270"/>
      <c r="P987" s="1268" t="s">
        <v>40</v>
      </c>
      <c r="Q987" s="1271"/>
    </row>
    <row r="988" spans="1:17" ht="11.25" hidden="1" customHeight="1" x14ac:dyDescent="0.35">
      <c r="A988" s="1273"/>
      <c r="B988" s="1268"/>
      <c r="C988" s="1268" t="s">
        <v>1170</v>
      </c>
      <c r="D988" s="1268" t="s">
        <v>1171</v>
      </c>
      <c r="E988" s="1268" t="s">
        <v>1172</v>
      </c>
      <c r="F988" s="1272"/>
      <c r="G988" s="1269">
        <f t="shared" ref="G988:M988" ca="1" si="558">+OFFSET(G$151,-2,0)-G$152+OFFSET(G$161,-2,0)-G$162+OFFSET(G$171,-2,0)-G$172+OFFSET(G$181,-2,0)-G$182+OFFSET(G$191,-2,0)-G$192+OFFSET(G$201,-2,0)-G$202+OFFSET(G$211,-2,0)-G$212+OFFSET(G$221,-2,0)-G$222+OFFSET(G$231,-2,0)-G$232+OFFSET(G$241,-2,0)-G$242+OFFSET(G$251,-2,0)-G$252+OFFSET(G$261,-2,0)-G$262+OFFSET(G$271,-2,0)-G$272+OFFSET(G$281,-2,0)-G$282+OFFSET(G$291,-2,0)-G$292+OFFSET(G$301,-2,0)-G$302+OFFSET(G$311,-2,0)-G$312-G$992+G$1000+G$1004</f>
        <v>0</v>
      </c>
      <c r="H988" s="1269">
        <f t="shared" ca="1" si="558"/>
        <v>-8100000</v>
      </c>
      <c r="I988" s="1269">
        <f t="shared" ca="1" si="558"/>
        <v>0</v>
      </c>
      <c r="J988" s="1269">
        <f t="shared" ca="1" si="558"/>
        <v>-270000</v>
      </c>
      <c r="K988" s="1269">
        <f t="shared" ca="1" si="558"/>
        <v>0</v>
      </c>
      <c r="L988" s="1269">
        <f t="shared" ca="1" si="558"/>
        <v>-135000</v>
      </c>
      <c r="M988" s="1269">
        <f t="shared" ca="1" si="558"/>
        <v>0</v>
      </c>
      <c r="N988" s="1269"/>
      <c r="O988" s="1270"/>
      <c r="P988" s="1268" t="s">
        <v>40</v>
      </c>
      <c r="Q988" s="1271"/>
    </row>
    <row r="989" spans="1:17" ht="11.25" hidden="1" customHeight="1" x14ac:dyDescent="0.35">
      <c r="A989" s="1273"/>
      <c r="B989" s="1268"/>
      <c r="C989" s="1268" t="s">
        <v>1173</v>
      </c>
      <c r="D989" s="1268"/>
      <c r="E989" s="1268" t="s">
        <v>1174</v>
      </c>
      <c r="F989" s="1272"/>
      <c r="G989" s="1269">
        <f t="shared" ref="G989:M989" si="559">-G$993+G$1001+G$1005</f>
        <v>0</v>
      </c>
      <c r="H989" s="1269">
        <f t="shared" si="559"/>
        <v>0</v>
      </c>
      <c r="I989" s="1269">
        <f t="shared" si="559"/>
        <v>0</v>
      </c>
      <c r="J989" s="1269">
        <f t="shared" si="559"/>
        <v>0</v>
      </c>
      <c r="K989" s="1269">
        <f t="shared" si="559"/>
        <v>0</v>
      </c>
      <c r="L989" s="1269">
        <f t="shared" si="559"/>
        <v>0</v>
      </c>
      <c r="M989" s="1269">
        <f t="shared" si="559"/>
        <v>0</v>
      </c>
      <c r="N989" s="1269"/>
      <c r="O989" s="1270"/>
      <c r="P989" s="1268" t="s">
        <v>40</v>
      </c>
      <c r="Q989" s="1271"/>
    </row>
    <row r="990" spans="1:17" ht="11.25" hidden="1" customHeight="1" x14ac:dyDescent="0.35">
      <c r="A990" s="1273"/>
      <c r="B990" s="1268"/>
      <c r="C990" s="1268" t="s">
        <v>1175</v>
      </c>
      <c r="D990" s="1268"/>
      <c r="E990" s="1268" t="s">
        <v>1176</v>
      </c>
      <c r="F990" s="1272"/>
      <c r="G990" s="1269">
        <f t="shared" ref="G990:M990" si="560">-G$994+G$1002+G$1006</f>
        <v>0</v>
      </c>
      <c r="H990" s="1269">
        <f t="shared" si="560"/>
        <v>0</v>
      </c>
      <c r="I990" s="1269">
        <f t="shared" si="560"/>
        <v>0</v>
      </c>
      <c r="J990" s="1269">
        <f t="shared" si="560"/>
        <v>0</v>
      </c>
      <c r="K990" s="1269">
        <f t="shared" si="560"/>
        <v>0</v>
      </c>
      <c r="L990" s="1269">
        <f t="shared" si="560"/>
        <v>0</v>
      </c>
      <c r="M990" s="1269">
        <f t="shared" si="560"/>
        <v>0</v>
      </c>
      <c r="N990" s="1269"/>
      <c r="O990" s="1270"/>
      <c r="P990" s="1268" t="s">
        <v>40</v>
      </c>
      <c r="Q990" s="1271"/>
    </row>
    <row r="991" spans="1:17" ht="11.25" hidden="1" customHeight="1" x14ac:dyDescent="0.35">
      <c r="A991" s="1273"/>
      <c r="B991" s="1268"/>
      <c r="C991" s="1268" t="s">
        <v>1177</v>
      </c>
      <c r="D991" s="1268"/>
      <c r="E991" s="1268" t="s">
        <v>1178</v>
      </c>
      <c r="F991" s="1272"/>
      <c r="G991" s="1269">
        <f t="shared" ref="G991:M991" si="561">-G$995+G$1003+G$1007</f>
        <v>0</v>
      </c>
      <c r="H991" s="1269">
        <f t="shared" si="561"/>
        <v>0</v>
      </c>
      <c r="I991" s="1269">
        <f t="shared" si="561"/>
        <v>0</v>
      </c>
      <c r="J991" s="1269">
        <f t="shared" si="561"/>
        <v>0</v>
      </c>
      <c r="K991" s="1269">
        <f t="shared" si="561"/>
        <v>0</v>
      </c>
      <c r="L991" s="1269">
        <f t="shared" si="561"/>
        <v>0</v>
      </c>
      <c r="M991" s="1269">
        <f t="shared" si="561"/>
        <v>0</v>
      </c>
      <c r="N991" s="1269"/>
      <c r="O991" s="1270"/>
      <c r="P991" s="1268" t="s">
        <v>40</v>
      </c>
      <c r="Q991" s="1271"/>
    </row>
    <row r="992" spans="1:17" ht="11.25" hidden="1" customHeight="1" x14ac:dyDescent="0.35">
      <c r="A992" s="1273"/>
      <c r="B992" s="1268"/>
      <c r="C992" s="1268" t="s">
        <v>1170</v>
      </c>
      <c r="D992" s="1268" t="s">
        <v>1179</v>
      </c>
      <c r="E992" s="1268" t="s">
        <v>1180</v>
      </c>
      <c r="F992" s="1272"/>
      <c r="G992" s="1269"/>
      <c r="H992" s="1269"/>
      <c r="I992" s="1269"/>
      <c r="J992" s="1269"/>
      <c r="K992" s="1269"/>
      <c r="L992" s="1269"/>
      <c r="M992" s="1269"/>
      <c r="N992" s="1269"/>
      <c r="O992" s="1270"/>
      <c r="P992" s="1268" t="s">
        <v>40</v>
      </c>
      <c r="Q992" s="1271"/>
    </row>
    <row r="993" spans="1:17" ht="11.25" hidden="1" customHeight="1" x14ac:dyDescent="0.35">
      <c r="A993" s="1273"/>
      <c r="B993" s="1268"/>
      <c r="C993" s="1268" t="s">
        <v>1173</v>
      </c>
      <c r="D993" s="1268"/>
      <c r="E993" s="1268" t="s">
        <v>1181</v>
      </c>
      <c r="F993" s="1272"/>
      <c r="G993" s="1269"/>
      <c r="H993" s="1269"/>
      <c r="I993" s="1269"/>
      <c r="J993" s="1269"/>
      <c r="K993" s="1269"/>
      <c r="L993" s="1269"/>
      <c r="M993" s="1269"/>
      <c r="N993" s="1269"/>
      <c r="O993" s="1270"/>
      <c r="P993" s="1268" t="s">
        <v>40</v>
      </c>
      <c r="Q993" s="1271"/>
    </row>
    <row r="994" spans="1:17" ht="11.25" hidden="1" customHeight="1" x14ac:dyDescent="0.35">
      <c r="A994" s="1273"/>
      <c r="B994" s="1268"/>
      <c r="C994" s="1268" t="s">
        <v>1175</v>
      </c>
      <c r="D994" s="1268"/>
      <c r="E994" s="1268" t="s">
        <v>1182</v>
      </c>
      <c r="F994" s="1272"/>
      <c r="G994" s="1269"/>
      <c r="H994" s="1269"/>
      <c r="I994" s="1269"/>
      <c r="J994" s="1269"/>
      <c r="K994" s="1269"/>
      <c r="L994" s="1269"/>
      <c r="M994" s="1269"/>
      <c r="N994" s="1269"/>
      <c r="O994" s="1270"/>
      <c r="P994" s="1268" t="s">
        <v>40</v>
      </c>
      <c r="Q994" s="1271"/>
    </row>
    <row r="995" spans="1:17" ht="11.25" hidden="1" customHeight="1" x14ac:dyDescent="0.35">
      <c r="A995" s="1273"/>
      <c r="B995" s="1268"/>
      <c r="C995" s="1268" t="s">
        <v>1177</v>
      </c>
      <c r="D995" s="1268"/>
      <c r="E995" s="1268" t="s">
        <v>1183</v>
      </c>
      <c r="F995" s="1272"/>
      <c r="G995" s="1269"/>
      <c r="H995" s="1269"/>
      <c r="I995" s="1269"/>
      <c r="J995" s="1269"/>
      <c r="K995" s="1269"/>
      <c r="L995" s="1269"/>
      <c r="M995" s="1269"/>
      <c r="N995" s="1269"/>
      <c r="O995" s="1270"/>
      <c r="P995" s="1268" t="s">
        <v>40</v>
      </c>
      <c r="Q995" s="1271"/>
    </row>
    <row r="996" spans="1:17" ht="11.25" hidden="1" customHeight="1" x14ac:dyDescent="0.35">
      <c r="A996" s="1273"/>
      <c r="B996" s="1268"/>
      <c r="C996" s="1268" t="s">
        <v>1184</v>
      </c>
      <c r="D996" s="1268" t="s">
        <v>1185</v>
      </c>
      <c r="E996" s="1268" t="s">
        <v>1186</v>
      </c>
      <c r="F996" s="1272"/>
      <c r="G996" s="1269">
        <f ca="1">G$988*IF(G$5&lt;CalcPoint,IF(DontCompound=1,1,(1+IF(VariableRate=1,G$1057,DiscMonth))^G$1059),1/((1+IF(VariableRate=1,G$1057,DiscMonth))^G$1059))</f>
        <v>0</v>
      </c>
      <c r="H996" s="1269">
        <f t="shared" ref="H996:M996" ca="1" si="562">H$988*IF(H$5&lt;=CalcPoint,IF(DontCompound=1,1,(1+IF(VariableRate=1,H$1057,DiscMonth))^IF(MYDisc,H$1061,H$1059)),1/((1+IF(VariableRate=1,H$1057,DiscMonth))^IF(MYDisc,H$1061,H$1059)))</f>
        <v>-8027082.7860849742</v>
      </c>
      <c r="I996" s="1269">
        <f t="shared" ca="1" si="562"/>
        <v>0</v>
      </c>
      <c r="J996" s="1269">
        <f t="shared" ca="1" si="562"/>
        <v>-253438.63813530086</v>
      </c>
      <c r="K996" s="1269">
        <f t="shared" ca="1" si="562"/>
        <v>0</v>
      </c>
      <c r="L996" s="1269">
        <f t="shared" ca="1" si="562"/>
        <v>-120027.06028749561</v>
      </c>
      <c r="M996" s="1269">
        <f t="shared" ca="1" si="562"/>
        <v>0</v>
      </c>
      <c r="N996" s="1269"/>
      <c r="O996" s="1270"/>
      <c r="P996" s="1268" t="s">
        <v>40</v>
      </c>
      <c r="Q996" s="1271"/>
    </row>
    <row r="997" spans="1:17" ht="11.25" hidden="1" customHeight="1" x14ac:dyDescent="0.35">
      <c r="A997" s="1273"/>
      <c r="B997" s="1268"/>
      <c r="C997" s="1268" t="s">
        <v>1187</v>
      </c>
      <c r="D997" s="1268"/>
      <c r="E997" s="1268" t="s">
        <v>1188</v>
      </c>
      <c r="F997" s="1272"/>
      <c r="G997" s="1269">
        <f>(G$989+G$993)*IF(G$5&lt;CalcPoint,IF(DontCompound=1,1,(1+IF(VariableRate=1,G$1057,DiscMonth))^G$1059),1/((1+IF(VariableRate=1,G$1057,DiscMonth))^G$1059))</f>
        <v>0</v>
      </c>
      <c r="H997" s="1269">
        <f t="shared" ref="H997:M997" si="563">(H$989+H$993)*IF(H$5&lt;=CalcPoint,IF(DontCompound=1,1,(1+IF(VariableRate=1,H$1057,DiscMonth))^IF(MYDisc,H$1061,H$1059)),1/((1+IF(VariableRate=1,H$1057,DiscMonth))^IF(MYDisc,H$1061,H$1059)))</f>
        <v>0</v>
      </c>
      <c r="I997" s="1269">
        <f t="shared" si="563"/>
        <v>0</v>
      </c>
      <c r="J997" s="1269">
        <f t="shared" si="563"/>
        <v>0</v>
      </c>
      <c r="K997" s="1269">
        <f t="shared" si="563"/>
        <v>0</v>
      </c>
      <c r="L997" s="1269">
        <f t="shared" si="563"/>
        <v>0</v>
      </c>
      <c r="M997" s="1269">
        <f t="shared" si="563"/>
        <v>0</v>
      </c>
      <c r="N997" s="1269"/>
      <c r="O997" s="1270"/>
      <c r="P997" s="1268" t="s">
        <v>40</v>
      </c>
      <c r="Q997" s="1271"/>
    </row>
    <row r="998" spans="1:17" ht="11.25" hidden="1" customHeight="1" x14ac:dyDescent="0.35">
      <c r="A998" s="1273"/>
      <c r="B998" s="1268"/>
      <c r="C998" s="1268" t="s">
        <v>1189</v>
      </c>
      <c r="D998" s="1268"/>
      <c r="E998" s="1268" t="s">
        <v>1190</v>
      </c>
      <c r="F998" s="1272"/>
      <c r="G998" s="1269">
        <f>G$992*IF(G$5&lt;CalcPoint,IF(DontCompound=1,1,(1+IF(VariableRate=1,G$1057,DiscMonth))^G$1059),1/((1+IF(VariableRate=1,G$1057,DiscMonth))^G$1059))</f>
        <v>0</v>
      </c>
      <c r="H998" s="1269">
        <f t="shared" ref="H998:M998" si="564">H$992*IF(H$5&lt;=CalcPoint,IF(DontCompound=1,1,(1+IF(VariableRate=1,H$1057,DiscMonth))^IF(MYDisc,H$1061,H$1059)),1/((1+IF(VariableRate=1,H$1057,DiscMonth))^H$1059))</f>
        <v>0</v>
      </c>
      <c r="I998" s="1269">
        <f t="shared" si="564"/>
        <v>0</v>
      </c>
      <c r="J998" s="1269">
        <f t="shared" si="564"/>
        <v>0</v>
      </c>
      <c r="K998" s="1269">
        <f t="shared" si="564"/>
        <v>0</v>
      </c>
      <c r="L998" s="1269">
        <f t="shared" si="564"/>
        <v>0</v>
      </c>
      <c r="M998" s="1269">
        <f t="shared" si="564"/>
        <v>0</v>
      </c>
      <c r="N998" s="1269"/>
      <c r="O998" s="1270"/>
      <c r="P998" s="1268" t="s">
        <v>40</v>
      </c>
      <c r="Q998" s="1271"/>
    </row>
    <row r="999" spans="1:17" ht="11.25" hidden="1" customHeight="1" x14ac:dyDescent="0.35">
      <c r="A999" s="1273"/>
      <c r="B999" s="1268"/>
      <c r="C999" s="1268" t="s">
        <v>1191</v>
      </c>
      <c r="D999" s="1268"/>
      <c r="E999" s="1268" t="s">
        <v>1192</v>
      </c>
      <c r="F999" s="1272"/>
      <c r="G999" s="1269">
        <f>(G$990+G$991+G$994+G$995)*IF(G$5&lt;CalcPoint,IF(DontCompound=1,1,(1+IF(VariableRate=1,G$1057,DiscMonth))^G$1059),1/((1+IF(VariableRate=1,G$1057,DiscMonth))^G$1059))</f>
        <v>0</v>
      </c>
      <c r="H999" s="1269">
        <f t="shared" ref="H999:M999" si="565">(H$990+H$991+H$994+H$995)*IF(H$5&lt;=CalcPoint,IF(DontCompound=1,1,(1+IF(VariableRate=1,H$1057,DiscMonth))^IF(MYDisc,H$1061,H$1059)),1/((1+IF(VariableRate=1,H$1057,DiscMonth))^IF(MYDisc,H$1061,H$1059)))</f>
        <v>0</v>
      </c>
      <c r="I999" s="1269">
        <f t="shared" si="565"/>
        <v>0</v>
      </c>
      <c r="J999" s="1269">
        <f t="shared" si="565"/>
        <v>0</v>
      </c>
      <c r="K999" s="1269">
        <f t="shared" si="565"/>
        <v>0</v>
      </c>
      <c r="L999" s="1269">
        <f t="shared" si="565"/>
        <v>0</v>
      </c>
      <c r="M999" s="1269">
        <f t="shared" si="565"/>
        <v>0</v>
      </c>
      <c r="N999" s="1269"/>
      <c r="O999" s="1270"/>
      <c r="P999" s="1268" t="s">
        <v>40</v>
      </c>
      <c r="Q999" s="1271"/>
    </row>
    <row r="1000" spans="1:17" ht="11.25" hidden="1" customHeight="1" x14ac:dyDescent="0.35">
      <c r="A1000" s="1274"/>
      <c r="B1000" s="1268"/>
      <c r="C1000" s="1268" t="s">
        <v>1170</v>
      </c>
      <c r="D1000" s="1268" t="s">
        <v>1193</v>
      </c>
      <c r="E1000" s="1268" t="s">
        <v>1194</v>
      </c>
      <c r="F1000" s="1272"/>
      <c r="G1000" s="1269"/>
      <c r="H1000" s="1269">
        <v>-8100000</v>
      </c>
      <c r="I1000" s="1269">
        <v>0</v>
      </c>
      <c r="J1000" s="1269">
        <v>-270000</v>
      </c>
      <c r="K1000" s="1269">
        <v>0</v>
      </c>
      <c r="L1000" s="1269">
        <v>-135000</v>
      </c>
      <c r="M1000" s="1269">
        <v>0</v>
      </c>
      <c r="N1000" s="1269"/>
      <c r="O1000" s="1270"/>
      <c r="P1000" s="1268" t="s">
        <v>40</v>
      </c>
      <c r="Q1000" s="1271"/>
    </row>
    <row r="1001" spans="1:17" ht="11.25" hidden="1" customHeight="1" x14ac:dyDescent="0.35">
      <c r="A1001" s="1273"/>
      <c r="B1001" s="1268"/>
      <c r="C1001" s="1268" t="s">
        <v>1173</v>
      </c>
      <c r="D1001" s="1268"/>
      <c r="E1001" s="1268" t="s">
        <v>1195</v>
      </c>
      <c r="F1001" s="1272"/>
      <c r="G1001" s="1269"/>
      <c r="H1001" s="1269">
        <v>0</v>
      </c>
      <c r="I1001" s="1269">
        <v>0</v>
      </c>
      <c r="J1001" s="1269">
        <v>0</v>
      </c>
      <c r="K1001" s="1269">
        <v>0</v>
      </c>
      <c r="L1001" s="1269">
        <v>0</v>
      </c>
      <c r="M1001" s="1269">
        <v>0</v>
      </c>
      <c r="N1001" s="1269"/>
      <c r="O1001" s="1270"/>
      <c r="P1001" s="1268" t="s">
        <v>40</v>
      </c>
      <c r="Q1001" s="1271"/>
    </row>
    <row r="1002" spans="1:17" ht="11.25" hidden="1" customHeight="1" x14ac:dyDescent="0.35">
      <c r="A1002" s="1273"/>
      <c r="B1002" s="1268"/>
      <c r="C1002" s="1268" t="s">
        <v>1175</v>
      </c>
      <c r="D1002" s="1268"/>
      <c r="E1002" s="1268" t="s">
        <v>1196</v>
      </c>
      <c r="F1002" s="1272"/>
      <c r="G1002" s="1269"/>
      <c r="H1002" s="1269">
        <v>0</v>
      </c>
      <c r="I1002" s="1269">
        <v>0</v>
      </c>
      <c r="J1002" s="1269">
        <v>0</v>
      </c>
      <c r="K1002" s="1269">
        <v>0</v>
      </c>
      <c r="L1002" s="1269">
        <v>0</v>
      </c>
      <c r="M1002" s="1269">
        <v>0</v>
      </c>
      <c r="N1002" s="1269"/>
      <c r="O1002" s="1270"/>
      <c r="P1002" s="1268" t="s">
        <v>40</v>
      </c>
      <c r="Q1002" s="1271"/>
    </row>
    <row r="1003" spans="1:17" ht="11.25" hidden="1" customHeight="1" x14ac:dyDescent="0.35">
      <c r="A1003" s="1273"/>
      <c r="B1003" s="1268"/>
      <c r="C1003" s="1268" t="s">
        <v>1177</v>
      </c>
      <c r="D1003" s="1268"/>
      <c r="E1003" s="1268" t="s">
        <v>1197</v>
      </c>
      <c r="F1003" s="1272"/>
      <c r="G1003" s="1269"/>
      <c r="H1003" s="1269">
        <v>0</v>
      </c>
      <c r="I1003" s="1269">
        <v>0</v>
      </c>
      <c r="J1003" s="1269">
        <v>0</v>
      </c>
      <c r="K1003" s="1269">
        <v>0</v>
      </c>
      <c r="L1003" s="1269">
        <v>0</v>
      </c>
      <c r="M1003" s="1269">
        <v>0</v>
      </c>
      <c r="N1003" s="1269"/>
      <c r="O1003" s="1270"/>
      <c r="P1003" s="1268" t="s">
        <v>40</v>
      </c>
      <c r="Q1003" s="1271"/>
    </row>
    <row r="1004" spans="1:17" ht="11.25" hidden="1" customHeight="1" x14ac:dyDescent="0.35">
      <c r="A1004" s="1273"/>
      <c r="B1004" s="1268"/>
      <c r="C1004" s="1268" t="s">
        <v>1170</v>
      </c>
      <c r="D1004" s="1268" t="s">
        <v>1198</v>
      </c>
      <c r="E1004" s="1268" t="s">
        <v>1199</v>
      </c>
      <c r="F1004" s="1272"/>
      <c r="G1004" s="1269"/>
      <c r="H1004" s="1269"/>
      <c r="I1004" s="1269"/>
      <c r="J1004" s="1269"/>
      <c r="K1004" s="1269"/>
      <c r="L1004" s="1269"/>
      <c r="M1004" s="1269"/>
      <c r="N1004" s="1269"/>
      <c r="O1004" s="1270"/>
      <c r="P1004" s="1268" t="s">
        <v>40</v>
      </c>
      <c r="Q1004" s="1271"/>
    </row>
    <row r="1005" spans="1:17" ht="11.25" hidden="1" customHeight="1" x14ac:dyDescent="0.35">
      <c r="A1005" s="1273"/>
      <c r="B1005" s="1268"/>
      <c r="C1005" s="1268" t="s">
        <v>1173</v>
      </c>
      <c r="D1005" s="1268"/>
      <c r="E1005" s="1268" t="s">
        <v>1200</v>
      </c>
      <c r="F1005" s="1272"/>
      <c r="G1005" s="1269"/>
      <c r="H1005" s="1269"/>
      <c r="I1005" s="1269"/>
      <c r="J1005" s="1269"/>
      <c r="K1005" s="1269"/>
      <c r="L1005" s="1269"/>
      <c r="M1005" s="1269"/>
      <c r="N1005" s="1269"/>
      <c r="O1005" s="1270"/>
      <c r="P1005" s="1268" t="s">
        <v>40</v>
      </c>
      <c r="Q1005" s="1271"/>
    </row>
    <row r="1006" spans="1:17" ht="11.25" hidden="1" customHeight="1" x14ac:dyDescent="0.35">
      <c r="A1006" s="1273"/>
      <c r="B1006" s="1268"/>
      <c r="C1006" s="1268" t="s">
        <v>1175</v>
      </c>
      <c r="D1006" s="1268"/>
      <c r="E1006" s="1268" t="s">
        <v>1201</v>
      </c>
      <c r="F1006" s="1272"/>
      <c r="G1006" s="1269"/>
      <c r="H1006" s="1269"/>
      <c r="I1006" s="1269"/>
      <c r="J1006" s="1269"/>
      <c r="K1006" s="1269"/>
      <c r="L1006" s="1269"/>
      <c r="M1006" s="1269"/>
      <c r="N1006" s="1269"/>
      <c r="O1006" s="1270"/>
      <c r="P1006" s="1268" t="s">
        <v>40</v>
      </c>
      <c r="Q1006" s="1271"/>
    </row>
    <row r="1007" spans="1:17" ht="11.25" hidden="1" customHeight="1" x14ac:dyDescent="0.35">
      <c r="A1007" s="1273"/>
      <c r="B1007" s="1268"/>
      <c r="C1007" s="1268" t="s">
        <v>1177</v>
      </c>
      <c r="D1007" s="1268"/>
      <c r="E1007" s="1268" t="s">
        <v>1202</v>
      </c>
      <c r="F1007" s="1272"/>
      <c r="G1007" s="1269"/>
      <c r="H1007" s="1269"/>
      <c r="I1007" s="1269"/>
      <c r="J1007" s="1269"/>
      <c r="K1007" s="1269"/>
      <c r="L1007" s="1269"/>
      <c r="M1007" s="1269"/>
      <c r="N1007" s="1269"/>
      <c r="O1007" s="1270"/>
      <c r="P1007" s="1268" t="s">
        <v>40</v>
      </c>
      <c r="Q1007" s="1271"/>
    </row>
    <row r="1008" spans="1:17" ht="11.25" hidden="1" customHeight="1" x14ac:dyDescent="0.35">
      <c r="A1008" s="1273"/>
      <c r="B1008" s="1268"/>
      <c r="C1008" s="1268" t="s">
        <v>1184</v>
      </c>
      <c r="D1008" s="1268" t="s">
        <v>1203</v>
      </c>
      <c r="E1008" s="1268" t="s">
        <v>1204</v>
      </c>
      <c r="F1008" s="1272"/>
      <c r="G1008" s="1269"/>
      <c r="H1008" s="1269">
        <v>-8066521.9708956834</v>
      </c>
      <c r="I1008" s="1269">
        <v>0</v>
      </c>
      <c r="J1008" s="1269">
        <v>-253438.63813530086</v>
      </c>
      <c r="K1008" s="1269">
        <v>0</v>
      </c>
      <c r="L1008" s="1269">
        <v>-120027.06028749561</v>
      </c>
      <c r="M1008" s="1269">
        <v>0</v>
      </c>
      <c r="N1008" s="1269"/>
      <c r="O1008" s="1270"/>
      <c r="P1008" s="1268" t="s">
        <v>40</v>
      </c>
      <c r="Q1008" s="1271"/>
    </row>
    <row r="1009" spans="1:17" ht="11.25" hidden="1" customHeight="1" x14ac:dyDescent="0.35">
      <c r="A1009" s="1273"/>
      <c r="B1009" s="1268"/>
      <c r="C1009" s="1268" t="s">
        <v>1187</v>
      </c>
      <c r="D1009" s="1268"/>
      <c r="E1009" s="1268" t="s">
        <v>1205</v>
      </c>
      <c r="F1009" s="1272"/>
      <c r="G1009" s="1269"/>
      <c r="H1009" s="1269">
        <v>0</v>
      </c>
      <c r="I1009" s="1269">
        <v>0</v>
      </c>
      <c r="J1009" s="1269">
        <v>0</v>
      </c>
      <c r="K1009" s="1269">
        <v>0</v>
      </c>
      <c r="L1009" s="1269">
        <v>0</v>
      </c>
      <c r="M1009" s="1269">
        <v>0</v>
      </c>
      <c r="N1009" s="1269"/>
      <c r="O1009" s="1270"/>
      <c r="P1009" s="1268" t="s">
        <v>40</v>
      </c>
      <c r="Q1009" s="1271"/>
    </row>
    <row r="1010" spans="1:17" ht="11.25" hidden="1" customHeight="1" x14ac:dyDescent="0.35">
      <c r="A1010" s="1273"/>
      <c r="B1010" s="1268"/>
      <c r="C1010" s="1268" t="s">
        <v>1189</v>
      </c>
      <c r="D1010" s="1268"/>
      <c r="E1010" s="1268" t="s">
        <v>1206</v>
      </c>
      <c r="F1010" s="1272"/>
      <c r="G1010" s="1269"/>
      <c r="H1010" s="1269">
        <v>0</v>
      </c>
      <c r="I1010" s="1269">
        <v>0</v>
      </c>
      <c r="J1010" s="1269">
        <v>0</v>
      </c>
      <c r="K1010" s="1269">
        <v>0</v>
      </c>
      <c r="L1010" s="1269">
        <v>0</v>
      </c>
      <c r="M1010" s="1269">
        <v>0</v>
      </c>
      <c r="N1010" s="1269"/>
      <c r="O1010" s="1270"/>
      <c r="P1010" s="1268" t="s">
        <v>40</v>
      </c>
      <c r="Q1010" s="1271"/>
    </row>
    <row r="1011" spans="1:17" ht="11.25" hidden="1" customHeight="1" x14ac:dyDescent="0.35">
      <c r="A1011" s="1273"/>
      <c r="B1011" s="1268"/>
      <c r="C1011" s="1268" t="s">
        <v>1191</v>
      </c>
      <c r="D1011" s="1268"/>
      <c r="E1011" s="1268" t="s">
        <v>1207</v>
      </c>
      <c r="F1011" s="1272"/>
      <c r="G1011" s="1269"/>
      <c r="H1011" s="1269">
        <v>0</v>
      </c>
      <c r="I1011" s="1269">
        <v>0</v>
      </c>
      <c r="J1011" s="1269">
        <v>0</v>
      </c>
      <c r="K1011" s="1269">
        <v>0</v>
      </c>
      <c r="L1011" s="1269">
        <v>0</v>
      </c>
      <c r="M1011" s="1269">
        <v>0</v>
      </c>
      <c r="N1011" s="1269"/>
      <c r="O1011" s="1270"/>
      <c r="P1011" s="1268" t="s">
        <v>40</v>
      </c>
      <c r="Q1011" s="1271"/>
    </row>
    <row r="1012" spans="1:17" ht="11.25" hidden="1" customHeight="1" x14ac:dyDescent="0.35">
      <c r="A1012" s="1273"/>
      <c r="B1012" s="1268"/>
      <c r="C1012" s="1268" t="s">
        <v>1208</v>
      </c>
      <c r="D1012" s="1268"/>
      <c r="E1012" s="1268" t="s">
        <v>1209</v>
      </c>
      <c r="F1012" s="1272"/>
      <c r="G1012" s="1269">
        <f ca="1">G318-SUM(G988:G991)</f>
        <v>0</v>
      </c>
      <c r="H1012" s="1269">
        <f t="shared" ref="H1012:L1012" ca="1" si="566">H318-SUM(H988:H991)</f>
        <v>0</v>
      </c>
      <c r="I1012" s="1269">
        <f t="shared" ca="1" si="566"/>
        <v>0</v>
      </c>
      <c r="J1012" s="1269">
        <f t="shared" ca="1" si="566"/>
        <v>0</v>
      </c>
      <c r="K1012" s="1269">
        <f t="shared" ca="1" si="566"/>
        <v>0</v>
      </c>
      <c r="L1012" s="1269">
        <f t="shared" ca="1" si="566"/>
        <v>0</v>
      </c>
      <c r="M1012" s="1269">
        <f t="shared" ref="M1012" ca="1" si="567">M318-SUM(M988:M991)</f>
        <v>0</v>
      </c>
      <c r="N1012" s="1269"/>
      <c r="O1012" s="1270"/>
      <c r="P1012" s="1268" t="s">
        <v>40</v>
      </c>
      <c r="Q1012" s="1271"/>
    </row>
    <row r="1013" spans="1:17" ht="11.25" hidden="1" customHeight="1" x14ac:dyDescent="0.35">
      <c r="A1013" s="1273"/>
      <c r="B1013" s="1268"/>
      <c r="C1013" s="1268" t="s">
        <v>1210</v>
      </c>
      <c r="D1013" s="1268"/>
      <c r="E1013" s="1268" t="s">
        <v>1211</v>
      </c>
      <c r="F1013" s="1272"/>
      <c r="G1013" s="1269">
        <f ca="1">G1012*IF(G$5&lt;CalcPoint,IF(DontCompound=1,1,(1+IF(VariableRate=1,G$1057,DiscMonth))^G$1059),1/((1+IF(VariableRate=1,G$1057,DiscMonth))^G$1059))</f>
        <v>0</v>
      </c>
      <c r="H1013" s="1269">
        <f t="shared" ref="H1013:M1013" ca="1" si="568">H1012*IF(H$5&lt;=CalcPoint,IF(DontCompound=1,1,(1+IF(VariableRate=1,H$1057,DiscMonth))^IF(MYDisc,H$1061,H$1059)),1/((1+IF(VariableRate=1,H$1057,DiscMonth))^IF(MYDisc,H$1061,H$1059)))</f>
        <v>0</v>
      </c>
      <c r="I1013" s="1269">
        <f t="shared" ca="1" si="568"/>
        <v>0</v>
      </c>
      <c r="J1013" s="1269">
        <f t="shared" ca="1" si="568"/>
        <v>0</v>
      </c>
      <c r="K1013" s="1269">
        <f t="shared" ca="1" si="568"/>
        <v>0</v>
      </c>
      <c r="L1013" s="1269">
        <f t="shared" ca="1" si="568"/>
        <v>0</v>
      </c>
      <c r="M1013" s="1269">
        <f t="shared" ca="1" si="568"/>
        <v>0</v>
      </c>
      <c r="N1013" s="1269"/>
      <c r="O1013" s="1270"/>
      <c r="P1013" s="1268" t="s">
        <v>40</v>
      </c>
      <c r="Q1013" s="1271"/>
    </row>
    <row r="1014" spans="1:17" ht="11.25" hidden="1" customHeight="1" x14ac:dyDescent="0.35">
      <c r="A1014" s="1267"/>
      <c r="B1014" s="1268" t="s">
        <v>641</v>
      </c>
      <c r="C1014" s="1268"/>
      <c r="D1014" s="1268"/>
      <c r="E1014" s="1268" t="s">
        <v>1212</v>
      </c>
      <c r="F1014" s="1275">
        <f>SUM(CHOOSE(RonaCG,F$510,F$526))</f>
        <v>0</v>
      </c>
      <c r="G1014" s="1275"/>
      <c r="H1014" s="1275">
        <f t="shared" ref="H1014:M1014" ca="1" si="569">SUM(CHOOSE(RonaCG,H$510,H$526))</f>
        <v>4.1620387100678974E-2</v>
      </c>
      <c r="I1014" s="1275">
        <f t="shared" ca="1" si="569"/>
        <v>0.30978773327418113</v>
      </c>
      <c r="J1014" s="1275">
        <f t="shared" ca="1" si="569"/>
        <v>0.71562988349737056</v>
      </c>
      <c r="K1014" s="1275">
        <f t="shared" ca="1" si="569"/>
        <v>0.97985090823076759</v>
      </c>
      <c r="L1014" s="1275">
        <f t="shared" ca="1" si="569"/>
        <v>1.2466666353306157</v>
      </c>
      <c r="M1014" s="1275">
        <f t="shared" ca="1" si="569"/>
        <v>1.5063543470552092</v>
      </c>
      <c r="N1014" s="1275"/>
      <c r="O1014" s="1270"/>
      <c r="P1014" s="1268" t="s">
        <v>40</v>
      </c>
      <c r="Q1014" s="1271"/>
    </row>
    <row r="1015" spans="1:17" ht="11.25" hidden="1" customHeight="1" x14ac:dyDescent="0.35">
      <c r="A1015" s="1267"/>
      <c r="B1015" s="1268" t="s">
        <v>643</v>
      </c>
      <c r="C1015" s="1268"/>
      <c r="D1015" s="1268"/>
      <c r="E1015" s="1268" t="s">
        <v>1213</v>
      </c>
      <c r="F1015" s="1276">
        <f>SUM(CHOOSE(EvaCG,F$511,F$527))</f>
        <v>0</v>
      </c>
      <c r="G1015" s="1276"/>
      <c r="H1015" s="1276">
        <f t="shared" ref="H1015:M1015" ca="1" si="570">SUM(CHOOSE(EvaCG,H$511,H$527))</f>
        <v>59985.647153318045</v>
      </c>
      <c r="I1015" s="1276">
        <f t="shared" ca="1" si="570"/>
        <v>3554125.1763335224</v>
      </c>
      <c r="J1015" s="1276">
        <f t="shared" ca="1" si="570"/>
        <v>6018094.1626226483</v>
      </c>
      <c r="K1015" s="1276">
        <f t="shared" ca="1" si="570"/>
        <v>8820770.9869080577</v>
      </c>
      <c r="L1015" s="1276">
        <f t="shared" ca="1" si="570"/>
        <v>12180110.550515104</v>
      </c>
      <c r="M1015" s="1276">
        <f t="shared" ca="1" si="570"/>
        <v>16285829.965701811</v>
      </c>
      <c r="N1015" s="1276"/>
      <c r="O1015" s="1270"/>
      <c r="P1015" s="1268" t="s">
        <v>40</v>
      </c>
      <c r="Q1015" s="1271"/>
    </row>
    <row r="1016" spans="1:17" ht="11.25" hidden="1" customHeight="1" x14ac:dyDescent="0.35">
      <c r="A1016" s="1267"/>
      <c r="B1016" s="1268"/>
      <c r="C1016" s="1268"/>
      <c r="D1016" s="1268"/>
      <c r="E1016" s="1268" t="s">
        <v>1214</v>
      </c>
      <c r="F1016" s="1272"/>
      <c r="G1016" s="1272"/>
      <c r="H1016" s="1272">
        <f ca="1">SUMIF($G6:OFFSET(H6,0,-1),"*"&amp;TEXT(FinMonth,"00")&amp;TEXT(FinMonth,"00")&amp;H3-1,$G767:OFFSET(H767,0,-1))+SUMIF($G6:OFFSET(H6,0,-1),"*"&amp;TEXT(FinMonth,"00")&amp;TEXT(FinMonth,"00")&amp;H3-1,$G621:OFFSET(H621,0,-1))</f>
        <v>0</v>
      </c>
      <c r="I1016" s="1272">
        <f ca="1">SUMIF($G6:OFFSET(I6,0,-1),"*"&amp;TEXT(FinMonth,"00")&amp;TEXT(FinMonth,"00")&amp;I3-1,$G767:OFFSET(I767,0,-1))+SUMIF($G6:OFFSET(I6,0,-1),"*"&amp;TEXT(FinMonth,"00")&amp;TEXT(FinMonth,"00")&amp;I3-1,$G621:OFFSET(I621,0,-1))</f>
        <v>24318386.845279008</v>
      </c>
      <c r="J1016" s="1272">
        <f ca="1">SUMIF($G6:OFFSET(J6,0,-1),"*"&amp;TEXT(FinMonth,"00")&amp;TEXT(FinMonth,"00")&amp;J3-1,$G767:OFFSET(J767,0,-1))+SUMIF($G6:OFFSET(J6,0,-1),"*"&amp;TEXT(FinMonth,"00")&amp;TEXT(FinMonth,"00")&amp;J3-1,$G621:OFFSET(J621,0,-1))</f>
        <v>12032179.756714415</v>
      </c>
      <c r="K1016" s="1272">
        <f ca="1">SUMIF($G6:OFFSET(K6,0,-1),"*"&amp;TEXT(FinMonth,"00")&amp;TEXT(FinMonth,"00")&amp;K3-1,$G767:OFFSET(K767,0,-1))+SUMIF($G6:OFFSET(K6,0,-1),"*"&amp;TEXT(FinMonth,"00")&amp;TEXT(FinMonth,"00")&amp;K3-1,$G621:OFFSET(K621,0,-1))</f>
        <v>12644604.576975157</v>
      </c>
      <c r="L1016" s="1272">
        <f ca="1">SUMIF($G6:OFFSET(L6,0,-1),"*"&amp;TEXT(FinMonth,"00")&amp;TEXT(FinMonth,"00")&amp;L3-1,$G767:OFFSET(L767,0,-1))+SUMIF($G6:OFFSET(L6,0,-1),"*"&amp;TEXT(FinMonth,"00")&amp;TEXT(FinMonth,"00")&amp;L3-1,$G621:OFFSET(L621,0,-1))</f>
        <v>13375650.763044568</v>
      </c>
      <c r="M1016" s="1272">
        <f ca="1">SUMIF($G6:OFFSET(M6,0,-1),"*"&amp;TEXT(FinMonth,"00")&amp;TEXT(FinMonth,"00")&amp;M3-1,$G767:OFFSET(M767,0,-1))+SUMIF($G6:OFFSET(M6,0,-1),"*"&amp;TEXT(FinMonth,"00")&amp;TEXT(FinMonth,"00")&amp;M3-1,$G621:OFFSET(M621,0,-1))</f>
        <v>14621386.051917095</v>
      </c>
      <c r="N1016" s="1272">
        <f ca="1">SUMIF($G6:OFFSET(N6,0,-1),"*"&amp;TEXT(FinMonth,"00")&amp;TEXT(FinMonth,"00")&amp;N3-1,$G767:OFFSET(N767,0,-1))+SUMIF($G6:OFFSET(N6,0,-1),"*"&amp;TEXT(FinMonth,"00")&amp;TEXT(FinMonth,"00")&amp;N3-1,$G621:OFFSET(N621,0,-1))</f>
        <v>14621386.051917095</v>
      </c>
      <c r="O1016" s="1270"/>
      <c r="P1016" s="1268" t="s">
        <v>40</v>
      </c>
      <c r="Q1016" s="1271"/>
    </row>
    <row r="1017" spans="1:17" ht="11.25" hidden="1" customHeight="1" x14ac:dyDescent="0.35">
      <c r="A1017" s="1267"/>
      <c r="B1017" s="1268" t="s">
        <v>1215</v>
      </c>
      <c r="C1017" s="1268"/>
      <c r="D1017" s="1268"/>
      <c r="E1017" s="1268" t="s">
        <v>1216</v>
      </c>
      <c r="F1017" s="1269">
        <f ca="1">IF(ISNA(MATCH(TEXT(FinMonth,"00")&amp;"??"&amp;TEXT(FinMonth,"00")&amp;F$3-1,$A$6:OFFSET(F$6,0,-1),0)),0,MATCH(TEXT(FinMonth,"00")&amp;"??"&amp;TEXT(FinMonth,"00")&amp;F$3-1,$A$6:OFFSET(F$6,0,-1),0)-COLUMN(F$16))</f>
        <v>0</v>
      </c>
      <c r="G1017" s="1269"/>
      <c r="H1017" s="1269">
        <f ca="1">IF(AND(SUM($G$441:H$441)=12,$G$441=0),COLUMN($G1017)-COLUMN(H1017),IF(ISNA(MATCH(TEXT(FinMonth,"00")&amp;"??"&amp;TEXT(FinMonth,"00")&amp;H$3-1,$A$6:OFFSET(H$6,0,-1),0)),0,MATCH(TEXT(FinMonth,"00")&amp;"??"&amp;TEXT(FinMonth,"00")&amp;H$3-1,$A$6:OFFSET(H$6,0,-1),0)-COLUMN(H$16)))</f>
        <v>0</v>
      </c>
      <c r="I1017" s="1269">
        <f ca="1">IF(AND(SUM($G$441:I$441)=12,$G$441=0),COLUMN($G1017)-COLUMN(I1017),IF(ISNA(MATCH(TEXT(FinMonth,"00")&amp;"??"&amp;TEXT(FinMonth,"00")&amp;I$3-1,$A$6:OFFSET(I$6,0,-1),0)),0,MATCH(TEXT(FinMonth,"00")&amp;"??"&amp;TEXT(FinMonth,"00")&amp;I$3-1,$A$6:OFFSET(I$6,0,-1),0)-COLUMN(I$16)))</f>
        <v>-1</v>
      </c>
      <c r="J1017" s="1269">
        <f ca="1">IF(AND(SUM($G$441:J$441)=12,$G$441=0),COLUMN($G1017)-COLUMN(J1017),IF(ISNA(MATCH(TEXT(FinMonth,"00")&amp;"??"&amp;TEXT(FinMonth,"00")&amp;J$3-1,$A$6:OFFSET(J$6,0,-1),0)),0,MATCH(TEXT(FinMonth,"00")&amp;"??"&amp;TEXT(FinMonth,"00")&amp;J$3-1,$A$6:OFFSET(J$6,0,-1),0)-COLUMN(J$16)))</f>
        <v>-1</v>
      </c>
      <c r="K1017" s="1269">
        <f ca="1">IF(AND(SUM($G$441:K$441)=12,$G$441=0),COLUMN($G1017)-COLUMN(K1017),IF(ISNA(MATCH(TEXT(FinMonth,"00")&amp;"??"&amp;TEXT(FinMonth,"00")&amp;K$3-1,$A$6:OFFSET(K$6,0,-1),0)),0,MATCH(TEXT(FinMonth,"00")&amp;"??"&amp;TEXT(FinMonth,"00")&amp;K$3-1,$A$6:OFFSET(K$6,0,-1),0)-COLUMN(K$16)))</f>
        <v>-1</v>
      </c>
      <c r="L1017" s="1269">
        <f ca="1">IF(AND(SUM($G$441:L$441)=12,$G$441=0),COLUMN($G1017)-COLUMN(L1017),IF(ISNA(MATCH(TEXT(FinMonth,"00")&amp;"??"&amp;TEXT(FinMonth,"00")&amp;L$3-1,$A$6:OFFSET(L$6,0,-1),0)),0,MATCH(TEXT(FinMonth,"00")&amp;"??"&amp;TEXT(FinMonth,"00")&amp;L$3-1,$A$6:OFFSET(L$6,0,-1),0)-COLUMN(L$16)))</f>
        <v>-1</v>
      </c>
      <c r="M1017" s="1269">
        <f ca="1">IF(AND(SUM($G$441:M$441)=12,$G$441=0),COLUMN($G1017)-COLUMN(M1017),IF(ISNA(MATCH(TEXT(FinMonth,"00")&amp;"??"&amp;TEXT(FinMonth,"00")&amp;M$3-1,$A$6:OFFSET(M$6,0,-1),0)),0,MATCH(TEXT(FinMonth,"00")&amp;"??"&amp;TEXT(FinMonth,"00")&amp;M$3-1,$A$6:OFFSET(M$6,0,-1),0)-COLUMN(M$16)))</f>
        <v>-1</v>
      </c>
      <c r="N1017" s="1269">
        <f ca="1">IF(AND(SUM($G$441:N$441)=12,$G$441=0),COLUMN($G1017)-COLUMN(N1017),IF(ISNA(MATCH(TEXT(FinMonth,"00")&amp;"??"&amp;TEXT(FinMonth,"00")&amp;N$3-1,$A$6:OFFSET(N$6,0,-1),0)),0,MATCH(TEXT(FinMonth,"00")&amp;"??"&amp;TEXT(FinMonth,"00")&amp;N$3-1,$A$6:OFFSET(N$6,0,-1),0)-COLUMN(N$16)))</f>
        <v>-2</v>
      </c>
      <c r="O1017" s="1270"/>
      <c r="P1017" s="1268" t="s">
        <v>40</v>
      </c>
      <c r="Q1017" s="1271"/>
    </row>
    <row r="1018" spans="1:17" ht="11.25" hidden="1" customHeight="1" x14ac:dyDescent="0.35">
      <c r="A1018" s="1267"/>
      <c r="B1018" s="1268"/>
      <c r="C1018" s="1268" t="s">
        <v>1217</v>
      </c>
      <c r="D1018" s="1268"/>
      <c r="E1018" s="1268" t="s">
        <v>1218</v>
      </c>
      <c r="F1018" s="1277">
        <f>0</f>
        <v>0</v>
      </c>
      <c r="G1018" s="1269">
        <f>0</f>
        <v>0</v>
      </c>
      <c r="H1018" s="1269">
        <f>0</f>
        <v>0</v>
      </c>
      <c r="I1018" s="1269">
        <f>0</f>
        <v>0</v>
      </c>
      <c r="J1018" s="1269">
        <f>0</f>
        <v>0</v>
      </c>
      <c r="K1018" s="1269">
        <f>0</f>
        <v>0</v>
      </c>
      <c r="L1018" s="1269">
        <f>0</f>
        <v>0</v>
      </c>
      <c r="M1018" s="1269">
        <f>0</f>
        <v>0</v>
      </c>
      <c r="N1018" s="1269">
        <f>0</f>
        <v>0</v>
      </c>
      <c r="O1018" s="1270"/>
      <c r="P1018" s="1268" t="s">
        <v>40</v>
      </c>
      <c r="Q1018" s="1271"/>
    </row>
    <row r="1019" spans="1:17" ht="11.25" hidden="1" customHeight="1" x14ac:dyDescent="0.35">
      <c r="A1019" s="1267"/>
      <c r="B1019" s="1268"/>
      <c r="C1019" s="1268" t="s">
        <v>1219</v>
      </c>
      <c r="D1019" s="1268"/>
      <c r="E1019" s="1268" t="s">
        <v>1220</v>
      </c>
      <c r="F1019" s="1277"/>
      <c r="G1019" s="1269">
        <f t="shared" ref="G1019:M1019" ca="1" si="571">SUMPRODUCT((MID($A$348:$A$384,6,2)="03")*(G$348:G$384))</f>
        <v>0</v>
      </c>
      <c r="H1019" s="1269">
        <f t="shared" ca="1" si="571"/>
        <v>0</v>
      </c>
      <c r="I1019" s="1269">
        <f t="shared" ca="1" si="571"/>
        <v>0</v>
      </c>
      <c r="J1019" s="1269">
        <f t="shared" ca="1" si="571"/>
        <v>0</v>
      </c>
      <c r="K1019" s="1269">
        <f t="shared" ca="1" si="571"/>
        <v>0</v>
      </c>
      <c r="L1019" s="1269">
        <f t="shared" ca="1" si="571"/>
        <v>0</v>
      </c>
      <c r="M1019" s="1269">
        <f t="shared" ca="1" si="571"/>
        <v>0</v>
      </c>
      <c r="N1019" s="1269"/>
      <c r="O1019" s="1270"/>
      <c r="P1019" s="1268" t="s">
        <v>40</v>
      </c>
      <c r="Q1019" s="1271"/>
    </row>
    <row r="1020" spans="1:17" ht="11.25" hidden="1" customHeight="1" x14ac:dyDescent="0.35">
      <c r="A1020" s="1267"/>
      <c r="B1020" s="1268"/>
      <c r="C1020" s="1268" t="s">
        <v>1221</v>
      </c>
      <c r="D1020" s="1268"/>
      <c r="E1020" s="1268" t="s">
        <v>1222</v>
      </c>
      <c r="F1020" s="1277">
        <f>0</f>
        <v>0</v>
      </c>
      <c r="G1020" s="1269">
        <f>0</f>
        <v>0</v>
      </c>
      <c r="H1020" s="1269">
        <f>0</f>
        <v>0</v>
      </c>
      <c r="I1020" s="1269">
        <f>0</f>
        <v>0</v>
      </c>
      <c r="J1020" s="1269">
        <f>0</f>
        <v>0</v>
      </c>
      <c r="K1020" s="1269">
        <f>0</f>
        <v>0</v>
      </c>
      <c r="L1020" s="1269">
        <f>0</f>
        <v>0</v>
      </c>
      <c r="M1020" s="1269">
        <f>0</f>
        <v>0</v>
      </c>
      <c r="N1020" s="1269">
        <f>0</f>
        <v>0</v>
      </c>
      <c r="O1020" s="1270"/>
      <c r="P1020" s="1268" t="s">
        <v>40</v>
      </c>
      <c r="Q1020" s="1271"/>
    </row>
    <row r="1021" spans="1:17" ht="11.25" hidden="1" customHeight="1" x14ac:dyDescent="0.35">
      <c r="A1021" s="1267"/>
      <c r="B1021" s="1268"/>
      <c r="C1021" s="1268" t="s">
        <v>1223</v>
      </c>
      <c r="D1021" s="1268"/>
      <c r="E1021" s="1268" t="s">
        <v>1224</v>
      </c>
      <c r="F1021" s="1277"/>
      <c r="G1021" s="1269">
        <f ca="1">G388+G391+G394+G397+G400+G403+G406+G409+G412+G415+G418+G421</f>
        <v>0</v>
      </c>
      <c r="H1021" s="1269">
        <f t="shared" ref="H1021:L1021" ca="1" si="572">H388+H391+H394+H397+H400+H403+H406+H409+H412+H415+H418+H421</f>
        <v>0</v>
      </c>
      <c r="I1021" s="1269">
        <f t="shared" ca="1" si="572"/>
        <v>0</v>
      </c>
      <c r="J1021" s="1269">
        <f t="shared" ca="1" si="572"/>
        <v>0</v>
      </c>
      <c r="K1021" s="1269">
        <f t="shared" ca="1" si="572"/>
        <v>0</v>
      </c>
      <c r="L1021" s="1269">
        <f t="shared" ca="1" si="572"/>
        <v>0</v>
      </c>
      <c r="M1021" s="1269">
        <f t="shared" ref="M1021" ca="1" si="573">M388+M391+M394+M397+M400+M403+M406+M409+M412+M415+M418+M421</f>
        <v>0</v>
      </c>
      <c r="N1021" s="1269"/>
      <c r="O1021" s="1270"/>
      <c r="P1021" s="1268" t="s">
        <v>40</v>
      </c>
      <c r="Q1021" s="1271"/>
    </row>
    <row r="1022" spans="1:17" ht="11.25" hidden="1" customHeight="1" x14ac:dyDescent="0.35">
      <c r="A1022" s="1267"/>
      <c r="B1022" s="1268"/>
      <c r="C1022" s="1268"/>
      <c r="D1022" s="1268"/>
      <c r="E1022" s="1268" t="s">
        <v>1225</v>
      </c>
      <c r="F1022" s="1277"/>
      <c r="G1022" s="1269">
        <f t="shared" ref="G1022:M1022" ca="1" si="574">SUMPRODUCT((MID($A$348:$A$421,9,2)="01")*(MID($A$348:$A$421,6,2)="03")*(G$348:G$421))</f>
        <v>0</v>
      </c>
      <c r="H1022" s="1269">
        <f t="shared" ca="1" si="574"/>
        <v>0</v>
      </c>
      <c r="I1022" s="1269">
        <f t="shared" ca="1" si="574"/>
        <v>0</v>
      </c>
      <c r="J1022" s="1269">
        <f t="shared" ca="1" si="574"/>
        <v>0</v>
      </c>
      <c r="K1022" s="1269">
        <f t="shared" ca="1" si="574"/>
        <v>0</v>
      </c>
      <c r="L1022" s="1269">
        <f t="shared" ca="1" si="574"/>
        <v>0</v>
      </c>
      <c r="M1022" s="1269">
        <f t="shared" ca="1" si="574"/>
        <v>0</v>
      </c>
      <c r="N1022" s="1269"/>
      <c r="O1022" s="1270"/>
      <c r="P1022" s="1268" t="s">
        <v>40</v>
      </c>
      <c r="Q1022" s="1271"/>
    </row>
    <row r="1023" spans="1:17" ht="11.25" hidden="1" customHeight="1" x14ac:dyDescent="0.35">
      <c r="A1023" s="1267"/>
      <c r="B1023" s="1268"/>
      <c r="C1023" s="1268"/>
      <c r="D1023" s="1268"/>
      <c r="E1023" s="1268" t="s">
        <v>1226</v>
      </c>
      <c r="F1023" s="1277"/>
      <c r="G1023" s="1269">
        <f t="shared" ref="G1023:M1023" ca="1" si="575">SUMPRODUCT((MID($A$348:$A$421,9,2)="02")*(MID($A$348:$A$421,6,2)="03")*(G$348:G$421))</f>
        <v>0</v>
      </c>
      <c r="H1023" s="1269">
        <f t="shared" ca="1" si="575"/>
        <v>0</v>
      </c>
      <c r="I1023" s="1269">
        <f t="shared" ca="1" si="575"/>
        <v>0</v>
      </c>
      <c r="J1023" s="1269">
        <f t="shared" ca="1" si="575"/>
        <v>0</v>
      </c>
      <c r="K1023" s="1269">
        <f t="shared" ca="1" si="575"/>
        <v>0</v>
      </c>
      <c r="L1023" s="1269">
        <f t="shared" ca="1" si="575"/>
        <v>0</v>
      </c>
      <c r="M1023" s="1269">
        <f t="shared" ca="1" si="575"/>
        <v>0</v>
      </c>
      <c r="N1023" s="1269"/>
      <c r="O1023" s="1270"/>
      <c r="P1023" s="1268" t="s">
        <v>40</v>
      </c>
      <c r="Q1023" s="1271"/>
    </row>
    <row r="1024" spans="1:17" ht="11.25" hidden="1" customHeight="1" x14ac:dyDescent="0.35">
      <c r="A1024" s="1267"/>
      <c r="B1024" s="1268"/>
      <c r="C1024" s="1268"/>
      <c r="D1024" s="1268"/>
      <c r="E1024" s="1268" t="s">
        <v>1227</v>
      </c>
      <c r="F1024" s="1277"/>
      <c r="G1024" s="1269">
        <f t="shared" ref="G1024:M1024" ca="1" si="576">SUMPRODUCT((MID($A$348:$A$421,9,2)="03")*(MID($A$348:$A$421,6,2)="03")*(G$348:G$421))</f>
        <v>0</v>
      </c>
      <c r="H1024" s="1269">
        <f t="shared" ca="1" si="576"/>
        <v>0</v>
      </c>
      <c r="I1024" s="1269">
        <f t="shared" ca="1" si="576"/>
        <v>0</v>
      </c>
      <c r="J1024" s="1269">
        <f t="shared" ca="1" si="576"/>
        <v>0</v>
      </c>
      <c r="K1024" s="1269">
        <f t="shared" ca="1" si="576"/>
        <v>0</v>
      </c>
      <c r="L1024" s="1269">
        <f t="shared" ca="1" si="576"/>
        <v>0</v>
      </c>
      <c r="M1024" s="1269">
        <f t="shared" ca="1" si="576"/>
        <v>0</v>
      </c>
      <c r="N1024" s="1269"/>
      <c r="O1024" s="1270"/>
      <c r="P1024" s="1268" t="s">
        <v>40</v>
      </c>
      <c r="Q1024" s="1271"/>
    </row>
    <row r="1025" spans="1:17" ht="11.25" hidden="1" customHeight="1" x14ac:dyDescent="0.35">
      <c r="A1025" s="1267"/>
      <c r="B1025" s="1268"/>
      <c r="C1025" s="1268"/>
      <c r="D1025" s="1268"/>
      <c r="E1025" s="1268" t="s">
        <v>1228</v>
      </c>
      <c r="F1025" s="1277"/>
      <c r="G1025" s="1269">
        <f t="shared" ref="G1025:M1025" ca="1" si="577">SUMPRODUCT((MID($A$348:$A$421,9,2)="04")*(MID($A$348:$A$421,6,2)="03")*(G$348:G$421))</f>
        <v>0</v>
      </c>
      <c r="H1025" s="1269">
        <f t="shared" ca="1" si="577"/>
        <v>0</v>
      </c>
      <c r="I1025" s="1269">
        <f t="shared" ca="1" si="577"/>
        <v>0</v>
      </c>
      <c r="J1025" s="1269">
        <f t="shared" ca="1" si="577"/>
        <v>0</v>
      </c>
      <c r="K1025" s="1269">
        <f t="shared" ca="1" si="577"/>
        <v>0</v>
      </c>
      <c r="L1025" s="1269">
        <f t="shared" ca="1" si="577"/>
        <v>0</v>
      </c>
      <c r="M1025" s="1269">
        <f t="shared" ca="1" si="577"/>
        <v>0</v>
      </c>
      <c r="N1025" s="1269"/>
      <c r="O1025" s="1270"/>
      <c r="P1025" s="1268" t="s">
        <v>40</v>
      </c>
      <c r="Q1025" s="1271"/>
    </row>
    <row r="1026" spans="1:17" ht="11.25" hidden="1" customHeight="1" x14ac:dyDescent="0.35">
      <c r="A1026" s="1267"/>
      <c r="B1026" s="1268"/>
      <c r="C1026" s="1268"/>
      <c r="D1026" s="1268"/>
      <c r="E1026" s="1268" t="s">
        <v>1229</v>
      </c>
      <c r="F1026" s="1277"/>
      <c r="G1026" s="1269">
        <f t="shared" ref="G1026:M1026" ca="1" si="578">SUMPRODUCT((MID($A$348:$A$421,9,2)="05")*(MID($A$348:$A$421,6,2)="03")*(G$348:G$421))</f>
        <v>0</v>
      </c>
      <c r="H1026" s="1269">
        <f t="shared" ca="1" si="578"/>
        <v>0</v>
      </c>
      <c r="I1026" s="1269">
        <f t="shared" ca="1" si="578"/>
        <v>0</v>
      </c>
      <c r="J1026" s="1269">
        <f t="shared" ca="1" si="578"/>
        <v>0</v>
      </c>
      <c r="K1026" s="1269">
        <f t="shared" ca="1" si="578"/>
        <v>0</v>
      </c>
      <c r="L1026" s="1269">
        <f t="shared" ca="1" si="578"/>
        <v>0</v>
      </c>
      <c r="M1026" s="1269">
        <f t="shared" ca="1" si="578"/>
        <v>0</v>
      </c>
      <c r="N1026" s="1269"/>
      <c r="O1026" s="1270"/>
      <c r="P1026" s="1268" t="s">
        <v>40</v>
      </c>
      <c r="Q1026" s="1271"/>
    </row>
    <row r="1027" spans="1:17" ht="11.25" hidden="1" customHeight="1" x14ac:dyDescent="0.35">
      <c r="A1027" s="1267"/>
      <c r="B1027" s="1268"/>
      <c r="C1027" s="1268"/>
      <c r="D1027" s="1268"/>
      <c r="E1027" s="1268" t="s">
        <v>1230</v>
      </c>
      <c r="F1027" s="1277"/>
      <c r="G1027" s="1269">
        <f t="shared" ref="G1027:M1027" ca="1" si="579">SUMPRODUCT((MID($A$348:$A$421,9,2)="06")*(MID($A$348:$A$421,6,2)="03")*(G$348:G$421))</f>
        <v>0</v>
      </c>
      <c r="H1027" s="1269">
        <f t="shared" ca="1" si="579"/>
        <v>0</v>
      </c>
      <c r="I1027" s="1269">
        <f t="shared" ca="1" si="579"/>
        <v>0</v>
      </c>
      <c r="J1027" s="1269">
        <f t="shared" ca="1" si="579"/>
        <v>0</v>
      </c>
      <c r="K1027" s="1269">
        <f t="shared" ca="1" si="579"/>
        <v>0</v>
      </c>
      <c r="L1027" s="1269">
        <f t="shared" ca="1" si="579"/>
        <v>0</v>
      </c>
      <c r="M1027" s="1269">
        <f t="shared" ca="1" si="579"/>
        <v>0</v>
      </c>
      <c r="N1027" s="1269"/>
      <c r="O1027" s="1270"/>
      <c r="P1027" s="1268" t="s">
        <v>40</v>
      </c>
      <c r="Q1027" s="1271"/>
    </row>
    <row r="1028" spans="1:17" ht="11.25" hidden="1" customHeight="1" x14ac:dyDescent="0.35">
      <c r="A1028" s="1267"/>
      <c r="B1028" s="1268"/>
      <c r="C1028" s="1268"/>
      <c r="D1028" s="1268"/>
      <c r="E1028" s="1268" t="s">
        <v>1231</v>
      </c>
      <c r="F1028" s="1277"/>
      <c r="G1028" s="1269">
        <f t="shared" ref="G1028:M1028" ca="1" si="580">SUMPRODUCT((MID($A$348:$A$421,9,2)="07")*(MID($A$348:$A$421,6,2)="03")*(G$348:G$421))</f>
        <v>0</v>
      </c>
      <c r="H1028" s="1269">
        <f t="shared" ca="1" si="580"/>
        <v>0</v>
      </c>
      <c r="I1028" s="1269">
        <f t="shared" ca="1" si="580"/>
        <v>0</v>
      </c>
      <c r="J1028" s="1269">
        <f t="shared" ca="1" si="580"/>
        <v>0</v>
      </c>
      <c r="K1028" s="1269">
        <f t="shared" ca="1" si="580"/>
        <v>0</v>
      </c>
      <c r="L1028" s="1269">
        <f t="shared" ca="1" si="580"/>
        <v>0</v>
      </c>
      <c r="M1028" s="1269">
        <f t="shared" ca="1" si="580"/>
        <v>0</v>
      </c>
      <c r="N1028" s="1269"/>
      <c r="O1028" s="1270"/>
      <c r="P1028" s="1268" t="s">
        <v>40</v>
      </c>
      <c r="Q1028" s="1271"/>
    </row>
    <row r="1029" spans="1:17" ht="11.25" hidden="1" customHeight="1" x14ac:dyDescent="0.35">
      <c r="A1029" s="1267"/>
      <c r="B1029" s="1268"/>
      <c r="C1029" s="1268"/>
      <c r="D1029" s="1268"/>
      <c r="E1029" s="1268" t="s">
        <v>1232</v>
      </c>
      <c r="F1029" s="1277"/>
      <c r="G1029" s="1269">
        <f t="shared" ref="G1029:M1029" ca="1" si="581">SUMPRODUCT((MID($A$348:$A$421,9,2)="08")*(MID($A$348:$A$421,6,2)="03")*(G$348:G$421))</f>
        <v>0</v>
      </c>
      <c r="H1029" s="1269">
        <f t="shared" ca="1" si="581"/>
        <v>0</v>
      </c>
      <c r="I1029" s="1269">
        <f t="shared" ca="1" si="581"/>
        <v>0</v>
      </c>
      <c r="J1029" s="1269">
        <f t="shared" ca="1" si="581"/>
        <v>0</v>
      </c>
      <c r="K1029" s="1269">
        <f t="shared" ca="1" si="581"/>
        <v>0</v>
      </c>
      <c r="L1029" s="1269">
        <f t="shared" ca="1" si="581"/>
        <v>0</v>
      </c>
      <c r="M1029" s="1269">
        <f t="shared" ca="1" si="581"/>
        <v>0</v>
      </c>
      <c r="N1029" s="1269"/>
      <c r="O1029" s="1270"/>
      <c r="P1029" s="1268" t="s">
        <v>40</v>
      </c>
      <c r="Q1029" s="1271"/>
    </row>
    <row r="1030" spans="1:17" ht="11.25" hidden="1" customHeight="1" x14ac:dyDescent="0.35">
      <c r="A1030" s="1267"/>
      <c r="B1030" s="1268"/>
      <c r="C1030" s="1268"/>
      <c r="D1030" s="1268"/>
      <c r="E1030" s="1268" t="s">
        <v>1233</v>
      </c>
      <c r="F1030" s="1277"/>
      <c r="G1030" s="1269">
        <f t="shared" ref="G1030:M1030" ca="1" si="582">SUMPRODUCT((MID($A$348:$A$421,9,2)="09")*(MID($A$348:$A$421,6,2)="03")*(G$348:G$421))</f>
        <v>0</v>
      </c>
      <c r="H1030" s="1269">
        <f t="shared" ca="1" si="582"/>
        <v>0</v>
      </c>
      <c r="I1030" s="1269">
        <f t="shared" ca="1" si="582"/>
        <v>0</v>
      </c>
      <c r="J1030" s="1269">
        <f t="shared" ca="1" si="582"/>
        <v>0</v>
      </c>
      <c r="K1030" s="1269">
        <f t="shared" ca="1" si="582"/>
        <v>0</v>
      </c>
      <c r="L1030" s="1269">
        <f t="shared" ca="1" si="582"/>
        <v>0</v>
      </c>
      <c r="M1030" s="1269">
        <f t="shared" ca="1" si="582"/>
        <v>0</v>
      </c>
      <c r="N1030" s="1269"/>
      <c r="O1030" s="1270"/>
      <c r="P1030" s="1268" t="s">
        <v>40</v>
      </c>
      <c r="Q1030" s="1271"/>
    </row>
    <row r="1031" spans="1:17" ht="11.25" hidden="1" customHeight="1" x14ac:dyDescent="0.35">
      <c r="A1031" s="1267"/>
      <c r="B1031" s="1268"/>
      <c r="C1031" s="1268"/>
      <c r="D1031" s="1268"/>
      <c r="E1031" s="1268" t="s">
        <v>1234</v>
      </c>
      <c r="F1031" s="1277"/>
      <c r="G1031" s="1269">
        <f t="shared" ref="G1031:M1031" ca="1" si="583">SUMPRODUCT((MID($A$348:$A$421,9,2)="12")*(MID($A$348:$A$421,6,2)="03")*(G$348:G$421))</f>
        <v>0</v>
      </c>
      <c r="H1031" s="1269">
        <f t="shared" ca="1" si="583"/>
        <v>0</v>
      </c>
      <c r="I1031" s="1269">
        <f t="shared" ca="1" si="583"/>
        <v>0</v>
      </c>
      <c r="J1031" s="1269">
        <f t="shared" ca="1" si="583"/>
        <v>0</v>
      </c>
      <c r="K1031" s="1269">
        <f t="shared" ca="1" si="583"/>
        <v>0</v>
      </c>
      <c r="L1031" s="1269">
        <f t="shared" ca="1" si="583"/>
        <v>0</v>
      </c>
      <c r="M1031" s="1269">
        <f t="shared" ca="1" si="583"/>
        <v>0</v>
      </c>
      <c r="N1031" s="1269"/>
      <c r="O1031" s="1270"/>
      <c r="P1031" s="1268" t="s">
        <v>40</v>
      </c>
      <c r="Q1031" s="1271"/>
    </row>
    <row r="1032" spans="1:17" ht="11.25" hidden="1" customHeight="1" x14ac:dyDescent="0.35">
      <c r="A1032" s="1267"/>
      <c r="B1032" s="1268"/>
      <c r="C1032" s="1268"/>
      <c r="D1032" s="1268"/>
      <c r="E1032" s="1268" t="s">
        <v>1235</v>
      </c>
      <c r="F1032" s="1277"/>
      <c r="G1032" s="1269">
        <f t="shared" ref="G1032:M1032" ca="1" si="584">SUMPRODUCT((MID($A$348:$A$421,9,2)="10")*(MID($A$348:$A$421,6,2)="03")*(G$348:G$421))</f>
        <v>0</v>
      </c>
      <c r="H1032" s="1269">
        <f t="shared" ca="1" si="584"/>
        <v>0</v>
      </c>
      <c r="I1032" s="1269">
        <f t="shared" ca="1" si="584"/>
        <v>0</v>
      </c>
      <c r="J1032" s="1269">
        <f t="shared" ca="1" si="584"/>
        <v>0</v>
      </c>
      <c r="K1032" s="1269">
        <f t="shared" ca="1" si="584"/>
        <v>0</v>
      </c>
      <c r="L1032" s="1269">
        <f t="shared" ca="1" si="584"/>
        <v>0</v>
      </c>
      <c r="M1032" s="1269">
        <f t="shared" ca="1" si="584"/>
        <v>0</v>
      </c>
      <c r="N1032" s="1269"/>
      <c r="O1032" s="1270"/>
      <c r="P1032" s="1268" t="s">
        <v>40</v>
      </c>
      <c r="Q1032" s="1271"/>
    </row>
    <row r="1033" spans="1:17" ht="11.25" hidden="1" customHeight="1" x14ac:dyDescent="0.35">
      <c r="A1033" s="1267"/>
      <c r="B1033" s="1268"/>
      <c r="C1033" s="1268"/>
      <c r="D1033" s="1268"/>
      <c r="E1033" s="1268" t="s">
        <v>1236</v>
      </c>
      <c r="F1033" s="1277"/>
      <c r="G1033" s="1269">
        <f t="shared" ref="G1033:M1033" ca="1" si="585">SUMPRODUCT((MID($A$348:$A$421,9,2)="11")*(MID($A$348:$A$421,6,2)="03")*(G$348:G$421))</f>
        <v>0</v>
      </c>
      <c r="H1033" s="1269">
        <f t="shared" ca="1" si="585"/>
        <v>0</v>
      </c>
      <c r="I1033" s="1269">
        <f t="shared" ca="1" si="585"/>
        <v>0</v>
      </c>
      <c r="J1033" s="1269">
        <f t="shared" ca="1" si="585"/>
        <v>0</v>
      </c>
      <c r="K1033" s="1269">
        <f t="shared" ca="1" si="585"/>
        <v>0</v>
      </c>
      <c r="L1033" s="1269">
        <f t="shared" ca="1" si="585"/>
        <v>0</v>
      </c>
      <c r="M1033" s="1269">
        <f t="shared" ca="1" si="585"/>
        <v>0</v>
      </c>
      <c r="N1033" s="1269"/>
      <c r="O1033" s="1270"/>
      <c r="P1033" s="1268" t="s">
        <v>40</v>
      </c>
      <c r="Q1033" s="1271"/>
    </row>
    <row r="1034" spans="1:17" ht="11.25" hidden="1" customHeight="1" x14ac:dyDescent="0.35">
      <c r="A1034" s="1267"/>
      <c r="B1034" s="1268"/>
      <c r="C1034" s="1268" t="s">
        <v>1237</v>
      </c>
      <c r="D1034" s="1268"/>
      <c r="E1034" s="1268" t="s">
        <v>1238</v>
      </c>
      <c r="F1034" s="1272"/>
      <c r="G1034" s="1269">
        <f ca="1">IF(G$1037&lt;0,G$1037,IF(SUMIF(G$1037:$N$1037,"&lt;0")=0,G$1037,OFFSET(G1034,0,-1)))</f>
        <v>-1.0000000000000001E-9</v>
      </c>
      <c r="H1034" s="1269">
        <f ca="1">IF(H$1037&lt;0,H$1037,IF(SUMIF(H$1037:$N$1037,"&lt;0")=0,H$1037,OFFSET(H1034,0,-1)))</f>
        <v>-23377288.617723797</v>
      </c>
      <c r="I1034" s="1269">
        <f ca="1">IF(I$1037&lt;0,I$1037,IF(SUMIF(I$1037:$N$1037,"&lt;0")=0,I$1037,OFFSET(I1034,0,-1)))</f>
        <v>-7617622.9661464533</v>
      </c>
      <c r="J1034" s="1269">
        <f ca="1">IF(J$1037&lt;0,J$1037,IF(SUMIF(J$1037:$N$1037,"&lt;0")=0,J$1037,OFFSET(J1034,0,-1)))</f>
        <v>-2225035.2909782315</v>
      </c>
      <c r="K1034" s="1269">
        <f ca="1">IF(K$1037&lt;0,K$1037,IF(SUMIF(K$1037:$N$1037,"&lt;0")=0,K$1037,OFFSET(K1034,0,-1)))</f>
        <v>5492090.9052077308</v>
      </c>
      <c r="L1034" s="1269">
        <f ca="1">IF(L$1037&lt;0,L$1037,IF(SUMIF(L$1037:$N$1037,"&lt;0")=0,L$1037,OFFSET(L1034,0,-1)))</f>
        <v>15555990.509564085</v>
      </c>
      <c r="M1034" s="1269">
        <f ca="1">IF(M$1037&lt;0,M$1037,IF(SUMIF(M$1037:$N$1037,"&lt;0")=0,M$1037,OFFSET(M1034,0,-1)))</f>
        <v>28655912.497846983</v>
      </c>
      <c r="N1034" s="1269"/>
      <c r="O1034" s="1270"/>
      <c r="P1034" s="1268" t="s">
        <v>40</v>
      </c>
      <c r="Q1034" s="1271"/>
    </row>
    <row r="1035" spans="1:17" ht="11.25" hidden="1" customHeight="1" x14ac:dyDescent="0.35">
      <c r="A1035" s="1267"/>
      <c r="B1035" s="1268"/>
      <c r="C1035" s="1268"/>
      <c r="D1035" s="1268"/>
      <c r="E1035" s="1268" t="s">
        <v>1239</v>
      </c>
      <c r="F1035" s="1272"/>
      <c r="G1035" s="1269">
        <f ca="1">IF(G$5=-99,OFFSET(G1035,0,-1),IF(G$5&lt;CalcPointPB,-0.000000001,G$1060))</f>
        <v>0</v>
      </c>
      <c r="H1035" s="1269">
        <f t="shared" ref="H1035:M1035" ca="1" si="586">IF(H$5=-99,OFFSET(H1035,0,-1),IF(H$5&lt;CalcPointPB,-0.000000001,H$1060))</f>
        <v>4</v>
      </c>
      <c r="I1035" s="1269">
        <f t="shared" ca="1" si="586"/>
        <v>16</v>
      </c>
      <c r="J1035" s="1269">
        <f t="shared" ca="1" si="586"/>
        <v>28</v>
      </c>
      <c r="K1035" s="1269">
        <f t="shared" ca="1" si="586"/>
        <v>40</v>
      </c>
      <c r="L1035" s="1269">
        <f t="shared" ca="1" si="586"/>
        <v>52</v>
      </c>
      <c r="M1035" s="1269">
        <f t="shared" ca="1" si="586"/>
        <v>64</v>
      </c>
      <c r="N1035" s="1269"/>
      <c r="O1035" s="1270"/>
      <c r="P1035" s="1268" t="s">
        <v>40</v>
      </c>
      <c r="Q1035" s="1271"/>
    </row>
    <row r="1036" spans="1:17" ht="12.75" hidden="1" customHeight="1" x14ac:dyDescent="0.35">
      <c r="A1036" s="1278"/>
      <c r="B1036" s="1268"/>
      <c r="C1036" s="1268"/>
      <c r="D1036" s="1268"/>
      <c r="E1036" s="1268" t="s">
        <v>1240</v>
      </c>
      <c r="F1036" s="1272"/>
      <c r="G1036" s="1269" t="str">
        <f t="shared" ref="G1036:M1036" si="587">G$626</f>
        <v>9/2019</v>
      </c>
      <c r="H1036" s="1269" t="str">
        <f t="shared" si="587"/>
        <v>12/2019</v>
      </c>
      <c r="I1036" s="1269" t="str">
        <f t="shared" si="587"/>
        <v>12/2020</v>
      </c>
      <c r="J1036" s="1269" t="str">
        <f t="shared" si="587"/>
        <v>12/2021</v>
      </c>
      <c r="K1036" s="1269" t="str">
        <f t="shared" si="587"/>
        <v>12/2022</v>
      </c>
      <c r="L1036" s="1269" t="str">
        <f t="shared" si="587"/>
        <v>12/2023</v>
      </c>
      <c r="M1036" s="1269" t="str">
        <f t="shared" si="587"/>
        <v>12/2024</v>
      </c>
      <c r="N1036" s="1269"/>
      <c r="O1036" s="1270"/>
      <c r="P1036" s="1268" t="s">
        <v>40</v>
      </c>
      <c r="Q1036" s="1271"/>
    </row>
    <row r="1037" spans="1:17" ht="12.75" hidden="1" customHeight="1" x14ac:dyDescent="0.35">
      <c r="A1037" s="1278"/>
      <c r="B1037" s="1268"/>
      <c r="C1037" s="1268"/>
      <c r="D1037" s="1268"/>
      <c r="E1037" s="1268" t="s">
        <v>1242</v>
      </c>
      <c r="F1037" s="1272"/>
      <c r="G1037" s="1269">
        <f ca="1">G$1069-0.000000001</f>
        <v>-1.0000000000000001E-9</v>
      </c>
      <c r="H1037" s="1269">
        <f t="shared" ref="H1037:M1037" ca="1" si="588">H$1069-0.000000001</f>
        <v>-23377288.617723797</v>
      </c>
      <c r="I1037" s="1269">
        <f t="shared" ca="1" si="588"/>
        <v>-7617622.9661464533</v>
      </c>
      <c r="J1037" s="1269">
        <f t="shared" ca="1" si="588"/>
        <v>-2225035.2909782315</v>
      </c>
      <c r="K1037" s="1269">
        <f t="shared" ca="1" si="588"/>
        <v>5492090.9052077308</v>
      </c>
      <c r="L1037" s="1269">
        <f t="shared" ca="1" si="588"/>
        <v>15555990.509564085</v>
      </c>
      <c r="M1037" s="1269">
        <f t="shared" ca="1" si="588"/>
        <v>28655912.497846983</v>
      </c>
      <c r="N1037" s="1269"/>
      <c r="O1037" s="1270"/>
      <c r="P1037" s="1268" t="s">
        <v>40</v>
      </c>
      <c r="Q1037" s="1271"/>
    </row>
    <row r="1038" spans="1:17" ht="12.75" hidden="1" customHeight="1" x14ac:dyDescent="0.35">
      <c r="A1038" s="1278"/>
      <c r="B1038" s="1268"/>
      <c r="C1038" s="1268"/>
      <c r="D1038" s="1268"/>
      <c r="E1038" s="1268" t="s">
        <v>1243</v>
      </c>
      <c r="F1038" s="1272"/>
      <c r="G1038" s="1269" t="e">
        <f ca="1">IF(G$1069&lt;0,G$1069,NA())</f>
        <v>#N/A</v>
      </c>
      <c r="H1038" s="1269">
        <f t="shared" ref="H1038:M1038" ca="1" si="589">IF(H$1069&lt;0,H$1069,NA())</f>
        <v>-23377288.617723797</v>
      </c>
      <c r="I1038" s="1269">
        <f t="shared" ca="1" si="589"/>
        <v>-7617622.9661464524</v>
      </c>
      <c r="J1038" s="1269">
        <f t="shared" ca="1" si="589"/>
        <v>-2225035.2909782305</v>
      </c>
      <c r="K1038" s="1269" t="e">
        <f t="shared" ca="1" si="589"/>
        <v>#N/A</v>
      </c>
      <c r="L1038" s="1269" t="e">
        <f t="shared" ca="1" si="589"/>
        <v>#N/A</v>
      </c>
      <c r="M1038" s="1269" t="e">
        <f t="shared" ca="1" si="589"/>
        <v>#N/A</v>
      </c>
      <c r="N1038" s="1269" t="e">
        <v>#N/A</v>
      </c>
      <c r="O1038" s="1270"/>
      <c r="P1038" s="1268" t="s">
        <v>40</v>
      </c>
      <c r="Q1038" s="1271"/>
    </row>
    <row r="1039" spans="1:17" ht="12.75" hidden="1" customHeight="1" x14ac:dyDescent="0.35">
      <c r="A1039" s="1278"/>
      <c r="B1039" s="1268"/>
      <c r="C1039" s="1268"/>
      <c r="D1039" s="1268"/>
      <c r="E1039" s="1268" t="s">
        <v>1244</v>
      </c>
      <c r="F1039" s="1272"/>
      <c r="G1039" s="1269" t="e">
        <f ca="1">IF(G$1069&gt;0,G$1069,NA())</f>
        <v>#N/A</v>
      </c>
      <c r="H1039" s="1269" t="e">
        <f t="shared" ref="H1039:M1039" ca="1" si="590">IF(H$1069&gt;0,H$1069,NA())</f>
        <v>#N/A</v>
      </c>
      <c r="I1039" s="1269" t="e">
        <f t="shared" ca="1" si="590"/>
        <v>#N/A</v>
      </c>
      <c r="J1039" s="1269" t="e">
        <f t="shared" ca="1" si="590"/>
        <v>#N/A</v>
      </c>
      <c r="K1039" s="1269">
        <f t="shared" ca="1" si="590"/>
        <v>5492090.9052077318</v>
      </c>
      <c r="L1039" s="1269">
        <f t="shared" ca="1" si="590"/>
        <v>15555990.509564087</v>
      </c>
      <c r="M1039" s="1269">
        <f t="shared" ca="1" si="590"/>
        <v>28655912.497846983</v>
      </c>
      <c r="N1039" s="1269" t="e">
        <v>#N/A</v>
      </c>
      <c r="O1039" s="1270"/>
      <c r="P1039" s="1268" t="s">
        <v>40</v>
      </c>
      <c r="Q1039" s="1271"/>
    </row>
    <row r="1040" spans="1:17" ht="11.25" hidden="1" customHeight="1" x14ac:dyDescent="0.35">
      <c r="A1040" s="1267"/>
      <c r="B1040" s="1268"/>
      <c r="C1040" s="1268">
        <f ca="1">SUM(G1040:N1040)</f>
        <v>41118006.046516791</v>
      </c>
      <c r="D1040" s="1268">
        <f ca="1">(1+OFFSET(Analysis!$F$4,1,0)/100)^(1/12)-1</f>
        <v>1.8151029571964461E-3</v>
      </c>
      <c r="E1040" s="1268" t="s">
        <v>1245</v>
      </c>
      <c r="F1040" s="1272"/>
      <c r="G1040" s="1269">
        <f ca="1">G$675*IF(G$5&lt;CalcPoint,IF(DontCompound=1,1,(1+$D1040)^G$1059),1/((1+$D1040)^G$1059))+G$1058</f>
        <v>0</v>
      </c>
      <c r="H1040" s="1269">
        <f t="shared" ref="H1040:M1041" ca="1" si="591">H$675*IF(H$5&lt;=CalcPoint,IF(DontCompound=1,1,(1+$D1040)^IF(MYDisc,H$1061,H$1059)),1/((1+$D1040)^IF(MYDisc,H$1061,H$1059)))+H$1058</f>
        <v>-23419149.389984589</v>
      </c>
      <c r="I1040" s="1269">
        <f t="shared" ca="1" si="591"/>
        <v>15872850.012850204</v>
      </c>
      <c r="J1040" s="1269">
        <f t="shared" ca="1" si="591"/>
        <v>5460545.9064321239</v>
      </c>
      <c r="K1040" s="1269">
        <f t="shared" ca="1" si="591"/>
        <v>7856432.5212867362</v>
      </c>
      <c r="L1040" s="1269">
        <f t="shared" ca="1" si="591"/>
        <v>10300706.500358965</v>
      </c>
      <c r="M1040" s="1269">
        <f t="shared" ca="1" si="591"/>
        <v>13480324.955244448</v>
      </c>
      <c r="N1040" s="1269">
        <f ca="1">IF(UsePerpetuity=1,IF(PerpetuityLimitation&gt;1,Specs!$AC$78,Result!$N$24),N$675)*IF(OFFSET(N$5,0,-1)&lt;=CalcPoint,IF(DontCompound=1,1,(1+$D1040)^IF(MYDisc,N$1061,N$1059)),1/((1+$D1040)^IF(MYDisc,N$1061,N$1059)))+N$1058</f>
        <v>11566295.540328898</v>
      </c>
      <c r="O1040" s="1270"/>
      <c r="P1040" s="1268" t="s">
        <v>40</v>
      </c>
      <c r="Q1040" s="1271"/>
    </row>
    <row r="1041" spans="1:17" ht="11.25" hidden="1" customHeight="1" x14ac:dyDescent="0.35">
      <c r="A1041" s="1267"/>
      <c r="B1041" s="1268"/>
      <c r="C1041" s="1268">
        <f ca="1">SUM(G1041:N1041)</f>
        <v>40502364.552645579</v>
      </c>
      <c r="D1041" s="1268">
        <f ca="1">(1+OFFSET(Analysis!$G$4,1,0)/100)^(1/12)-1</f>
        <v>2.0394669228385176E-3</v>
      </c>
      <c r="E1041" s="1268" t="s">
        <v>1246</v>
      </c>
      <c r="F1041" s="1272"/>
      <c r="G1041" s="1269">
        <f ca="1">G$675*IF(G$5&lt;CalcPoint,IF(DontCompound=1,1,(1+$D1041)^G$1059),1/((1+$D1041)^G$1059))+G$1058</f>
        <v>0</v>
      </c>
      <c r="H1041" s="1269">
        <f t="shared" ca="1" si="591"/>
        <v>-23398181.558223173</v>
      </c>
      <c r="I1041" s="1269">
        <f t="shared" ca="1" si="591"/>
        <v>15816080.6509906</v>
      </c>
      <c r="J1041" s="1269">
        <f t="shared" ca="1" si="591"/>
        <v>5426414.8151248489</v>
      </c>
      <c r="K1041" s="1269">
        <f t="shared" ca="1" si="591"/>
        <v>7786374.3685819693</v>
      </c>
      <c r="L1041" s="1269">
        <f t="shared" ca="1" si="591"/>
        <v>10181455.742329596</v>
      </c>
      <c r="M1041" s="1269">
        <f t="shared" ca="1" si="591"/>
        <v>13288507.168927614</v>
      </c>
      <c r="N1041" s="1269">
        <f ca="1">IF(UsePerpetuity=1,IF(PerpetuityLimitation&gt;1,Specs!$AD$78,Result!$N$25),N$675)*IF(OFFSET(N$5,0,-1)&lt;=CalcPoint,IF(DontCompound=1,1,(1+$D1041)^IF(MYDisc,N$1061,N$1059)),1/((1+$D1041)^IF(MYDisc,N$1061,N$1059)))+N$1058</f>
        <v>11401713.364914127</v>
      </c>
      <c r="O1041" s="1270"/>
      <c r="P1041" s="1268" t="s">
        <v>40</v>
      </c>
      <c r="Q1041" s="1271"/>
    </row>
    <row r="1042" spans="1:17" ht="11.25" hidden="1" customHeight="1" x14ac:dyDescent="0.35">
      <c r="A1042" s="1267"/>
      <c r="B1042" s="1268"/>
      <c r="C1042" s="1268">
        <f ca="1">ResultNPV</f>
        <v>39895817.305392884</v>
      </c>
      <c r="D1042" s="1268">
        <f>DiscMonth</f>
        <v>2.2632796417700884E-3</v>
      </c>
      <c r="E1042" s="1268" t="s">
        <v>1247</v>
      </c>
      <c r="F1042" s="1272"/>
      <c r="G1042" s="1269"/>
      <c r="H1042" s="1269"/>
      <c r="I1042" s="1269"/>
      <c r="J1042" s="1269"/>
      <c r="K1042" s="1269"/>
      <c r="L1042" s="1269"/>
      <c r="M1042" s="1269"/>
      <c r="N1042" s="1269"/>
      <c r="O1042" s="1270"/>
      <c r="P1042" s="1268" t="s">
        <v>40</v>
      </c>
      <c r="Q1042" s="1271"/>
    </row>
    <row r="1043" spans="1:17" ht="11.25" hidden="1" customHeight="1" x14ac:dyDescent="0.35">
      <c r="A1043" s="1267"/>
      <c r="B1043" s="1268"/>
      <c r="C1043" s="1268">
        <f ca="1">SUM(G1043:N1043)</f>
        <v>39298201.204356387</v>
      </c>
      <c r="D1043" s="1268">
        <f ca="1">(1+OFFSET(Analysis!$I$4,1,0)/100)^(1/12)-1</f>
        <v>2.486543938297725E-3</v>
      </c>
      <c r="E1043" s="1268" t="s">
        <v>1248</v>
      </c>
      <c r="F1043" s="1272"/>
      <c r="G1043" s="1269">
        <f ca="1">G$675*IF(G$5&lt;CalcPoint,IF(DontCompound=1,1,(1+$D1043)^G$1059),1/((1+$D1043)^G$1059))+G$1058</f>
        <v>0</v>
      </c>
      <c r="H1043" s="1269">
        <f t="shared" ref="H1043:M1044" ca="1" si="592">H$675*IF(H$5&lt;=CalcPoint,IF(DontCompound=1,1,(1+$D1043)^IF(MYDisc,H$1061,H$1059)),1/((1+$D1043)^IF(MYDisc,H$1061,H$1059)))+H$1058</f>
        <v>-23356470.101628084</v>
      </c>
      <c r="I1043" s="1269">
        <f t="shared" ca="1" si="592"/>
        <v>15703601.86306943</v>
      </c>
      <c r="J1043" s="1269">
        <f t="shared" ca="1" si="592"/>
        <v>5359060.9770863587</v>
      </c>
      <c r="K1043" s="1269">
        <f t="shared" ca="1" si="592"/>
        <v>7648676.5090955561</v>
      </c>
      <c r="L1043" s="1269">
        <f t="shared" ca="1" si="592"/>
        <v>9948009.5657070726</v>
      </c>
      <c r="M1043" s="1269">
        <f t="shared" ca="1" si="592"/>
        <v>12914506.501747506</v>
      </c>
      <c r="N1043" s="1269">
        <f ca="1">IF(UsePerpetuity=1,IF(PerpetuityLimitation&gt;1,Specs!$AE$78,Result!$N$27),N$675)*IF(OFFSET(N$5,0,-1)&lt;=CalcPoint,IF(DontCompound=1,1,(1+$D1043)^IF(MYDisc,N$1061,N$1059)),1/((1+$D1043)^IF(MYDisc,N$1061,N$1059)))+N$1058</f>
        <v>11080815.889278542</v>
      </c>
      <c r="O1043" s="1270"/>
      <c r="P1043" s="1268" t="s">
        <v>40</v>
      </c>
      <c r="Q1043" s="1271"/>
    </row>
    <row r="1044" spans="1:17" ht="11.25" hidden="1" customHeight="1" x14ac:dyDescent="0.35">
      <c r="A1044" s="1267"/>
      <c r="B1044" s="1268"/>
      <c r="C1044" s="1268">
        <f ca="1">SUM(G1044:N1044)</f>
        <v>38709356.556832239</v>
      </c>
      <c r="D1044" s="1268">
        <f ca="1">(1+OFFSET(Analysis!$J$4,1,0)/100)^(1/12)-1</f>
        <v>2.7092626147666721E-3</v>
      </c>
      <c r="E1044" s="1268" t="s">
        <v>1249</v>
      </c>
      <c r="F1044" s="1272"/>
      <c r="G1044" s="1269">
        <f ca="1">G$675*IF(G$5&lt;CalcPoint,IF(DontCompound=1,1,(1+$D1044)^G$1059),1/((1+$D1044)^G$1059))+G$1058</f>
        <v>0</v>
      </c>
      <c r="H1044" s="1269">
        <f t="shared" ca="1" si="592"/>
        <v>-23335725.547224179</v>
      </c>
      <c r="I1044" s="1269">
        <f t="shared" ca="1" si="592"/>
        <v>15647886.170265816</v>
      </c>
      <c r="J1044" s="1269">
        <f t="shared" ca="1" si="592"/>
        <v>5325831.2611428462</v>
      </c>
      <c r="K1044" s="1269">
        <f t="shared" ca="1" si="592"/>
        <v>7581014.0055145249</v>
      </c>
      <c r="L1044" s="1269">
        <f t="shared" ca="1" si="592"/>
        <v>9833757.6599748414</v>
      </c>
      <c r="M1044" s="1269">
        <f t="shared" ca="1" si="592"/>
        <v>12732199.185387889</v>
      </c>
      <c r="N1044" s="1269">
        <f ca="1">IF(UsePerpetuity=1,IF(PerpetuityLimitation&gt;1,Specs!$AF$78,Result!$N$28),N$675)*IF(OFFSET(N$5,0,-1)&lt;=CalcPoint,IF(DontCompound=1,1,(1+$D1044)^IF(MYDisc,N$1061,N$1059)),1/((1+$D1044)^IF(MYDisc,N$1061,N$1059)))+N$1058</f>
        <v>10924393.821770502</v>
      </c>
      <c r="O1044" s="1270"/>
      <c r="P1044" s="1268" t="s">
        <v>40</v>
      </c>
      <c r="Q1044" s="1271"/>
    </row>
    <row r="1045" spans="1:17" ht="11.25" hidden="1" customHeight="1" x14ac:dyDescent="0.35">
      <c r="A1045" s="1267"/>
      <c r="B1045" s="1268"/>
      <c r="C1045" s="1268" t="s">
        <v>1250</v>
      </c>
      <c r="D1045" s="1268"/>
      <c r="E1045" s="1268" t="s">
        <v>1251</v>
      </c>
      <c r="F1045" s="1272"/>
      <c r="G1045" s="1269">
        <f>TotalInvestment*IF(G$5&lt;CalcPoint,IF(DontCompound=1,1,(1+IF(VariableRate=1,G$1057,DiscMonth))^G$1059),1/((1+IF(VariableRate=1,G$1057,DiscMonth))^G$1059))</f>
        <v>0</v>
      </c>
      <c r="H1045" s="1269">
        <f t="shared" ref="H1045:M1045" ca="1" si="593">TotalInvestment*IF(H$5&lt;=CalcPoint,IF(DontCompound=1,1,(1+IF(VariableRate=1,H$1057,DiscMonth))^IF(MYDisc,H$1061,H$1059)),1/((1+IF(VariableRate=1,H$1057,DiscMonth))^IF(MYDisc,H$1061,H$1059)))</f>
        <v>-8027082.7860849742</v>
      </c>
      <c r="I1045" s="1269">
        <f t="shared" ca="1" si="593"/>
        <v>0</v>
      </c>
      <c r="J1045" s="1269">
        <f t="shared" ca="1" si="593"/>
        <v>-253438.63813530086</v>
      </c>
      <c r="K1045" s="1269">
        <f t="shared" ca="1" si="593"/>
        <v>0</v>
      </c>
      <c r="L1045" s="1269">
        <f t="shared" ca="1" si="593"/>
        <v>-120027.06028749561</v>
      </c>
      <c r="M1045" s="1269">
        <f t="shared" ca="1" si="593"/>
        <v>0</v>
      </c>
      <c r="N1045" s="1269">
        <f ca="1">TotalInvestment*IF(OFFSET(N$5,0,-1)&lt;=CalcPoint,IF(DontCompound=1,1,(1+IF(VariableRate=1,N$1057,DiscMonth))^IF(MYDisc,N$1061,N$1059)),1/((1+IF(VariableRate=1,N$1057,DiscMonth))^IF(MYDisc,N$1061,N$1059)))</f>
        <v>0</v>
      </c>
      <c r="O1045" s="1270"/>
      <c r="P1045" s="1268" t="s">
        <v>40</v>
      </c>
      <c r="Q1045" s="1271"/>
    </row>
    <row r="1046" spans="1:17" ht="11.25" hidden="1" customHeight="1" x14ac:dyDescent="0.35">
      <c r="A1046" s="1267"/>
      <c r="B1046" s="1268"/>
      <c r="C1046" s="1268">
        <f ca="1">SUM(G1046:N1046)-IF(InvOrAcq&lt;&gt;2,0,-ResultInvestmentProposalPV-IF(AdjustDCVAwNetDebt=1,ResultNetDebt+OFFSET(Calculations!$G$516,0,1),0))+SUM(G1224:N1224)</f>
        <v>40756874.088417068</v>
      </c>
      <c r="D1046" s="1268">
        <f ca="1">(1+OFFSET(Analysis!$F$4,1,0)/100)^(1/12)-1</f>
        <v>1.8151029571964461E-3</v>
      </c>
      <c r="E1046" s="1268" t="s">
        <v>1252</v>
      </c>
      <c r="F1046" s="1272"/>
      <c r="G1046" s="1269"/>
      <c r="H1046" s="1269">
        <f t="shared" ref="H1046:L1047" ca="1" si="594">IF(SUM(H$511)&lt;&gt;0,(CHOOSE(EvaBAT,H$514,H$515)-H1051)*IF(H$5&lt;=CalcPoint,IF(DontCompound=1,1,(1+$D1046)^IF(MYDisc,H$1061,H$1059)),1/((1+$D1046)^IF(MYDisc,H$1061,H$1059))),"-")</f>
        <v>192336.52578258904</v>
      </c>
      <c r="I1046" s="1269">
        <f t="shared" ca="1" si="594"/>
        <v>3549588.0564755686</v>
      </c>
      <c r="J1046" s="1269">
        <f t="shared" ca="1" si="594"/>
        <v>5784644.4366569323</v>
      </c>
      <c r="K1046" s="1269">
        <f t="shared" ca="1" si="594"/>
        <v>8270131.6604171051</v>
      </c>
      <c r="L1046" s="1269">
        <f t="shared" ca="1" si="594"/>
        <v>11154084.560912536</v>
      </c>
      <c r="M1046" s="1269">
        <f t="shared" ref="M1046" ca="1" si="595">IF(SUM(M$511)&lt;&gt;0,(CHOOSE(EvaBAT,M$514,M$515)-M1051)*IF(M$5&lt;=CalcPoint,IF(DontCompound=1,1,(1+$D1046)^IF(MYDisc,M$1061,M$1059)),1/((1+$D1046)^IF(MYDisc,M$1061,M$1059))),"-")</f>
        <v>14576689.744931173</v>
      </c>
      <c r="N1046" s="1269">
        <f ca="1">IF(AND(NoResCol=1,UsePerpetuity&lt;&gt;1),0,IF(DCVAResidual=1,IF(UsePerpetuity=1,OFFSET(CHOOSE(EvaBAT,N$514,N$515,N$506),0,-1)*IF($D1051&lt;&gt;0,1/($D1051),1)-N$516,CHOOSE(EvaBAT,N$514,N$515,N$506)-N$517-IF(DCVAAdjust=1,N$322+N$621,0)),0)*IF(OFFSET(N$5,0,-1)&lt;=CalcPoint,IF(DontCompound=1,1,(1+IF(VariableRate=1,N$1057,DiscMonth))^IF(MYDisc,N$1061,N$1059)),1/((1+IF(VariableRate=1,N$1057,DiscMonth))^IF(MYDisc,N$1061,N$1059))))</f>
        <v>-2770600.8967588414</v>
      </c>
      <c r="O1046" s="1270"/>
      <c r="P1046" s="1268" t="s">
        <v>40</v>
      </c>
      <c r="Q1046" s="1271"/>
    </row>
    <row r="1047" spans="1:17" ht="11.25" hidden="1" customHeight="1" x14ac:dyDescent="0.35">
      <c r="A1047" s="1267"/>
      <c r="B1047" s="1268"/>
      <c r="C1047" s="1268">
        <f ca="1">SUM(G1047:N1047)-IF(InvOrAcq&lt;&gt;2,0,-ResultInvestmentProposalPV-IF(AdjustDCVAwNetDebt=1,ResultNetDebt+OFFSET(Calculations!$G$516,0,1),0))+SUM(G1225:N1225)</f>
        <v>40046000.753614269</v>
      </c>
      <c r="D1047" s="1268">
        <f ca="1">(1+OFFSET(Analysis!$G$4,1,0)/100)^(1/12)-1</f>
        <v>2.0394669228385176E-3</v>
      </c>
      <c r="E1047" s="1268" t="s">
        <v>1253</v>
      </c>
      <c r="F1047" s="1272"/>
      <c r="G1047" s="1269"/>
      <c r="H1047" s="1269">
        <f t="shared" ca="1" si="594"/>
        <v>125831.54925412446</v>
      </c>
      <c r="I1047" s="1269">
        <f t="shared" ca="1" si="594"/>
        <v>3488513.9561198121</v>
      </c>
      <c r="J1047" s="1269">
        <f t="shared" ca="1" si="594"/>
        <v>5716438.4511340735</v>
      </c>
      <c r="K1047" s="1269">
        <f t="shared" ca="1" si="594"/>
        <v>8163406.6683665607</v>
      </c>
      <c r="L1047" s="1269">
        <f t="shared" ca="1" si="594"/>
        <v>10990328.174642995</v>
      </c>
      <c r="M1047" s="1269">
        <f t="shared" ref="M1047" ca="1" si="596">IF(SUM(M$511)&lt;&gt;0,(CHOOSE(EvaBAT,M$514,M$515)-M1052)*IF(M$5&lt;=CalcPoint,IF(DontCompound=1,1,(1+$D1047)^IF(MYDisc,M$1061,M$1059)),1/((1+$D1047)^IF(MYDisc,M$1061,M$1059))),"-")</f>
        <v>14332082.850855546</v>
      </c>
      <c r="N1047" s="1269">
        <f ca="1">IF(AND(NoResCol=1,UsePerpetuity&lt;&gt;1),0,IF(DCVAResidual=1,IF(UsePerpetuity=1,OFFSET(CHOOSE(EvaBAT,N$514,N$515,N$506),0,-1)*IF($D1052&lt;&gt;0,1/($D1052),1)-N$516,CHOOSE(EvaBAT,N$514,N$515,N$506)-N$517-IF(DCVAAdjust=1,N$322+N$621,0)),0)*IF(OFFSET(N$5,0,-1)&lt;=CalcPoint,IF(DontCompound=1,1,(1+IF(VariableRate=1,N$1057,DiscMonth))^IF(MYDisc,N$1061,N$1059)),1/((1+IF(VariableRate=1,N$1057,DiscMonth))^IF(MYDisc,N$1061,N$1059))))</f>
        <v>-2770600.8967588414</v>
      </c>
      <c r="O1047" s="1270"/>
      <c r="P1047" s="1268" t="s">
        <v>40</v>
      </c>
      <c r="Q1047" s="1271"/>
    </row>
    <row r="1048" spans="1:17" ht="11.25" hidden="1" customHeight="1" x14ac:dyDescent="0.35">
      <c r="A1048" s="1267"/>
      <c r="B1048" s="1268"/>
      <c r="C1048" s="1268">
        <f ca="1">ResultDCVA</f>
        <v>39345017.293103077</v>
      </c>
      <c r="D1048" s="1268">
        <f>DiscMonth</f>
        <v>2.2632796417700884E-3</v>
      </c>
      <c r="E1048" s="1268" t="s">
        <v>1254</v>
      </c>
      <c r="F1048" s="1272"/>
      <c r="G1048" s="1269"/>
      <c r="H1048" s="1269"/>
      <c r="I1048" s="1269"/>
      <c r="J1048" s="1269"/>
      <c r="K1048" s="1269"/>
      <c r="L1048" s="1269"/>
      <c r="M1048" s="1269"/>
      <c r="N1048" s="1269"/>
      <c r="O1048" s="1270"/>
      <c r="P1048" s="1268" t="s">
        <v>40</v>
      </c>
      <c r="Q1048" s="1271"/>
    </row>
    <row r="1049" spans="1:17" ht="11.25" hidden="1" customHeight="1" x14ac:dyDescent="0.35">
      <c r="A1049" s="1267"/>
      <c r="B1049" s="1268"/>
      <c r="C1049" s="1268">
        <f ca="1">SUM(G1049:N1049)-IF(InvOrAcq&lt;&gt;2,0,-ResultInvestmentProposalPV-IF(AdjustDCVAwNetDebt=1,ResultNetDebt+OFFSET(Calculations!$G$516,0,1),0))+SUM(G1226:N1226)</f>
        <v>38653745.333428793</v>
      </c>
      <c r="D1049" s="1268">
        <f ca="1">(1+OFFSET(Analysis!$I$4,1,0)/100)^(1/12)-1</f>
        <v>2.486543938297725E-3</v>
      </c>
      <c r="E1049" s="1268" t="s">
        <v>1255</v>
      </c>
      <c r="F1049" s="1272"/>
      <c r="G1049" s="1269"/>
      <c r="H1049" s="1269">
        <f t="shared" ref="H1049:L1050" ca="1" si="597">IF(SUM(H$511)&lt;&gt;0,(CHOOSE(EvaBAT,H$514,H$515)-H1054)*IF(H$5&lt;=CalcPoint,IF(DontCompound=1,1,(1+$D1049)^IF(MYDisc,H$1061,H$1059)),1/((1+$D1049)^IF(MYDisc,H$1061,H$1059))),"-")</f>
        <v>-6821.8122364357159</v>
      </c>
      <c r="I1049" s="1269">
        <f t="shared" ca="1" si="597"/>
        <v>3367634.9512780258</v>
      </c>
      <c r="J1049" s="1269">
        <f t="shared" ca="1" si="597"/>
        <v>5582182.1393017042</v>
      </c>
      <c r="K1049" s="1269">
        <f t="shared" ca="1" si="597"/>
        <v>7954252.0613048794</v>
      </c>
      <c r="L1049" s="1269">
        <f t="shared" ca="1" si="597"/>
        <v>10670671.340362485</v>
      </c>
      <c r="M1049" s="1269">
        <f t="shared" ref="M1049" ca="1" si="598">IF(SUM(M$511)&lt;&gt;0,(CHOOSE(EvaBAT,M$514,M$515)-M1054)*IF(M$5&lt;=CalcPoint,IF(DontCompound=1,1,(1+$D1049)^IF(MYDisc,M$1061,M$1059)),1/((1+$D1049)^IF(MYDisc,M$1061,M$1059))),"-")</f>
        <v>13856427.550176973</v>
      </c>
      <c r="N1049" s="1269">
        <f ca="1">IF(AND(NoResCol=1,UsePerpetuity&lt;&gt;1),0,IF(DCVAResidual=1,IF(UsePerpetuity=1,OFFSET(CHOOSE(EvaBAT,N$514,N$515,N$506),0,-1)*IF($D1054&lt;&gt;0,1/($D1054),1)-N$516,CHOOSE(EvaBAT,N$514,N$515,N$506)-N$517-IF(DCVAAdjust=1,N$322+N$621,0)),0)*IF(OFFSET(N$5,0,-1)&lt;=CalcPoint,IF(DontCompound=1,1,(1+IF(VariableRate=1,N$1057,DiscMonth))^IF(MYDisc,N$1061,N$1059)),1/((1+IF(VariableRate=1,N$1057,DiscMonth))^IF(MYDisc,N$1061,N$1059))))</f>
        <v>-2770600.8967588414</v>
      </c>
      <c r="O1049" s="1270"/>
      <c r="P1049" s="1268" t="s">
        <v>40</v>
      </c>
      <c r="Q1049" s="1271"/>
    </row>
    <row r="1050" spans="1:17" ht="11.25" hidden="1" customHeight="1" x14ac:dyDescent="0.35">
      <c r="A1050" s="1267"/>
      <c r="B1050" s="1268"/>
      <c r="C1050" s="1268">
        <f ca="1">SUM(G1050:N1050)-IF(InvOrAcq&lt;&gt;2,0,-ResultInvestmentProposalPV-IF(AdjustDCVAwNetDebt=1,ResultNetDebt+OFFSET(Calculations!$G$516,0,1),0))+SUM(G1227:N1227)</f>
        <v>37972010.25182192</v>
      </c>
      <c r="D1050" s="1268">
        <f ca="1">(1+OFFSET(Analysis!$J$4,1,0)/100)^(1/12)-1</f>
        <v>2.7092626147666721E-3</v>
      </c>
      <c r="E1050" s="1268" t="s">
        <v>1256</v>
      </c>
      <c r="F1050" s="1272"/>
      <c r="G1050" s="1269"/>
      <c r="H1050" s="1269">
        <f t="shared" ca="1" si="597"/>
        <v>-72971.465524464569</v>
      </c>
      <c r="I1050" s="1269">
        <f t="shared" ca="1" si="597"/>
        <v>3307822.237695965</v>
      </c>
      <c r="J1050" s="1269">
        <f t="shared" ca="1" si="597"/>
        <v>5516113.865177176</v>
      </c>
      <c r="K1050" s="1269">
        <f t="shared" ca="1" si="597"/>
        <v>7851778.3495129449</v>
      </c>
      <c r="L1050" s="1269">
        <f t="shared" ca="1" si="597"/>
        <v>10514676.108467413</v>
      </c>
      <c r="M1050" s="1269">
        <f t="shared" ref="M1050" ca="1" si="599">IF(SUM(M$511)&lt;&gt;0,(CHOOSE(EvaBAT,M$514,M$515)-M1055)*IF(M$5&lt;=CalcPoint,IF(DontCompound=1,1,(1+$D1050)^IF(MYDisc,M$1061,M$1059)),1/((1+$D1050)^IF(MYDisc,M$1061,M$1059))),"-")</f>
        <v>13625192.05325173</v>
      </c>
      <c r="N1050" s="1269">
        <f ca="1">IF(AND(NoResCol=1,UsePerpetuity&lt;&gt;1),0,IF(DCVAResidual=1,IF(UsePerpetuity=1,OFFSET(CHOOSE(EvaBAT,N$514,N$515,N$506),0,-1)*IF($D1055&lt;&gt;0,1/($D1055),1)-N$516,CHOOSE(EvaBAT,N$514,N$515,N$506)-N$517-IF(DCVAAdjust=1,N$322+N$621,0)),0)*IF(OFFSET(N$5,0,-1)&lt;=CalcPoint,IF(DontCompound=1,1,(1+IF(VariableRate=1,N$1057,DiscMonth))^IF(MYDisc,N$1061,N$1059)),1/((1+IF(VariableRate=1,N$1057,DiscMonth))^IF(MYDisc,N$1061,N$1059))))</f>
        <v>-2770600.8967588414</v>
      </c>
      <c r="O1050" s="1270"/>
      <c r="P1050" s="1268" t="s">
        <v>40</v>
      </c>
      <c r="Q1050" s="1271"/>
    </row>
    <row r="1051" spans="1:17" ht="11.25" hidden="1" customHeight="1" x14ac:dyDescent="0.35">
      <c r="A1051" s="1267"/>
      <c r="B1051" s="1268"/>
      <c r="C1051" s="1268"/>
      <c r="D1051" s="1268">
        <f ca="1">OFFSET(Analysis!$F$4,1,0)/100</f>
        <v>2.2000000000000002E-2</v>
      </c>
      <c r="E1051" s="1268" t="s">
        <v>1257</v>
      </c>
      <c r="F1051" s="1272"/>
      <c r="G1051" s="1269"/>
      <c r="H1051" s="1269">
        <f t="shared" ref="H1051:N1055" ca="1" si="600">H$516*$D1051</f>
        <v>535004.51059613819</v>
      </c>
      <c r="I1051" s="1269">
        <f t="shared" ca="1" si="600"/>
        <v>399856.23262192775</v>
      </c>
      <c r="J1051" s="1269">
        <f t="shared" ca="1" si="600"/>
        <v>271444.62767058529</v>
      </c>
      <c r="K1051" s="1269">
        <f t="shared" ca="1" si="600"/>
        <v>286222.80874021701</v>
      </c>
      <c r="L1051" s="1269">
        <f t="shared" ca="1" si="600"/>
        <v>307967.40496457834</v>
      </c>
      <c r="M1051" s="1269">
        <f t="shared" ca="1" si="600"/>
        <v>338943.04114996782</v>
      </c>
      <c r="N1051" s="1269">
        <f t="shared" ca="1" si="600"/>
        <v>160835.24657108806</v>
      </c>
      <c r="O1051" s="1270"/>
      <c r="P1051" s="1268" t="s">
        <v>40</v>
      </c>
      <c r="Q1051" s="1271"/>
    </row>
    <row r="1052" spans="1:17" ht="11.25" hidden="1" customHeight="1" x14ac:dyDescent="0.35">
      <c r="A1052" s="1267"/>
      <c r="B1052" s="1268"/>
      <c r="C1052" s="1268"/>
      <c r="D1052" s="1268">
        <f ca="1">OFFSET(Analysis!$G$4,1,0)/100</f>
        <v>2.4750000000000001E-2</v>
      </c>
      <c r="E1052" s="1268" t="s">
        <v>1258</v>
      </c>
      <c r="F1052" s="1272"/>
      <c r="G1052" s="1269"/>
      <c r="H1052" s="1269">
        <f t="shared" ca="1" si="600"/>
        <v>601880.0744206555</v>
      </c>
      <c r="I1052" s="1269">
        <f t="shared" ca="1" si="600"/>
        <v>449838.26169966866</v>
      </c>
      <c r="J1052" s="1269">
        <f t="shared" ca="1" si="600"/>
        <v>305375.20612940844</v>
      </c>
      <c r="K1052" s="1269">
        <f t="shared" ca="1" si="600"/>
        <v>322000.6598327441</v>
      </c>
      <c r="L1052" s="1269">
        <f t="shared" ca="1" si="600"/>
        <v>346463.33058515063</v>
      </c>
      <c r="M1052" s="1269">
        <f t="shared" ca="1" si="600"/>
        <v>381310.92129371373</v>
      </c>
      <c r="N1052" s="1269">
        <f t="shared" ca="1" si="600"/>
        <v>180939.65239247406</v>
      </c>
      <c r="O1052" s="1270"/>
      <c r="P1052" s="1268" t="s">
        <v>40</v>
      </c>
      <c r="Q1052" s="1271"/>
    </row>
    <row r="1053" spans="1:17" ht="11.25" hidden="1" customHeight="1" x14ac:dyDescent="0.35">
      <c r="A1053" s="1267"/>
      <c r="B1053" s="1268"/>
      <c r="C1053" s="1268"/>
      <c r="D1053" s="1268">
        <f>DiscYear/100</f>
        <v>2.75E-2</v>
      </c>
      <c r="E1053" s="1268" t="s">
        <v>1259</v>
      </c>
      <c r="F1053" s="1272"/>
      <c r="G1053" s="1269"/>
      <c r="H1053" s="1269">
        <f t="shared" ca="1" si="600"/>
        <v>668755.63824517268</v>
      </c>
      <c r="I1053" s="1269">
        <f t="shared" ca="1" si="600"/>
        <v>499820.29077740962</v>
      </c>
      <c r="J1053" s="1269">
        <f t="shared" ca="1" si="600"/>
        <v>339305.78458823159</v>
      </c>
      <c r="K1053" s="1269">
        <f t="shared" ca="1" si="600"/>
        <v>357778.5109252712</v>
      </c>
      <c r="L1053" s="1269">
        <f t="shared" ca="1" si="600"/>
        <v>384959.25620572286</v>
      </c>
      <c r="M1053" s="1269">
        <f t="shared" ca="1" si="600"/>
        <v>423678.80143745971</v>
      </c>
      <c r="N1053" s="1269">
        <f t="shared" ca="1" si="600"/>
        <v>201044.05821386006</v>
      </c>
      <c r="O1053" s="1270"/>
      <c r="P1053" s="1268" t="s">
        <v>40</v>
      </c>
      <c r="Q1053" s="1271"/>
    </row>
    <row r="1054" spans="1:17" ht="11.25" hidden="1" customHeight="1" x14ac:dyDescent="0.35">
      <c r="A1054" s="1267"/>
      <c r="B1054" s="1268"/>
      <c r="C1054" s="1268"/>
      <c r="D1054" s="1268">
        <f ca="1">OFFSET(Analysis!$I$4,1,0)/100</f>
        <v>3.0249999999999999E-2</v>
      </c>
      <c r="E1054" s="1268" t="s">
        <v>1260</v>
      </c>
      <c r="F1054" s="1272"/>
      <c r="G1054" s="1269"/>
      <c r="H1054" s="1269">
        <f t="shared" ca="1" si="600"/>
        <v>735631.20206968999</v>
      </c>
      <c r="I1054" s="1269">
        <f t="shared" ca="1" si="600"/>
        <v>549802.31985515053</v>
      </c>
      <c r="J1054" s="1269">
        <f t="shared" ca="1" si="600"/>
        <v>373236.36304705474</v>
      </c>
      <c r="K1054" s="1269">
        <f t="shared" ca="1" si="600"/>
        <v>393556.36201779835</v>
      </c>
      <c r="L1054" s="1269">
        <f t="shared" ca="1" si="600"/>
        <v>423455.18182629516</v>
      </c>
      <c r="M1054" s="1269">
        <f t="shared" ca="1" si="600"/>
        <v>466046.68158120569</v>
      </c>
      <c r="N1054" s="1269">
        <f t="shared" ca="1" si="600"/>
        <v>221148.46403524606</v>
      </c>
      <c r="O1054" s="1270"/>
      <c r="P1054" s="1268" t="s">
        <v>40</v>
      </c>
      <c r="Q1054" s="1271"/>
    </row>
    <row r="1055" spans="1:17" ht="11.25" hidden="1" customHeight="1" x14ac:dyDescent="0.35">
      <c r="A1055" s="1267"/>
      <c r="B1055" s="1268"/>
      <c r="C1055" s="1268"/>
      <c r="D1055" s="1268">
        <f ca="1">OFFSET(Analysis!$J$4,1,0)/100</f>
        <v>3.3000000000000002E-2</v>
      </c>
      <c r="E1055" s="1268" t="s">
        <v>1261</v>
      </c>
      <c r="F1055" s="1272"/>
      <c r="G1055" s="1269"/>
      <c r="H1055" s="1269">
        <f t="shared" ca="1" si="600"/>
        <v>802506.76589420729</v>
      </c>
      <c r="I1055" s="1269">
        <f t="shared" ca="1" si="600"/>
        <v>599784.34893289162</v>
      </c>
      <c r="J1055" s="1269">
        <f t="shared" ca="1" si="600"/>
        <v>407166.94150587794</v>
      </c>
      <c r="K1055" s="1269">
        <f t="shared" ca="1" si="600"/>
        <v>429334.21311032551</v>
      </c>
      <c r="L1055" s="1269">
        <f t="shared" ca="1" si="600"/>
        <v>461951.10744686751</v>
      </c>
      <c r="M1055" s="1269">
        <f t="shared" ca="1" si="600"/>
        <v>508414.56172495167</v>
      </c>
      <c r="N1055" s="1269">
        <f t="shared" ca="1" si="600"/>
        <v>241252.86985663208</v>
      </c>
      <c r="O1055" s="1270"/>
      <c r="P1055" s="1268" t="s">
        <v>40</v>
      </c>
      <c r="Q1055" s="1271"/>
    </row>
    <row r="1056" spans="1:17" ht="11.25" hidden="1" customHeight="1" x14ac:dyDescent="0.35">
      <c r="A1056" s="1267"/>
      <c r="B1056" s="1268"/>
      <c r="C1056" s="1268" t="s">
        <v>1262</v>
      </c>
      <c r="D1056" s="1268"/>
      <c r="E1056" s="1268" t="s">
        <v>1263</v>
      </c>
      <c r="F1056" s="1272"/>
      <c r="G1056" s="1269">
        <f t="shared" ref="G1056:N1056" ca="1" si="601">IF(VariableRate=1,SUM(OFFSET($E$678,0,G$8)),SUM(DiscYear))</f>
        <v>2.75</v>
      </c>
      <c r="H1056" s="1269">
        <f t="shared" ca="1" si="601"/>
        <v>2.75</v>
      </c>
      <c r="I1056" s="1269">
        <f t="shared" ca="1" si="601"/>
        <v>2.75</v>
      </c>
      <c r="J1056" s="1269">
        <f t="shared" ca="1" si="601"/>
        <v>2.75</v>
      </c>
      <c r="K1056" s="1269">
        <f t="shared" ca="1" si="601"/>
        <v>2.75</v>
      </c>
      <c r="L1056" s="1269">
        <f t="shared" ca="1" si="601"/>
        <v>2.75</v>
      </c>
      <c r="M1056" s="1269">
        <f t="shared" ca="1" si="601"/>
        <v>2.75</v>
      </c>
      <c r="N1056" s="1269">
        <f t="shared" ca="1" si="601"/>
        <v>2.75</v>
      </c>
      <c r="O1056" s="1270"/>
      <c r="P1056" s="1268" t="s">
        <v>40</v>
      </c>
      <c r="Q1056" s="1271"/>
    </row>
    <row r="1057" spans="1:17" ht="11.25" hidden="1" customHeight="1" x14ac:dyDescent="0.35">
      <c r="A1057" s="1267"/>
      <c r="B1057" s="1268"/>
      <c r="C1057" s="1268" t="s">
        <v>1264</v>
      </c>
      <c r="D1057" s="1268"/>
      <c r="E1057" s="1268" t="s">
        <v>1265</v>
      </c>
      <c r="F1057" s="1272"/>
      <c r="G1057" s="1269">
        <f t="shared" ref="G1057:N1057" ca="1" si="602">(1+G1056/100)^(1/12)-1</f>
        <v>2.2632796417700884E-3</v>
      </c>
      <c r="H1057" s="1269">
        <f t="shared" ca="1" si="602"/>
        <v>2.2632796417700884E-3</v>
      </c>
      <c r="I1057" s="1269">
        <f t="shared" ca="1" si="602"/>
        <v>2.2632796417700884E-3</v>
      </c>
      <c r="J1057" s="1269">
        <f t="shared" ca="1" si="602"/>
        <v>2.2632796417700884E-3</v>
      </c>
      <c r="K1057" s="1269">
        <f t="shared" ca="1" si="602"/>
        <v>2.2632796417700884E-3</v>
      </c>
      <c r="L1057" s="1269">
        <f t="shared" ca="1" si="602"/>
        <v>2.2632796417700884E-3</v>
      </c>
      <c r="M1057" s="1269">
        <f t="shared" ref="M1057" ca="1" si="603">(1+M1056/100)^(1/12)-1</f>
        <v>2.2632796417700884E-3</v>
      </c>
      <c r="N1057" s="1269">
        <f t="shared" ca="1" si="602"/>
        <v>2.2632796417700884E-3</v>
      </c>
      <c r="O1057" s="1270"/>
      <c r="P1057" s="1268" t="s">
        <v>40</v>
      </c>
      <c r="Q1057" s="1271"/>
    </row>
    <row r="1058" spans="1:17" ht="11.25" hidden="1" customHeight="1" x14ac:dyDescent="0.35">
      <c r="A1058" s="1267"/>
      <c r="B1058" s="1268"/>
      <c r="C1058" s="1268" t="s">
        <v>1266</v>
      </c>
      <c r="D1058" s="1268"/>
      <c r="E1058" s="1268" t="s">
        <v>1267</v>
      </c>
      <c r="F1058" s="1279"/>
      <c r="G1058" s="1279"/>
      <c r="H1058" s="1279"/>
      <c r="I1058" s="1279"/>
      <c r="J1058" s="1279"/>
      <c r="K1058" s="1279"/>
      <c r="L1058" s="1279"/>
      <c r="M1058" s="1279"/>
      <c r="N1058" s="1279"/>
      <c r="O1058" s="1270"/>
      <c r="P1058" s="1268" t="s">
        <v>40</v>
      </c>
      <c r="Q1058" s="1271"/>
    </row>
    <row r="1059" spans="1:17" ht="11.25" hidden="1" customHeight="1" x14ac:dyDescent="0.35">
      <c r="A1059" s="1267"/>
      <c r="B1059" s="1268"/>
      <c r="C1059" s="1268" t="s">
        <v>1268</v>
      </c>
      <c r="D1059" s="1268"/>
      <c r="E1059" s="1268" t="s">
        <v>1269</v>
      </c>
      <c r="F1059" s="1279"/>
      <c r="G1059" s="1280">
        <f>IF(G$5&lt;=CalcPoint,SUMIF(G$5:$N$5,"&lt;="&amp;CalcPoint,G$12:$N$12)-SUM(G$12),SUMIF(G$5:$G$5,"&gt;"&amp;CalcPoint,G$12:$G$12))</f>
        <v>0</v>
      </c>
      <c r="H1059" s="1280">
        <f>IF(H$5&lt;=CalcPoint,SUMIF(H$5:$N$5,"&lt;="&amp;CalcPoint,H$12:$N$12)-SUM(H$12),SUMIF($G$5:H$5,"&gt;"&amp;CalcPoint,$G$12:H$12))</f>
        <v>4</v>
      </c>
      <c r="I1059" s="1280">
        <f>IF(I$5&lt;=CalcPoint,SUMIF(I$5:$N$5,"&lt;="&amp;CalcPoint,I$12:$N$12)-SUM(I$12),SUMIF($G$5:I$5,"&gt;"&amp;CalcPoint,$G$12:I$12))</f>
        <v>16</v>
      </c>
      <c r="J1059" s="1280">
        <f>IF(J$5&lt;=CalcPoint,SUMIF(J$5:$N$5,"&lt;="&amp;CalcPoint,J$12:$N$12)-SUM(J$12),SUMIF($G$5:J$5,"&gt;"&amp;CalcPoint,$G$12:J$12))</f>
        <v>28</v>
      </c>
      <c r="K1059" s="1280">
        <f>IF(K$5&lt;=CalcPoint,SUMIF(K$5:$N$5,"&lt;="&amp;CalcPoint,K$12:$N$12)-SUM(K$12),SUMIF($G$5:K$5,"&gt;"&amp;CalcPoint,$G$12:K$12))</f>
        <v>40</v>
      </c>
      <c r="L1059" s="1280">
        <f>IF(L$5&lt;=CalcPoint,SUMIF(L$5:$N$5,"&lt;="&amp;CalcPoint,L$12:$N$12)-SUM(L$12),SUMIF($G$5:L$5,"&gt;"&amp;CalcPoint,$G$12:L$12))</f>
        <v>52</v>
      </c>
      <c r="M1059" s="1280">
        <f>IF(M$5&lt;=CalcPoint,SUMIF(M$5:$N$5,"&lt;="&amp;CalcPoint,M$12:$N$12)-SUM(M$12),SUMIF($G$5:M$5,"&gt;"&amp;CalcPoint,$G$12:M$12))</f>
        <v>64</v>
      </c>
      <c r="N1059" s="1280">
        <f ca="1">OFFSET(N1059,0,-1)</f>
        <v>64</v>
      </c>
      <c r="O1059" s="1270"/>
      <c r="P1059" s="1268" t="s">
        <v>40</v>
      </c>
      <c r="Q1059" s="1271"/>
    </row>
    <row r="1060" spans="1:17" ht="11.25" hidden="1" customHeight="1" x14ac:dyDescent="0.35">
      <c r="A1060" s="1267"/>
      <c r="B1060" s="1268"/>
      <c r="C1060" s="1268" t="s">
        <v>1270</v>
      </c>
      <c r="D1060" s="1268"/>
      <c r="E1060" s="1268" t="s">
        <v>1271</v>
      </c>
      <c r="F1060" s="1279"/>
      <c r="G1060" s="1280">
        <f>IF(G$5&lt;=CalcPointPB,SUMIF(G$5:$N$5,"&lt;="&amp;CalcPointPB,G$12:$N$12)-SUM(G$12),SUMIF(G$5:$G$5,"&gt;"&amp;CalcPointPB,G$12:$G$12))</f>
        <v>0</v>
      </c>
      <c r="H1060" s="1280">
        <f>IF(H$5&lt;=CalcPointPB,SUMIF(H$5:$N$5,"&lt;="&amp;CalcPointPB,H$12:$N$12)-SUM(H$12),SUMIF($G$5:H$5,"&gt;"&amp;CalcPointPB,$G$12:H$12))</f>
        <v>4</v>
      </c>
      <c r="I1060" s="1280">
        <f>IF(I$5&lt;=CalcPointPB,SUMIF(I$5:$N$5,"&lt;="&amp;CalcPointPB,I$12:$N$12)-SUM(I$12),SUMIF($G$5:I$5,"&gt;"&amp;CalcPointPB,$G$12:I$12))</f>
        <v>16</v>
      </c>
      <c r="J1060" s="1280">
        <f>IF(J$5&lt;=CalcPointPB,SUMIF(J$5:$N$5,"&lt;="&amp;CalcPointPB,J$12:$N$12)-SUM(J$12),SUMIF($G$5:J$5,"&gt;"&amp;CalcPointPB,$G$12:J$12))</f>
        <v>28</v>
      </c>
      <c r="K1060" s="1280">
        <f>IF(K$5&lt;=CalcPointPB,SUMIF(K$5:$N$5,"&lt;="&amp;CalcPointPB,K$12:$N$12)-SUM(K$12),SUMIF($G$5:K$5,"&gt;"&amp;CalcPointPB,$G$12:K$12))</f>
        <v>40</v>
      </c>
      <c r="L1060" s="1280">
        <f>IF(L$5&lt;=CalcPointPB,SUMIF(L$5:$N$5,"&lt;="&amp;CalcPointPB,L$12:$N$12)-SUM(L$12),SUMIF($G$5:L$5,"&gt;"&amp;CalcPointPB,$G$12:L$12))</f>
        <v>52</v>
      </c>
      <c r="M1060" s="1280">
        <f>IF(M$5&lt;=CalcPointPB,SUMIF(M$5:$N$5,"&lt;="&amp;CalcPointPB,M$12:$N$12)-SUM(M$12),SUMIF($G$5:M$5,"&gt;"&amp;CalcPointPB,$G$12:M$12))</f>
        <v>64</v>
      </c>
      <c r="N1060" s="1280">
        <f ca="1">OFFSET(N1060,0,-1)</f>
        <v>64</v>
      </c>
      <c r="O1060" s="1270"/>
      <c r="P1060" s="1268" t="s">
        <v>40</v>
      </c>
      <c r="Q1060" s="1271"/>
    </row>
    <row r="1061" spans="1:17" ht="11.25" hidden="1" customHeight="1" x14ac:dyDescent="0.35">
      <c r="A1061" s="1267"/>
      <c r="B1061" s="1268"/>
      <c r="C1061" s="1268" t="s">
        <v>5349</v>
      </c>
      <c r="D1061" s="1268"/>
      <c r="E1061" s="1268" t="s">
        <v>5347</v>
      </c>
      <c r="F1061" s="1279"/>
      <c r="G1061" s="1280">
        <f>G$1059</f>
        <v>0</v>
      </c>
      <c r="H1061" s="1280">
        <f t="shared" ref="H1061:M1061" si="604">H$1059+IF(H$17=12,IF(H$5&lt;=CalcPoint,H$17*0.5,-H$17*0.5),0)</f>
        <v>4</v>
      </c>
      <c r="I1061" s="1280">
        <f t="shared" si="604"/>
        <v>10</v>
      </c>
      <c r="J1061" s="1280">
        <f t="shared" si="604"/>
        <v>22</v>
      </c>
      <c r="K1061" s="1280">
        <f t="shared" si="604"/>
        <v>34</v>
      </c>
      <c r="L1061" s="1280">
        <f t="shared" si="604"/>
        <v>46</v>
      </c>
      <c r="M1061" s="1280">
        <f t="shared" si="604"/>
        <v>58</v>
      </c>
      <c r="N1061" s="1280">
        <f ca="1">N$1059</f>
        <v>64</v>
      </c>
      <c r="O1061" s="1270"/>
      <c r="P1061" s="1268" t="s">
        <v>40</v>
      </c>
      <c r="Q1061" s="1271"/>
    </row>
    <row r="1062" spans="1:17" ht="11.25" hidden="1" customHeight="1" x14ac:dyDescent="0.35">
      <c r="A1062" s="1267"/>
      <c r="B1062" s="1268"/>
      <c r="C1062" s="1268" t="s">
        <v>5350</v>
      </c>
      <c r="D1062" s="1268"/>
      <c r="E1062" s="1268" t="s">
        <v>5346</v>
      </c>
      <c r="F1062" s="1279"/>
      <c r="G1062" s="1280">
        <f>G$1060</f>
        <v>0</v>
      </c>
      <c r="H1062" s="1280">
        <f t="shared" ref="H1062:M1062" si="605">H$1060+IF(H$17=12,IF(H$5&lt;=CalcPointPB,H$17*0.5,-H$17*0.5),0)</f>
        <v>4</v>
      </c>
      <c r="I1062" s="1280">
        <f t="shared" si="605"/>
        <v>10</v>
      </c>
      <c r="J1062" s="1280">
        <f t="shared" si="605"/>
        <v>22</v>
      </c>
      <c r="K1062" s="1280">
        <f t="shared" si="605"/>
        <v>34</v>
      </c>
      <c r="L1062" s="1280">
        <f t="shared" si="605"/>
        <v>46</v>
      </c>
      <c r="M1062" s="1280">
        <f t="shared" si="605"/>
        <v>58</v>
      </c>
      <c r="N1062" s="1280">
        <f ca="1">N$1060</f>
        <v>64</v>
      </c>
      <c r="O1062" s="1270"/>
      <c r="P1062" s="1268" t="s">
        <v>40</v>
      </c>
      <c r="Q1062" s="1271"/>
    </row>
    <row r="1063" spans="1:17" ht="11.25" hidden="1" customHeight="1" x14ac:dyDescent="0.35">
      <c r="A1063" s="1267"/>
      <c r="B1063" s="1268"/>
      <c r="C1063" s="1268" t="s">
        <v>5351</v>
      </c>
      <c r="D1063" s="1268"/>
      <c r="E1063" s="1268" t="s">
        <v>5348</v>
      </c>
      <c r="F1063" s="1279"/>
      <c r="G1063" s="1280"/>
      <c r="H1063" s="1281">
        <f>SUM($G$17:H$17)-IF(H$17=12,6,0)</f>
        <v>4</v>
      </c>
      <c r="I1063" s="1281">
        <f>SUM($G$17:I$17)-IF(I$17=12,6,0)</f>
        <v>10</v>
      </c>
      <c r="J1063" s="1281">
        <f>SUM($G$17:J$17)-IF(J$17=12,6,0)</f>
        <v>22</v>
      </c>
      <c r="K1063" s="1281">
        <f>SUM($G$17:K$17)-IF(K$17=12,6,0)</f>
        <v>34</v>
      </c>
      <c r="L1063" s="1281">
        <f>SUM($G$17:L$17)-IF(L$17=12,6,0)</f>
        <v>46</v>
      </c>
      <c r="M1063" s="1281">
        <f>SUM($G$17:M$17)-IF(M$17=12,6,0)</f>
        <v>58</v>
      </c>
      <c r="N1063" s="1280">
        <f ca="1">N1070</f>
        <v>64</v>
      </c>
      <c r="O1063" s="1270"/>
      <c r="P1063" s="1268" t="s">
        <v>40</v>
      </c>
      <c r="Q1063" s="1271"/>
    </row>
    <row r="1064" spans="1:17" ht="11.25" hidden="1" customHeight="1" x14ac:dyDescent="0.35">
      <c r="A1064" s="1267"/>
      <c r="B1064" s="1268"/>
      <c r="C1064" s="1268" t="s">
        <v>1272</v>
      </c>
      <c r="D1064" s="1268"/>
      <c r="E1064" s="1268" t="s">
        <v>1273</v>
      </c>
      <c r="F1064" s="1272"/>
      <c r="G1064" s="1279">
        <f>G$675</f>
        <v>0</v>
      </c>
      <c r="H1064" s="1279">
        <f t="shared" ref="H1064:N1064" ca="1" si="606">H$675/(1+IF(VariableRate=1,H$1057,DiscMonth))^IF(MYDisc,H$1061,H$1059)</f>
        <v>-23377288.617723793</v>
      </c>
      <c r="I1064" s="1279">
        <f t="shared" ca="1" si="606"/>
        <v>15759665.651577344</v>
      </c>
      <c r="J1064" s="1279">
        <f t="shared" ca="1" si="606"/>
        <v>5392587.6751682218</v>
      </c>
      <c r="K1064" s="1279">
        <f t="shared" ca="1" si="606"/>
        <v>7717126.1961859614</v>
      </c>
      <c r="L1064" s="1279">
        <f t="shared" ca="1" si="606"/>
        <v>10063899.604356358</v>
      </c>
      <c r="M1064" s="1279">
        <f t="shared" ca="1" si="606"/>
        <v>13099921.988282897</v>
      </c>
      <c r="N1064" s="1279">
        <f t="shared" ca="1" si="606"/>
        <v>11239904.807545893</v>
      </c>
      <c r="O1064" s="1270"/>
      <c r="P1064" s="1268" t="s">
        <v>40</v>
      </c>
      <c r="Q1064" s="1271"/>
    </row>
    <row r="1065" spans="1:17" ht="11.25" hidden="1" customHeight="1" x14ac:dyDescent="0.35">
      <c r="A1065" s="1267"/>
      <c r="B1065" s="1268"/>
      <c r="C1065" s="1268" t="s">
        <v>1274</v>
      </c>
      <c r="D1065" s="1268"/>
      <c r="E1065" s="1268" t="s">
        <v>1275</v>
      </c>
      <c r="F1065" s="1272"/>
      <c r="G1065" s="1279">
        <f ca="1">G$675*IF(IF(G$5=-99,OFFSET(G$5,0,-1),G$5)&lt;CalcPoint,IF(DontCompound=1,1,(1+IF(VariableRate=1,G$1057,DiscMonth))^G$1059),1/((1+IF(VariableRate=1,G$1057,DiscMonth))^G$1059))</f>
        <v>0</v>
      </c>
      <c r="H1065" s="1279">
        <f t="shared" ref="H1065:N1065" ca="1" si="607">H$675*IF(IF(H$5=-99,OFFSET(H$5,0,-1),H$5)&lt;=CalcPoint,IF(DontCompound=1,1,(1+IF(VariableRate=1,H$1057,DiscMonth))^IF(MYDisc,H$1061,H$1059)),1/((1+IF(VariableRate=1,H$1057,DiscMonth))^IF(MYDisc,H$1061,H$1059)))</f>
        <v>-23377288.617723797</v>
      </c>
      <c r="I1065" s="1279">
        <f t="shared" ca="1" si="607"/>
        <v>15759665.651577344</v>
      </c>
      <c r="J1065" s="1279">
        <f t="shared" ca="1" si="607"/>
        <v>5392587.6751682218</v>
      </c>
      <c r="K1065" s="1279">
        <f t="shared" ca="1" si="607"/>
        <v>7717126.1961859623</v>
      </c>
      <c r="L1065" s="1279">
        <f t="shared" ca="1" si="607"/>
        <v>10063899.604356356</v>
      </c>
      <c r="M1065" s="1279">
        <f t="shared" ca="1" si="607"/>
        <v>13099921.988282897</v>
      </c>
      <c r="N1065" s="1279">
        <f t="shared" ca="1" si="607"/>
        <v>11239904.807545893</v>
      </c>
      <c r="O1065" s="1270"/>
      <c r="P1065" s="1268" t="s">
        <v>40</v>
      </c>
      <c r="Q1065" s="1271"/>
    </row>
    <row r="1066" spans="1:17" ht="11.25" hidden="1" customHeight="1" x14ac:dyDescent="0.35">
      <c r="A1066" s="1267"/>
      <c r="B1066" s="1268"/>
      <c r="C1066" s="1268" t="s">
        <v>1276</v>
      </c>
      <c r="D1066" s="1268"/>
      <c r="E1066" s="1268" t="s">
        <v>1277</v>
      </c>
      <c r="F1066" s="1272"/>
      <c r="G1066" s="1279">
        <f ca="1">G$675*IF(IF(G$5=-99,OFFSET(G$5,0,-1),G$5)&lt;CalcPointPB,IF(DontCompoundPB=1,1,(1+IF(VariableRate=1,G$1057,DiscMonth))^G$1060),1/((1+IF(VariableRate=1,G$1057,DiscMonth))^G$1060))</f>
        <v>0</v>
      </c>
      <c r="H1066" s="1279">
        <f t="shared" ref="H1066:M1066" ca="1" si="608">H$675*IF(IF(H$5=-99,OFFSET(H$5,0,-1),H$5)&lt;=CalcPointPB,IF(DontCompoundPB=1,1,(1+IF(VariableRate=1,H$1057,DiscMonth))^IF(MYDisc,H$1062,H$1060)),1/((1+IF(VariableRate=1,H$1057,DiscMonth))^IF(MYDisc,H$1062,H$1060)))</f>
        <v>-23377288.617723797</v>
      </c>
      <c r="I1066" s="1279">
        <f t="shared" ca="1" si="608"/>
        <v>15759665.651577344</v>
      </c>
      <c r="J1066" s="1279">
        <f t="shared" ca="1" si="608"/>
        <v>5392587.6751682218</v>
      </c>
      <c r="K1066" s="1279">
        <f t="shared" ca="1" si="608"/>
        <v>7717126.1961859623</v>
      </c>
      <c r="L1066" s="1279">
        <f t="shared" ca="1" si="608"/>
        <v>10063899.604356356</v>
      </c>
      <c r="M1066" s="1279">
        <f t="shared" ca="1" si="608"/>
        <v>13099921.988282897</v>
      </c>
      <c r="N1066" s="1279">
        <f ca="1">IF(UsePerpetuity=1,PerpetuityPV,N$675*IF(IF(N$5=-99,OFFSET(N$5,0,-1),N$5)&lt;=CalcPointPB,IF(DontCompoundPB=1,1,(1+IF(VariableRate=1,N$1057,DiscMonth))^IF(MYDisc,N$1062,N$1060)),1/((1+IF(VariableRate=1,N$1057,DiscMonth))^IF(MYDisc,N$1062,N$1060))))</f>
        <v>11239904.807545893</v>
      </c>
      <c r="O1066" s="1270"/>
      <c r="P1066" s="1268" t="s">
        <v>40</v>
      </c>
      <c r="Q1066" s="1271"/>
    </row>
    <row r="1067" spans="1:17" ht="11.25" hidden="1" customHeight="1" x14ac:dyDescent="0.35">
      <c r="A1067" s="1267"/>
      <c r="B1067" s="1268"/>
      <c r="C1067" s="1268" t="s">
        <v>1278</v>
      </c>
      <c r="D1067" s="1268"/>
      <c r="E1067" s="1268" t="s">
        <v>1279</v>
      </c>
      <c r="F1067" s="1272"/>
      <c r="G1067" s="1279">
        <f>G1064</f>
        <v>0</v>
      </c>
      <c r="H1067" s="1279">
        <f t="shared" ref="H1067:N1069" ca="1" si="609">OFFSET(H1067,0,-1)+H1064</f>
        <v>-23377288.617723793</v>
      </c>
      <c r="I1067" s="1279">
        <f t="shared" ca="1" si="609"/>
        <v>-7617622.9661464486</v>
      </c>
      <c r="J1067" s="1279">
        <f t="shared" ca="1" si="609"/>
        <v>-2225035.2909782268</v>
      </c>
      <c r="K1067" s="1279">
        <f t="shared" ca="1" si="609"/>
        <v>5492090.9052077346</v>
      </c>
      <c r="L1067" s="1279">
        <f t="shared" ca="1" si="609"/>
        <v>15555990.509564092</v>
      </c>
      <c r="M1067" s="1279">
        <f t="shared" ref="M1067" ca="1" si="610">OFFSET(M1067,0,-1)+M1064</f>
        <v>28655912.497846991</v>
      </c>
      <c r="N1067" s="1279">
        <f t="shared" ca="1" si="609"/>
        <v>39895817.305392884</v>
      </c>
      <c r="O1067" s="1270"/>
      <c r="P1067" s="1268" t="s">
        <v>40</v>
      </c>
      <c r="Q1067" s="1271"/>
    </row>
    <row r="1068" spans="1:17" ht="11.25" hidden="1" customHeight="1" x14ac:dyDescent="0.35">
      <c r="A1068" s="1267"/>
      <c r="B1068" s="1268"/>
      <c r="C1068" s="1268" t="s">
        <v>1280</v>
      </c>
      <c r="D1068" s="1268"/>
      <c r="E1068" s="1268" t="s">
        <v>1281</v>
      </c>
      <c r="F1068" s="1272"/>
      <c r="G1068" s="1279">
        <f ca="1">G1065</f>
        <v>0</v>
      </c>
      <c r="H1068" s="1279">
        <f t="shared" ca="1" si="609"/>
        <v>-23377288.617723797</v>
      </c>
      <c r="I1068" s="1279">
        <f t="shared" ca="1" si="609"/>
        <v>-7617622.9661464524</v>
      </c>
      <c r="J1068" s="1279">
        <f t="shared" ca="1" si="609"/>
        <v>-2225035.2909782305</v>
      </c>
      <c r="K1068" s="1279">
        <f t="shared" ca="1" si="609"/>
        <v>5492090.9052077318</v>
      </c>
      <c r="L1068" s="1279">
        <f t="shared" ca="1" si="609"/>
        <v>15555990.509564087</v>
      </c>
      <c r="M1068" s="1279">
        <f t="shared" ref="M1068" ca="1" si="611">OFFSET(M1068,0,-1)+M1065</f>
        <v>28655912.497846983</v>
      </c>
      <c r="N1068" s="1279">
        <f t="shared" ca="1" si="609"/>
        <v>39895817.305392876</v>
      </c>
      <c r="O1068" s="1270"/>
      <c r="P1068" s="1268" t="s">
        <v>40</v>
      </c>
      <c r="Q1068" s="1271"/>
    </row>
    <row r="1069" spans="1:17" ht="11.25" hidden="1" customHeight="1" x14ac:dyDescent="0.35">
      <c r="A1069" s="1267"/>
      <c r="B1069" s="1268"/>
      <c r="C1069" s="1268" t="s">
        <v>1237</v>
      </c>
      <c r="D1069" s="1268"/>
      <c r="E1069" s="1268" t="s">
        <v>1282</v>
      </c>
      <c r="F1069" s="1272"/>
      <c r="G1069" s="1279">
        <f ca="1">G1066</f>
        <v>0</v>
      </c>
      <c r="H1069" s="1279">
        <f t="shared" ca="1" si="609"/>
        <v>-23377288.617723797</v>
      </c>
      <c r="I1069" s="1279">
        <f t="shared" ca="1" si="609"/>
        <v>-7617622.9661464524</v>
      </c>
      <c r="J1069" s="1279">
        <f t="shared" ca="1" si="609"/>
        <v>-2225035.2909782305</v>
      </c>
      <c r="K1069" s="1279">
        <f t="shared" ca="1" si="609"/>
        <v>5492090.9052077318</v>
      </c>
      <c r="L1069" s="1279">
        <f t="shared" ca="1" si="609"/>
        <v>15555990.509564087</v>
      </c>
      <c r="M1069" s="1279">
        <f t="shared" ref="M1069" ca="1" si="612">OFFSET(M1069,0,-1)+M1066</f>
        <v>28655912.497846983</v>
      </c>
      <c r="N1069" s="1279">
        <f t="shared" ca="1" si="609"/>
        <v>39895817.305392876</v>
      </c>
      <c r="O1069" s="1270"/>
      <c r="P1069" s="1268" t="s">
        <v>40</v>
      </c>
      <c r="Q1069" s="1271"/>
    </row>
    <row r="1070" spans="1:17" ht="11.25" hidden="1" customHeight="1" x14ac:dyDescent="0.35">
      <c r="A1070" s="1267"/>
      <c r="B1070" s="1268"/>
      <c r="C1070" s="1268" t="s">
        <v>1283</v>
      </c>
      <c r="D1070" s="1268"/>
      <c r="E1070" s="1268" t="s">
        <v>1284</v>
      </c>
      <c r="F1070" s="1272"/>
      <c r="G1070" s="1279"/>
      <c r="H1070" s="1279">
        <f t="shared" ref="H1070:M1070" ca="1" si="613">SUM(H$17)+OFFSET(H1070,0,-1)</f>
        <v>4</v>
      </c>
      <c r="I1070" s="1279">
        <f t="shared" ca="1" si="613"/>
        <v>16</v>
      </c>
      <c r="J1070" s="1279">
        <f t="shared" ca="1" si="613"/>
        <v>28</v>
      </c>
      <c r="K1070" s="1279">
        <f t="shared" ca="1" si="613"/>
        <v>40</v>
      </c>
      <c r="L1070" s="1279">
        <f t="shared" ca="1" si="613"/>
        <v>52</v>
      </c>
      <c r="M1070" s="1279">
        <f t="shared" ca="1" si="613"/>
        <v>64</v>
      </c>
      <c r="N1070" s="1279">
        <f ca="1">OFFSET(N1070,0,-1)</f>
        <v>64</v>
      </c>
      <c r="O1070" s="1270"/>
      <c r="P1070" s="1268" t="s">
        <v>40</v>
      </c>
      <c r="Q1070" s="1271"/>
    </row>
    <row r="1071" spans="1:17" ht="11.25" hidden="1" customHeight="1" x14ac:dyDescent="0.35">
      <c r="A1071" s="1267"/>
      <c r="B1071" s="1268"/>
      <c r="C1071" s="1268" t="s">
        <v>1285</v>
      </c>
      <c r="D1071" s="1268"/>
      <c r="E1071" s="1268" t="s">
        <v>1286</v>
      </c>
      <c r="F1071" s="1272"/>
      <c r="G1071" s="1279">
        <f ca="1">IF(InvOrAcq=2,IF(LoanEnterOrProFin&lt;2,-SUMPRODUCT(((OFFSET(G$1070,0,1):$N$1070)&lt;=(12+G$1070))*(OFFSET(G$431,0,1):$N$431)),G$1073),0)</f>
        <v>0</v>
      </c>
      <c r="H1071" s="1279">
        <f ca="1">IF(InvOrAcq=2,IF(LoanEnterOrProFin&lt;2,-SUMPRODUCT(((OFFSET(H$1070,0,1):$N$1070)&lt;=(12+H$1070))*(OFFSET(H$431,0,1):$N$431)),H$1073),0)</f>
        <v>0</v>
      </c>
      <c r="I1071" s="1279">
        <f ca="1">IF(InvOrAcq=2,IF(LoanEnterOrProFin&lt;2,-SUMPRODUCT(((OFFSET(I$1070,0,1):$N$1070)&lt;=(12+I$1070))*(OFFSET(I$431,0,1):$N$431)),I$1073),0)</f>
        <v>0</v>
      </c>
      <c r="J1071" s="1279">
        <f ca="1">IF(InvOrAcq=2,IF(LoanEnterOrProFin&lt;2,-SUMPRODUCT(((OFFSET(J$1070,0,1):$N$1070)&lt;=(12+J$1070))*(OFFSET(J$431,0,1):$N$431)),J$1073),0)</f>
        <v>0</v>
      </c>
      <c r="K1071" s="1279">
        <f ca="1">IF(InvOrAcq=2,IF(LoanEnterOrProFin&lt;2,-SUMPRODUCT(((OFFSET(K$1070,0,1):$N$1070)&lt;=(12+K$1070))*(OFFSET(K$431,0,1):$N$431)),K$1073),0)</f>
        <v>0</v>
      </c>
      <c r="L1071" s="1279">
        <f ca="1">IF(InvOrAcq=2,IF(LoanEnterOrProFin&lt;2,-SUMPRODUCT(((OFFSET(L$1070,0,1):$N$1070)&lt;=(12+L$1070))*(OFFSET(L$431,0,1):$N$431)),L$1073),0)</f>
        <v>0</v>
      </c>
      <c r="M1071" s="1279">
        <f ca="1">IF(InvOrAcq=2,IF(LoanEnterOrProFin&lt;2,-SUMPRODUCT(((OFFSET(M$1070,0,1):$N$1070)&lt;=(12+M$1070))*(OFFSET(M$431,0,1):$N$431)),M$1073),0)</f>
        <v>0</v>
      </c>
      <c r="N1071" s="1279">
        <f ca="1">IF(InvOrAcq=2,IF(LoanEnterOrProFin&lt;2,-SUMPRODUCT(((OFFSET(N$1070,0,1):$N$1070)&lt;=(12+N$1070))*(OFFSET(N$431,0,1):$N$431)),N$1073),0)</f>
        <v>0</v>
      </c>
      <c r="O1071" s="1270"/>
      <c r="P1071" s="1268" t="s">
        <v>40</v>
      </c>
      <c r="Q1071" s="1271"/>
    </row>
    <row r="1072" spans="1:17" ht="11.25" hidden="1" customHeight="1" x14ac:dyDescent="0.35">
      <c r="A1072" s="1267"/>
      <c r="B1072" s="1268"/>
      <c r="C1072" s="1268" t="s">
        <v>1287</v>
      </c>
      <c r="D1072" s="1268"/>
      <c r="E1072" s="1268" t="s">
        <v>1288</v>
      </c>
      <c r="F1072" s="1272"/>
      <c r="G1072" s="1279"/>
      <c r="H1072" s="1279">
        <v>0</v>
      </c>
      <c r="I1072" s="1279">
        <v>0</v>
      </c>
      <c r="J1072" s="1279">
        <v>0</v>
      </c>
      <c r="K1072" s="1279">
        <v>0</v>
      </c>
      <c r="L1072" s="1279">
        <v>0</v>
      </c>
      <c r="M1072" s="1279">
        <v>0</v>
      </c>
      <c r="N1072" s="1279">
        <v>0</v>
      </c>
      <c r="O1072" s="1270"/>
      <c r="P1072" s="1268" t="s">
        <v>40</v>
      </c>
      <c r="Q1072" s="1271"/>
    </row>
    <row r="1073" spans="1:17" ht="11.25" hidden="1" customHeight="1" x14ac:dyDescent="0.35">
      <c r="A1073" s="1267"/>
      <c r="B1073" s="1268"/>
      <c r="C1073" s="1268" t="s">
        <v>1289</v>
      </c>
      <c r="D1073" s="1268"/>
      <c r="E1073" s="1268" t="s">
        <v>1290</v>
      </c>
      <c r="F1073" s="1272"/>
      <c r="G1073" s="1279"/>
      <c r="H1073" s="1279">
        <v>0</v>
      </c>
      <c r="I1073" s="1279">
        <v>0</v>
      </c>
      <c r="J1073" s="1279">
        <v>0</v>
      </c>
      <c r="K1073" s="1279">
        <v>0</v>
      </c>
      <c r="L1073" s="1279">
        <v>0</v>
      </c>
      <c r="M1073" s="1279">
        <v>0</v>
      </c>
      <c r="N1073" s="1279">
        <v>0</v>
      </c>
      <c r="O1073" s="1270"/>
      <c r="P1073" s="1268" t="s">
        <v>40</v>
      </c>
      <c r="Q1073" s="1271"/>
    </row>
    <row r="1074" spans="1:17" ht="11.25" hidden="1" customHeight="1" x14ac:dyDescent="0.35">
      <c r="A1074" s="1267"/>
      <c r="B1074" s="1268"/>
      <c r="C1074" s="1268" t="s">
        <v>1291</v>
      </c>
      <c r="D1074" s="1268"/>
      <c r="E1074" s="1268" t="s">
        <v>1292</v>
      </c>
      <c r="F1074" s="1272"/>
      <c r="G1074" s="1279"/>
      <c r="H1074" s="1279"/>
      <c r="I1074" s="1279"/>
      <c r="J1074" s="1279"/>
      <c r="K1074" s="1279"/>
      <c r="L1074" s="1279"/>
      <c r="M1074" s="1279"/>
      <c r="N1074" s="1279"/>
      <c r="O1074" s="1270"/>
      <c r="P1074" s="1268" t="s">
        <v>40</v>
      </c>
      <c r="Q1074" s="1271"/>
    </row>
    <row r="1075" spans="1:17" ht="11.25" hidden="1" customHeight="1" x14ac:dyDescent="0.35">
      <c r="A1075" s="1267"/>
      <c r="B1075" s="1268"/>
      <c r="C1075" s="1268" t="s">
        <v>975</v>
      </c>
      <c r="D1075" s="1268"/>
      <c r="E1075" s="1268" t="s">
        <v>1293</v>
      </c>
      <c r="F1075" s="1272"/>
      <c r="G1075" s="1279">
        <f ca="1">OFFSET(G806,0,-1)+G$685-IF(AND(InvFileType=2,InvOrAcq=1),0,G$688)+OFFSET(G$814,0,-1)</f>
        <v>0</v>
      </c>
      <c r="H1075" s="1279">
        <f t="shared" ref="H1075:N1075" ca="1" si="614">OFFSET(H806,0,-1)+H$685-IF(AND(InvFileType=2,InvOrAcq=1),0,H$688)+OFFSET(H$814,0,-1)</f>
        <v>0</v>
      </c>
      <c r="I1075" s="1279">
        <f t="shared" ca="1" si="614"/>
        <v>0</v>
      </c>
      <c r="J1075" s="1279">
        <f t="shared" ca="1" si="614"/>
        <v>0</v>
      </c>
      <c r="K1075" s="1279">
        <f t="shared" ca="1" si="614"/>
        <v>0</v>
      </c>
      <c r="L1075" s="1279">
        <f t="shared" ca="1" si="614"/>
        <v>0</v>
      </c>
      <c r="M1075" s="1279">
        <f t="shared" ref="M1075" ca="1" si="615">OFFSET(M806,0,-1)+M$685-IF(AND(InvFileType=2,InvOrAcq=1),0,M$688)+OFFSET(M$814,0,-1)</f>
        <v>0</v>
      </c>
      <c r="N1075" s="1279">
        <f t="shared" ca="1" si="614"/>
        <v>0</v>
      </c>
      <c r="O1075" s="1270"/>
      <c r="P1075" s="1268" t="s">
        <v>40</v>
      </c>
      <c r="Q1075" s="1271"/>
    </row>
    <row r="1076" spans="1:17" ht="11.25" hidden="1" customHeight="1" x14ac:dyDescent="0.35">
      <c r="A1076" s="1267"/>
      <c r="B1076" s="1268"/>
      <c r="C1076" s="1268" t="s">
        <v>1294</v>
      </c>
      <c r="D1076" s="1268"/>
      <c r="E1076" s="1268" t="s">
        <v>1295</v>
      </c>
      <c r="F1076" s="1272"/>
      <c r="G1076" s="1279">
        <f ca="1">(G$668+G$669+G$674+G$319+G$321+G$330+G$332)/(1+IF(VariableRate=1,G$1057,DiscMonth))^G$1059</f>
        <v>0</v>
      </c>
      <c r="H1076" s="1279">
        <f t="shared" ref="H1076:M1076" ca="1" si="616">(H$668+H$669+H$674+H$319+H$321+H$330+H$332)/(1+IF(VariableRate=1,H$1057,DiscMonth))^IF(MYDisc,H$1061,H$1059)</f>
        <v>-15350205.83163882</v>
      </c>
      <c r="I1076" s="1279">
        <f t="shared" ca="1" si="616"/>
        <v>15759665.651577344</v>
      </c>
      <c r="J1076" s="1279">
        <f t="shared" ca="1" si="616"/>
        <v>5646026.3133035228</v>
      </c>
      <c r="K1076" s="1279">
        <f t="shared" ca="1" si="616"/>
        <v>7717126.1961859614</v>
      </c>
      <c r="L1076" s="1279">
        <f t="shared" ca="1" si="616"/>
        <v>10183926.664643852</v>
      </c>
      <c r="M1076" s="1279">
        <f t="shared" ca="1" si="616"/>
        <v>13099921.988282897</v>
      </c>
      <c r="N1076" s="1279"/>
      <c r="O1076" s="1270"/>
      <c r="P1076" s="1268" t="s">
        <v>40</v>
      </c>
      <c r="Q1076" s="1271"/>
    </row>
    <row r="1077" spans="1:17" ht="11.25" hidden="1" customHeight="1" x14ac:dyDescent="0.35">
      <c r="A1077" s="1267"/>
      <c r="B1077" s="1268"/>
      <c r="C1077" s="1268" t="s">
        <v>1296</v>
      </c>
      <c r="D1077" s="1268"/>
      <c r="E1077" s="1268" t="s">
        <v>1297</v>
      </c>
      <c r="F1077" s="1272"/>
      <c r="G1077" s="1279">
        <f ca="1">(G$668+G$669+G$674+G$319+G$321+G$330+G$332)*IF(IF(G$5=-99,OFFSET(G$5,0,-1),G$5)&lt;CalcPoint,IF(DontCompound=1,1,(1+IF(VariableRate=1,G$1057,DiscMonth))^G$1059),1/((1+IF(VariableRate=1,G$1057,DiscMonth))^G$1059))</f>
        <v>0</v>
      </c>
      <c r="H1077" s="1279">
        <f t="shared" ref="H1077:M1077" ca="1" si="617">(H$668+H$669+H$674+H$319+H$321+H$330+H$332)*IF(IF(H$5=-99,OFFSET(H$5,0,-1),H$5)&lt;=CalcPoint,IF(DontCompound=1,1,(1+IF(VariableRate=1,H$1057,DiscMonth))^IF(MYDisc,H$1061,H$1059)),1/((1+IF(VariableRate=1,H$1057,DiscMonth))^IF(MYDisc,H$1061,H$1059)))</f>
        <v>-15350205.83163882</v>
      </c>
      <c r="I1077" s="1279">
        <f t="shared" ca="1" si="617"/>
        <v>15759665.651577344</v>
      </c>
      <c r="J1077" s="1279">
        <f t="shared" ca="1" si="617"/>
        <v>5646026.3133035228</v>
      </c>
      <c r="K1077" s="1279">
        <f t="shared" ca="1" si="617"/>
        <v>7717126.1961859623</v>
      </c>
      <c r="L1077" s="1279">
        <f t="shared" ca="1" si="617"/>
        <v>10183926.664643852</v>
      </c>
      <c r="M1077" s="1279">
        <f t="shared" ca="1" si="617"/>
        <v>13099921.988282897</v>
      </c>
      <c r="N1077" s="1279"/>
      <c r="O1077" s="1270"/>
      <c r="P1077" s="1268" t="s">
        <v>40</v>
      </c>
      <c r="Q1077" s="1271"/>
    </row>
    <row r="1078" spans="1:17" ht="11.25" hidden="1" customHeight="1" x14ac:dyDescent="0.35">
      <c r="A1078" s="1267"/>
      <c r="B1078" s="1268"/>
      <c r="C1078" s="1268" t="s">
        <v>1298</v>
      </c>
      <c r="D1078" s="1268"/>
      <c r="E1078" s="1268" t="s">
        <v>1299</v>
      </c>
      <c r="F1078" s="1272"/>
      <c r="G1078" s="1279">
        <f>IF(OR(AND(G$5=0,NoZeroCol=1),AND(G$5=-99,NoResCol=1)),0,IF(CalcPoint=0,G$1076,G$1077))</f>
        <v>0</v>
      </c>
      <c r="H1078" s="1279">
        <f t="shared" ref="H1078:M1078" ca="1" si="618">IF(OR(AND(H$5=0,NoZeroCol=1),AND(H$5=-99,NoResCol=1)),0,IF(CalcPoint=0,H$1076,H$1077))</f>
        <v>-15350205.83163882</v>
      </c>
      <c r="I1078" s="1279">
        <f t="shared" ca="1" si="618"/>
        <v>15759665.651577344</v>
      </c>
      <c r="J1078" s="1279">
        <f t="shared" ca="1" si="618"/>
        <v>5646026.3133035228</v>
      </c>
      <c r="K1078" s="1279">
        <f t="shared" ca="1" si="618"/>
        <v>7717126.1961859614</v>
      </c>
      <c r="L1078" s="1279">
        <f t="shared" ca="1" si="618"/>
        <v>10183926.664643852</v>
      </c>
      <c r="M1078" s="1279">
        <f t="shared" ca="1" si="618"/>
        <v>13099921.988282897</v>
      </c>
      <c r="N1078" s="1279"/>
      <c r="O1078" s="1270"/>
      <c r="P1078" s="1268" t="s">
        <v>40</v>
      </c>
      <c r="Q1078" s="1271"/>
    </row>
    <row r="1079" spans="1:17" ht="11.25" hidden="1" customHeight="1" x14ac:dyDescent="0.35">
      <c r="A1079" s="1267"/>
      <c r="B1079" s="1268"/>
      <c r="C1079" s="1268" t="s">
        <v>1300</v>
      </c>
      <c r="D1079" s="1268"/>
      <c r="E1079" s="1268" t="s">
        <v>1301</v>
      </c>
      <c r="F1079" s="1272"/>
      <c r="G1079" s="1279">
        <f>IF(NoZeroCol=1,0,IF(G$1=FinMonth,G$492,0))</f>
        <v>0</v>
      </c>
      <c r="H1079" s="1279">
        <f ca="1">IF(OR(H$1=FinMonth,H$16=LastPeriod),SUM($G$492:H$492)-SUM($G1079:OFFSET(H1079,0,-1)),0)</f>
        <v>0</v>
      </c>
      <c r="I1079" s="1279">
        <f ca="1">IF(OR(I$1=FinMonth,I$16=LastPeriod),SUM($G$492:I$492)-SUM($G1079:OFFSET(I1079,0,-1)),0)</f>
        <v>0</v>
      </c>
      <c r="J1079" s="1279">
        <f ca="1">IF(OR(J$1=FinMonth,J$16=LastPeriod),SUM($G$492:J$492)-SUM($G1079:OFFSET(J1079,0,-1)),0)</f>
        <v>0</v>
      </c>
      <c r="K1079" s="1279">
        <f ca="1">IF(OR(K$1=FinMonth,K$16=LastPeriod),SUM($G$492:K$492)-SUM($G1079:OFFSET(K1079,0,-1)),0)</f>
        <v>0</v>
      </c>
      <c r="L1079" s="1279">
        <f ca="1">IF(OR(L$1=FinMonth,L$16=LastPeriod),SUM($G$492:L$492)-SUM($G1079:OFFSET(L1079,0,-1)),0)</f>
        <v>0</v>
      </c>
      <c r="M1079" s="1279">
        <f ca="1">IF(OR(M$1=FinMonth,M$16=LastPeriod),SUM($G$492:M$492)-SUM($G1079:OFFSET(M1079,0,-1)),0)</f>
        <v>0</v>
      </c>
      <c r="N1079" s="1279">
        <f ca="1">IF(NoResCol=1,0,N$492)</f>
        <v>0</v>
      </c>
      <c r="O1079" s="1270"/>
      <c r="P1079" s="1268" t="s">
        <v>40</v>
      </c>
      <c r="Q1079" s="1271"/>
    </row>
    <row r="1080" spans="1:17" ht="11.25" hidden="1" customHeight="1" x14ac:dyDescent="0.35">
      <c r="A1080" s="1267"/>
      <c r="B1080" s="1268"/>
      <c r="C1080" s="1268" t="s">
        <v>1302</v>
      </c>
      <c r="D1080" s="1268"/>
      <c r="E1080" s="1268" t="s">
        <v>1303</v>
      </c>
      <c r="F1080" s="1272"/>
      <c r="G1080" s="1279">
        <f>IF(NoZeroCol=1,0,IF(G$1=FinMonth,G$432,0))</f>
        <v>0</v>
      </c>
      <c r="H1080" s="1279">
        <f ca="1">IF(OR(H$1=FinMonth,H$16=LastPeriod),SUM($G$432:H$432)-SUM($G1080:OFFSET(H1080,0,-1)),0)</f>
        <v>0</v>
      </c>
      <c r="I1080" s="1279">
        <f ca="1">IF(OR(I$1=FinMonth,I$16=LastPeriod),SUM($G$432:I$432)-SUM($G1080:OFFSET(I1080,0,-1)),0)</f>
        <v>0</v>
      </c>
      <c r="J1080" s="1279">
        <f ca="1">IF(OR(J$1=FinMonth,J$16=LastPeriod),SUM($G$432:J$432)-SUM($G1080:OFFSET(J1080,0,-1)),0)</f>
        <v>0</v>
      </c>
      <c r="K1080" s="1279">
        <f ca="1">IF(OR(K$1=FinMonth,K$16=LastPeriod),SUM($G$432:K$432)-SUM($G1080:OFFSET(K1080,0,-1)),0)</f>
        <v>0</v>
      </c>
      <c r="L1080" s="1279">
        <f ca="1">IF(OR(L$1=FinMonth,L$16=LastPeriod),SUM($G$432:L$432)-SUM($G1080:OFFSET(L1080,0,-1)),0)</f>
        <v>0</v>
      </c>
      <c r="M1080" s="1279">
        <f ca="1">IF(OR(M$1=FinMonth,M$16=LastPeriod),SUM($G$432:M$432)-SUM($G1080:OFFSET(M1080,0,-1)),0)</f>
        <v>0</v>
      </c>
      <c r="N1080" s="1279">
        <f>IF(NoResCol=1,0,N$432)</f>
        <v>0</v>
      </c>
      <c r="O1080" s="1270"/>
      <c r="P1080" s="1268" t="s">
        <v>40</v>
      </c>
      <c r="Q1080" s="1271"/>
    </row>
    <row r="1081" spans="1:17" ht="11.25" hidden="1" customHeight="1" x14ac:dyDescent="0.35">
      <c r="A1081" s="1267"/>
      <c r="B1081" s="1268"/>
      <c r="C1081" s="1268" t="s">
        <v>1304</v>
      </c>
      <c r="D1081" s="1268"/>
      <c r="E1081" s="1268" t="s">
        <v>1305</v>
      </c>
      <c r="F1081" s="1272"/>
      <c r="G1081" s="1279">
        <f ca="1">IF(NoZeroCol=1,0,IF(G$1=FinMonth,G$499+G$500-OFFSET($E$482,0,G$8)-IF(GoodwillDepreciationTax=0,G$487,0),0))</f>
        <v>0</v>
      </c>
      <c r="H1081" s="1279">
        <f ca="1">IF(OR(H$1=FinMonth,H$16=LastPeriod),(SUM($G$499:H$499)+SUM($G$500:H$500)-SUM(OFFSET($E$482,0,$G$8):OFFSET($E$482,0,H$8))-IF(GoodwillDepreciationTax=0,SUM($G$487:H$487),0))-SUM($G1081:OFFSET(H1081,0,-1)),0)</f>
        <v>1012140.6741645717</v>
      </c>
      <c r="I1081" s="1279">
        <f ca="1">IF(OR(I$1=FinMonth,I$16=LastPeriod),(SUM($G$499:I$499)+SUM($G$500:I$500)-SUM(OFFSET($E$482,0,$G$8):OFFSET($E$482,0,I$8))-IF(GoodwillDepreciationTax=0,SUM($G$487:I$487),0))-SUM($G1081:OFFSET(I1081,0,-1)),0)</f>
        <v>5630479.8154318482</v>
      </c>
      <c r="J1081" s="1279">
        <f ca="1">IF(OR(J$1=FinMonth,J$16=LastPeriod),(SUM($G$499:J$499)+SUM($G$500:J$500)-SUM(OFFSET($E$482,0,$G$8):OFFSET($E$482,0,J$8))-IF(GoodwillDepreciationTax=0,SUM($G$487:J$487),0))-SUM($G1081:OFFSET(J1081,0,-1)),0)</f>
        <v>8829722.1489040032</v>
      </c>
      <c r="K1081" s="1279">
        <f ca="1">IF(OR(K$1=FinMonth,K$16=LastPeriod),(SUM($G$499:K$499)+SUM($G$500:K$500)-SUM(OFFSET($E$482,0,$G$8):OFFSET($E$482,0,K$8))-IF(GoodwillDepreciationTax=0,SUM($G$487:K$487),0))-SUM($G1081:OFFSET(K1081,0,-1)),0)</f>
        <v>12747985.413657404</v>
      </c>
      <c r="L1081" s="1279">
        <f ca="1">IF(OR(L$1=FinMonth,L$16=LastPeriod),(SUM($G$499:L$499)+SUM($G$500:L$500)-SUM(OFFSET($E$482,0,$G$8):OFFSET($E$482,0,L$8))-IF(GoodwillDepreciationTax=0,SUM($G$487:L$487),0))-SUM($G1081:OFFSET(L1081,0,-1)),0)</f>
        <v>17451485.842667818</v>
      </c>
      <c r="M1081" s="1279">
        <f ca="1">IF(OR(M$1=FinMonth,M$16=LastPeriod),(SUM($G$499:M$499)+SUM($G$500:M$500)-SUM(OFFSET($E$482,0,$G$8):OFFSET($E$482,0,M$8))-IF(GoodwillDepreciationTax=0,SUM($G$487:M$487),0))-SUM($G1081:OFFSET(M1081,0,-1)),0)</f>
        <v>23207651.06547121</v>
      </c>
      <c r="N1081" s="1279">
        <f ca="1">IF(NoResCol=1,0,N$499+N$500-OFFSET($E$482,0,N$8)-IF(GoodwillDepreciationTax=0,N$487,0))</f>
        <v>-3201919.43359375</v>
      </c>
      <c r="O1081" s="1270"/>
      <c r="P1081" s="1268" t="s">
        <v>40</v>
      </c>
      <c r="Q1081" s="1271"/>
    </row>
    <row r="1082" spans="1:17" ht="11.25" hidden="1" customHeight="1" x14ac:dyDescent="0.35">
      <c r="A1082" s="1267"/>
      <c r="B1082" s="1268"/>
      <c r="C1082" s="1268" t="s">
        <v>1306</v>
      </c>
      <c r="D1082" s="1268"/>
      <c r="E1082" s="1268" t="s">
        <v>1307</v>
      </c>
      <c r="F1082" s="1272"/>
      <c r="G1082" s="1279">
        <f>IF(NoZeroCol=1,0,IF(G$1=FinMonth,G$520+G$521-IF(GoodwillDepreciationTax=0,G$425,0),0))</f>
        <v>0</v>
      </c>
      <c r="H1082" s="1279">
        <f ca="1">IF(OR(H$1=FinMonth,H$16=LastPeriod),(SUM($G$520:H$520)+SUM($G$521:H$521)-IF(GoodwillDepreciationTax=0,SUM($G$425:H$425),0))-SUM($G1082:OFFSET(H1082,0,-1)),0)</f>
        <v>0</v>
      </c>
      <c r="I1082" s="1279">
        <f ca="1">IF(OR(I$1=FinMonth,I$16=LastPeriod),(SUM($G$520:I$520)+SUM($G$521:I$521)-IF(GoodwillDepreciationTax=0,SUM($G$425:I$425),0))-SUM($G1082:OFFSET(I1082,0,-1)),0)</f>
        <v>0</v>
      </c>
      <c r="J1082" s="1279">
        <f ca="1">IF(OR(J$1=FinMonth,J$16=LastPeriod),(SUM($G$520:J$520)+SUM($G$521:J$521)-IF(GoodwillDepreciationTax=0,SUM($G$425:J$425),0))-SUM($G1082:OFFSET(J1082,0,-1)),0)</f>
        <v>0</v>
      </c>
      <c r="K1082" s="1279">
        <f ca="1">IF(OR(K$1=FinMonth,K$16=LastPeriod),(SUM($G$520:K$520)+SUM($G$521:K$521)-IF(GoodwillDepreciationTax=0,SUM($G$425:K$425),0))-SUM($G1082:OFFSET(K1082,0,-1)),0)</f>
        <v>0</v>
      </c>
      <c r="L1082" s="1279">
        <f ca="1">IF(OR(L$1=FinMonth,L$16=LastPeriod),(SUM($G$520:L$520)+SUM($G$521:L$521)-IF(GoodwillDepreciationTax=0,SUM($G$425:L$425),0))-SUM($G1082:OFFSET(L1082,0,-1)),0)</f>
        <v>0</v>
      </c>
      <c r="M1082" s="1279">
        <f ca="1">IF(OR(M$1=FinMonth,M$16=LastPeriod),(SUM($G$520:M$520)+SUM($G$521:M$521)-IF(GoodwillDepreciationTax=0,SUM($G$425:M$425),0))-SUM($G1082:OFFSET(M1082,0,-1)),0)</f>
        <v>0</v>
      </c>
      <c r="N1082" s="1279">
        <f>IF(NoResCol=1,0,N$520+N$521-IF(GoodwillDepreciationTax=0,N$425,0))</f>
        <v>0</v>
      </c>
      <c r="O1082" s="1270"/>
      <c r="P1082" s="1268" t="s">
        <v>40</v>
      </c>
      <c r="Q1082" s="1271"/>
    </row>
    <row r="1083" spans="1:17" ht="11.25" hidden="1" customHeight="1" x14ac:dyDescent="0.35">
      <c r="A1083" s="1267"/>
      <c r="B1083" s="1268"/>
      <c r="C1083" s="1268" t="s">
        <v>1308</v>
      </c>
      <c r="D1083" s="1268"/>
      <c r="E1083" s="1268" t="s">
        <v>1309</v>
      </c>
      <c r="F1083" s="1279"/>
      <c r="G1083" s="1279">
        <f ca="1">MIN(G$1081*-G$4,IF(InclPosTax=1,999999999999999,0))</f>
        <v>0</v>
      </c>
      <c r="H1083" s="1279">
        <f t="shared" ref="H1083:N1083" ca="1" si="619">MIN(H$1081*-H$4,IF(InclPosTax=1,999999999999999,0))</f>
        <v>-283399.38876608008</v>
      </c>
      <c r="I1083" s="1279">
        <f t="shared" ca="1" si="619"/>
        <v>-1576534.3483209177</v>
      </c>
      <c r="J1083" s="1279">
        <f t="shared" ca="1" si="619"/>
        <v>-2472322.2016931213</v>
      </c>
      <c r="K1083" s="1279">
        <f t="shared" ca="1" si="619"/>
        <v>-3569435.9158240734</v>
      </c>
      <c r="L1083" s="1279">
        <f t="shared" ca="1" si="619"/>
        <v>-4886416.0359469894</v>
      </c>
      <c r="M1083" s="1279">
        <f t="shared" ca="1" si="619"/>
        <v>-6498142.2983319396</v>
      </c>
      <c r="N1083" s="1279">
        <f t="shared" ca="1" si="619"/>
        <v>0</v>
      </c>
      <c r="O1083" s="1270"/>
      <c r="P1083" s="1268" t="s">
        <v>40</v>
      </c>
      <c r="Q1083" s="1271"/>
    </row>
    <row r="1084" spans="1:17" ht="11.25" hidden="1" customHeight="1" x14ac:dyDescent="0.35">
      <c r="A1084" s="1267"/>
      <c r="B1084" s="1268"/>
      <c r="C1084" s="1268" t="s">
        <v>1310</v>
      </c>
      <c r="D1084" s="1268"/>
      <c r="E1084" s="1268" t="s">
        <v>1311</v>
      </c>
      <c r="F1084" s="1279"/>
      <c r="G1084" s="1279">
        <f ca="1">G$1083+MIN(G$1082*-TaxRateM,IF(InclPosTax=1,999999999999999,0))</f>
        <v>0</v>
      </c>
      <c r="H1084" s="1279">
        <f t="shared" ref="H1084:N1084" ca="1" si="620">H$1083+MIN(H$1082*-TaxRateM,IF(InclPosTax=1,999999999999999,0))</f>
        <v>-283399.38876608008</v>
      </c>
      <c r="I1084" s="1279">
        <f t="shared" ca="1" si="620"/>
        <v>-1576534.3483209177</v>
      </c>
      <c r="J1084" s="1279">
        <f t="shared" ca="1" si="620"/>
        <v>-2472322.2016931213</v>
      </c>
      <c r="K1084" s="1279">
        <f t="shared" ca="1" si="620"/>
        <v>-3569435.9158240734</v>
      </c>
      <c r="L1084" s="1279">
        <f t="shared" ca="1" si="620"/>
        <v>-4886416.0359469894</v>
      </c>
      <c r="M1084" s="1279">
        <f t="shared" ca="1" si="620"/>
        <v>-6498142.2983319396</v>
      </c>
      <c r="N1084" s="1279">
        <f t="shared" ca="1" si="620"/>
        <v>0</v>
      </c>
      <c r="O1084" s="1270"/>
      <c r="P1084" s="1268" t="s">
        <v>40</v>
      </c>
      <c r="Q1084" s="1271"/>
    </row>
    <row r="1085" spans="1:17" ht="11.25" hidden="1" customHeight="1" x14ac:dyDescent="0.35">
      <c r="A1085" s="1267"/>
      <c r="B1085" s="1268"/>
      <c r="C1085" s="1268" t="s">
        <v>1312</v>
      </c>
      <c r="D1085" s="1268"/>
      <c r="E1085" s="1268" t="s">
        <v>1313</v>
      </c>
      <c r="F1085" s="1279"/>
      <c r="G1085" s="1279">
        <f ca="1">MIN((G$1081-IF(InclFinTax=0,G$1079,0))*-G$4,IF(InclPosTax=0,0,999999999))</f>
        <v>0</v>
      </c>
      <c r="H1085" s="1279">
        <f t="shared" ref="H1085:N1085" ca="1" si="621">MIN((H$1081-IF(InclFinTax=0,H$1079,0))*-H$4,IF(InclPosTax=0,0,999999999))</f>
        <v>-283399.38876608008</v>
      </c>
      <c r="I1085" s="1279">
        <f t="shared" ca="1" si="621"/>
        <v>-1576534.3483209177</v>
      </c>
      <c r="J1085" s="1279">
        <f t="shared" ca="1" si="621"/>
        <v>-2472322.2016931213</v>
      </c>
      <c r="K1085" s="1279">
        <f t="shared" ca="1" si="621"/>
        <v>-3569435.9158240734</v>
      </c>
      <c r="L1085" s="1279">
        <f t="shared" ca="1" si="621"/>
        <v>-4886416.0359469894</v>
      </c>
      <c r="M1085" s="1279">
        <f t="shared" ca="1" si="621"/>
        <v>-6498142.2983319396</v>
      </c>
      <c r="N1085" s="1279">
        <f t="shared" ca="1" si="621"/>
        <v>0</v>
      </c>
      <c r="O1085" s="1270"/>
      <c r="P1085" s="1268" t="s">
        <v>40</v>
      </c>
      <c r="Q1085" s="1271"/>
    </row>
    <row r="1086" spans="1:17" ht="11.25" hidden="1" customHeight="1" x14ac:dyDescent="0.35">
      <c r="A1086" s="1267"/>
      <c r="B1086" s="1268"/>
      <c r="C1086" s="1268" t="s">
        <v>1314</v>
      </c>
      <c r="D1086" s="1268"/>
      <c r="E1086" s="1268" t="s">
        <v>1315</v>
      </c>
      <c r="F1086" s="1279"/>
      <c r="G1086" s="1279">
        <f ca="1">MIN((G$1082-IF(InclFinTax=0,G$1080,0))*-TaxRateM,IF(InclPosTax=0,0,999999999))</f>
        <v>0</v>
      </c>
      <c r="H1086" s="1279">
        <f t="shared" ref="H1086:N1086" ca="1" si="622">MIN((H$1082-IF(InclFinTax=0,H$1080,0))*-TaxRateM,IF(InclPosTax=0,0,999999999))</f>
        <v>0</v>
      </c>
      <c r="I1086" s="1279">
        <f t="shared" ca="1" si="622"/>
        <v>0</v>
      </c>
      <c r="J1086" s="1279">
        <f t="shared" ca="1" si="622"/>
        <v>0</v>
      </c>
      <c r="K1086" s="1279">
        <f t="shared" ca="1" si="622"/>
        <v>0</v>
      </c>
      <c r="L1086" s="1279">
        <f t="shared" ca="1" si="622"/>
        <v>0</v>
      </c>
      <c r="M1086" s="1279">
        <f t="shared" ca="1" si="622"/>
        <v>0</v>
      </c>
      <c r="N1086" s="1279">
        <f t="shared" ca="1" si="622"/>
        <v>0</v>
      </c>
      <c r="O1086" s="1270"/>
      <c r="P1086" s="1268" t="s">
        <v>40</v>
      </c>
      <c r="Q1086" s="1271"/>
    </row>
    <row r="1087" spans="1:17" ht="11.25" hidden="1" customHeight="1" x14ac:dyDescent="0.35">
      <c r="A1087" s="1267"/>
      <c r="B1087" s="1268"/>
      <c r="C1087" s="1268" t="s">
        <v>793</v>
      </c>
      <c r="D1087" s="1268"/>
      <c r="E1087" s="1268" t="s">
        <v>1316</v>
      </c>
      <c r="F1087" s="1279"/>
      <c r="G1087" s="1279">
        <f ca="1">G$1089+G$1090</f>
        <v>0</v>
      </c>
      <c r="H1087" s="1279">
        <f t="shared" ref="H1087:N1087" ca="1" si="623">H$1089+H$1090</f>
        <v>0</v>
      </c>
      <c r="I1087" s="1279">
        <f t="shared" ca="1" si="623"/>
        <v>0</v>
      </c>
      <c r="J1087" s="1279">
        <f t="shared" ca="1" si="623"/>
        <v>0</v>
      </c>
      <c r="K1087" s="1279">
        <f t="shared" ca="1" si="623"/>
        <v>0</v>
      </c>
      <c r="L1087" s="1279">
        <f t="shared" ca="1" si="623"/>
        <v>0</v>
      </c>
      <c r="M1087" s="1279">
        <f t="shared" ca="1" si="623"/>
        <v>0</v>
      </c>
      <c r="N1087" s="1279">
        <f t="shared" ca="1" si="623"/>
        <v>0</v>
      </c>
      <c r="O1087" s="1270"/>
      <c r="P1087" s="1268" t="s">
        <v>40</v>
      </c>
      <c r="Q1087" s="1271"/>
    </row>
    <row r="1088" spans="1:17" ht="11.25" hidden="1" customHeight="1" x14ac:dyDescent="0.35">
      <c r="A1088" s="1267"/>
      <c r="B1088" s="1268"/>
      <c r="C1088" s="1268" t="s">
        <v>1317</v>
      </c>
      <c r="D1088" s="1268"/>
      <c r="E1088" s="1268" t="s">
        <v>1318</v>
      </c>
      <c r="F1088" s="1279"/>
      <c r="G1088" s="1279">
        <f t="shared" ref="G1088:N1088" ca="1" si="624">IF(AcqMotherTaxInUse=1,AcqMotherTax/100,G$4)</f>
        <v>0.28000000000000003</v>
      </c>
      <c r="H1088" s="1279">
        <f t="shared" ca="1" si="624"/>
        <v>0.28000000000000003</v>
      </c>
      <c r="I1088" s="1279">
        <f t="shared" ca="1" si="624"/>
        <v>0.28000000000000003</v>
      </c>
      <c r="J1088" s="1279">
        <f t="shared" ca="1" si="624"/>
        <v>0.28000000000000003</v>
      </c>
      <c r="K1088" s="1279">
        <f t="shared" ca="1" si="624"/>
        <v>0.28000000000000003</v>
      </c>
      <c r="L1088" s="1279">
        <f t="shared" ca="1" si="624"/>
        <v>0.28000000000000003</v>
      </c>
      <c r="M1088" s="1279">
        <f t="shared" ca="1" si="624"/>
        <v>0.28000000000000003</v>
      </c>
      <c r="N1088" s="1279">
        <f t="shared" ca="1" si="624"/>
        <v>0.28000000000000003</v>
      </c>
      <c r="O1088" s="1270"/>
      <c r="P1088" s="1268" t="s">
        <v>40</v>
      </c>
      <c r="Q1088" s="1271"/>
    </row>
    <row r="1089" spans="1:17" ht="11.25" hidden="1" customHeight="1" x14ac:dyDescent="0.35">
      <c r="A1089" s="1267"/>
      <c r="B1089" s="1268"/>
      <c r="C1089" s="1268" t="s">
        <v>1319</v>
      </c>
      <c r="D1089" s="1268"/>
      <c r="E1089" s="1268" t="s">
        <v>1320</v>
      </c>
      <c r="F1089" s="1279"/>
      <c r="G1089" s="1279">
        <f t="shared" ref="G1089:N1089" ca="1" si="625">OFFSET($E$503,0,G$8)-OFFSET($E$663,0,G$8)</f>
        <v>0</v>
      </c>
      <c r="H1089" s="1279">
        <f t="shared" ca="1" si="625"/>
        <v>0</v>
      </c>
      <c r="I1089" s="1279">
        <f t="shared" ca="1" si="625"/>
        <v>0</v>
      </c>
      <c r="J1089" s="1279">
        <f t="shared" ca="1" si="625"/>
        <v>0</v>
      </c>
      <c r="K1089" s="1279">
        <f t="shared" ca="1" si="625"/>
        <v>0</v>
      </c>
      <c r="L1089" s="1279">
        <f t="shared" ca="1" si="625"/>
        <v>0</v>
      </c>
      <c r="M1089" s="1279">
        <f t="shared" ca="1" si="625"/>
        <v>0</v>
      </c>
      <c r="N1089" s="1279">
        <f t="shared" ca="1" si="625"/>
        <v>0</v>
      </c>
      <c r="O1089" s="1270"/>
      <c r="P1089" s="1268" t="s">
        <v>40</v>
      </c>
      <c r="Q1089" s="1271"/>
    </row>
    <row r="1090" spans="1:17" ht="11.25" hidden="1" customHeight="1" x14ac:dyDescent="0.35">
      <c r="A1090" s="1267"/>
      <c r="B1090" s="1268"/>
      <c r="C1090" s="1268" t="s">
        <v>1321</v>
      </c>
      <c r="D1090" s="1268"/>
      <c r="E1090" s="1268" t="s">
        <v>1322</v>
      </c>
      <c r="F1090" s="1279"/>
      <c r="G1090" s="1279">
        <f t="shared" ref="G1090:N1090" ca="1" si="626">IF(AutoManualTax=0,OFFSET($E$522,0,G$8)-OFFSET($E$503,0,G$8)-OFFSET($E$674,0,G$8),0)</f>
        <v>0</v>
      </c>
      <c r="H1090" s="1279">
        <f t="shared" ca="1" si="626"/>
        <v>0</v>
      </c>
      <c r="I1090" s="1279">
        <f t="shared" ca="1" si="626"/>
        <v>0</v>
      </c>
      <c r="J1090" s="1279">
        <f t="shared" ca="1" si="626"/>
        <v>0</v>
      </c>
      <c r="K1090" s="1279">
        <f t="shared" ca="1" si="626"/>
        <v>0</v>
      </c>
      <c r="L1090" s="1279">
        <f t="shared" ca="1" si="626"/>
        <v>0</v>
      </c>
      <c r="M1090" s="1279">
        <f t="shared" ca="1" si="626"/>
        <v>0</v>
      </c>
      <c r="N1090" s="1279">
        <f t="shared" ca="1" si="626"/>
        <v>0</v>
      </c>
      <c r="O1090" s="1270"/>
      <c r="P1090" s="1268" t="s">
        <v>40</v>
      </c>
      <c r="Q1090" s="1271"/>
    </row>
    <row r="1091" spans="1:17" ht="11.25" hidden="1" customHeight="1" x14ac:dyDescent="0.35">
      <c r="A1091" s="1267"/>
      <c r="B1091" s="1268"/>
      <c r="C1091" s="1268"/>
      <c r="D1091" s="1268"/>
      <c r="E1091" s="1268" t="s">
        <v>1323</v>
      </c>
      <c r="F1091" s="1279"/>
      <c r="G1091" s="1279"/>
      <c r="H1091" s="1279"/>
      <c r="I1091" s="1279"/>
      <c r="J1091" s="1279"/>
      <c r="K1091" s="1279"/>
      <c r="L1091" s="1279"/>
      <c r="M1091" s="1279"/>
      <c r="N1091" s="1279"/>
      <c r="O1091" s="1270"/>
      <c r="P1091" s="1268" t="s">
        <v>40</v>
      </c>
      <c r="Q1091" s="1271"/>
    </row>
    <row r="1092" spans="1:17" ht="11.25" hidden="1" customHeight="1" x14ac:dyDescent="0.35">
      <c r="A1092" s="1267"/>
      <c r="B1092" s="1268"/>
      <c r="C1092" s="1268"/>
      <c r="D1092" s="1268"/>
      <c r="E1092" s="1268" t="s">
        <v>1324</v>
      </c>
      <c r="F1092" s="1279"/>
      <c r="G1092" s="1279"/>
      <c r="H1092" s="1279"/>
      <c r="I1092" s="1279"/>
      <c r="J1092" s="1279"/>
      <c r="K1092" s="1279"/>
      <c r="L1092" s="1279"/>
      <c r="M1092" s="1279"/>
      <c r="N1092" s="1279"/>
      <c r="O1092" s="1270"/>
      <c r="P1092" s="1268" t="s">
        <v>40</v>
      </c>
      <c r="Q1092" s="1271"/>
    </row>
    <row r="1093" spans="1:17" ht="11.25" hidden="1" customHeight="1" x14ac:dyDescent="0.35">
      <c r="A1093" s="1267"/>
      <c r="B1093" s="1268"/>
      <c r="C1093" s="1268"/>
      <c r="D1093" s="1268"/>
      <c r="E1093" s="1268" t="s">
        <v>1325</v>
      </c>
      <c r="F1093" s="1279"/>
      <c r="G1093" s="1279"/>
      <c r="H1093" s="1412">
        <v>0</v>
      </c>
      <c r="I1093" s="1412">
        <v>0</v>
      </c>
      <c r="J1093" s="1412">
        <v>0</v>
      </c>
      <c r="K1093" s="1412">
        <v>0</v>
      </c>
      <c r="L1093" s="1412">
        <v>0</v>
      </c>
      <c r="M1093" s="1412">
        <v>0</v>
      </c>
      <c r="N1093" s="1279"/>
      <c r="O1093" s="1270"/>
      <c r="P1093" s="1268" t="s">
        <v>40</v>
      </c>
      <c r="Q1093" s="1271"/>
    </row>
    <row r="1094" spans="1:17" ht="11.25" hidden="1" customHeight="1" x14ac:dyDescent="0.35">
      <c r="A1094" s="1267"/>
      <c r="B1094" s="1268"/>
      <c r="C1094" s="1268"/>
      <c r="D1094" s="1268"/>
      <c r="E1094" s="1268" t="s">
        <v>1326</v>
      </c>
      <c r="F1094" s="1279"/>
      <c r="G1094" s="1279"/>
      <c r="H1094" s="1412">
        <v>0</v>
      </c>
      <c r="I1094" s="1412">
        <v>0</v>
      </c>
      <c r="J1094" s="1412">
        <v>0</v>
      </c>
      <c r="K1094" s="1412">
        <v>0</v>
      </c>
      <c r="L1094" s="1412">
        <v>0</v>
      </c>
      <c r="M1094" s="1412">
        <v>0</v>
      </c>
      <c r="N1094" s="1279"/>
      <c r="O1094" s="1270"/>
      <c r="P1094" s="1268" t="s">
        <v>40</v>
      </c>
      <c r="Q1094" s="1271"/>
    </row>
    <row r="1095" spans="1:17" ht="11.25" hidden="1" customHeight="1" x14ac:dyDescent="0.35">
      <c r="A1095" s="1267"/>
      <c r="B1095" s="1268"/>
      <c r="C1095" s="1268"/>
      <c r="D1095" s="1268"/>
      <c r="E1095" s="1268" t="s">
        <v>1327</v>
      </c>
      <c r="F1095" s="1279"/>
      <c r="G1095" s="1279"/>
      <c r="H1095" s="1412">
        <v>0</v>
      </c>
      <c r="I1095" s="1412">
        <v>0</v>
      </c>
      <c r="J1095" s="1412">
        <v>0</v>
      </c>
      <c r="K1095" s="1412">
        <v>0</v>
      </c>
      <c r="L1095" s="1412">
        <v>0</v>
      </c>
      <c r="M1095" s="1412">
        <v>0</v>
      </c>
      <c r="N1095" s="1279"/>
      <c r="O1095" s="1270"/>
      <c r="P1095" s="1268" t="s">
        <v>40</v>
      </c>
      <c r="Q1095" s="1271"/>
    </row>
    <row r="1096" spans="1:17" ht="11.25" hidden="1" customHeight="1" x14ac:dyDescent="0.35">
      <c r="A1096" s="1267"/>
      <c r="B1096" s="1268"/>
      <c r="C1096" s="1268"/>
      <c r="D1096" s="1268"/>
      <c r="E1096" s="1268" t="s">
        <v>1328</v>
      </c>
      <c r="F1096" s="1279"/>
      <c r="G1096" s="1279"/>
      <c r="H1096" s="1279"/>
      <c r="I1096" s="1279"/>
      <c r="J1096" s="1279"/>
      <c r="K1096" s="1279"/>
      <c r="L1096" s="1279"/>
      <c r="M1096" s="1279"/>
      <c r="N1096" s="1279"/>
      <c r="O1096" s="1270"/>
      <c r="P1096" s="1268" t="s">
        <v>40</v>
      </c>
      <c r="Q1096" s="1271"/>
    </row>
    <row r="1097" spans="1:17" ht="11.25" hidden="1" customHeight="1" x14ac:dyDescent="0.35">
      <c r="A1097" s="1267"/>
      <c r="B1097" s="1268"/>
      <c r="C1097" s="1268"/>
      <c r="D1097" s="1268"/>
      <c r="E1097" s="1268" t="s">
        <v>1329</v>
      </c>
      <c r="F1097" s="1279"/>
      <c r="G1097" s="1279"/>
      <c r="H1097" s="1279"/>
      <c r="I1097" s="1279"/>
      <c r="J1097" s="1279"/>
      <c r="K1097" s="1279"/>
      <c r="L1097" s="1279"/>
      <c r="M1097" s="1279"/>
      <c r="N1097" s="1279"/>
      <c r="O1097" s="1270"/>
      <c r="P1097" s="1268" t="s">
        <v>40</v>
      </c>
      <c r="Q1097" s="1271"/>
    </row>
    <row r="1098" spans="1:17" ht="11.25" hidden="1" customHeight="1" x14ac:dyDescent="0.35">
      <c r="A1098" s="1267"/>
      <c r="B1098" s="1268"/>
      <c r="C1098" s="1268"/>
      <c r="D1098" s="1268"/>
      <c r="E1098" s="1268" t="s">
        <v>1330</v>
      </c>
      <c r="F1098" s="1279"/>
      <c r="G1098" s="1279"/>
      <c r="H1098" s="1412">
        <v>0</v>
      </c>
      <c r="I1098" s="1412">
        <v>0</v>
      </c>
      <c r="J1098" s="1412">
        <v>0</v>
      </c>
      <c r="K1098" s="1412">
        <v>0</v>
      </c>
      <c r="L1098" s="1412">
        <v>0</v>
      </c>
      <c r="M1098" s="1412">
        <v>0</v>
      </c>
      <c r="N1098" s="1279"/>
      <c r="O1098" s="1270"/>
      <c r="P1098" s="1268" t="s">
        <v>40</v>
      </c>
      <c r="Q1098" s="1271"/>
    </row>
    <row r="1099" spans="1:17" ht="11.25" hidden="1" customHeight="1" x14ac:dyDescent="0.35">
      <c r="A1099" s="1267"/>
      <c r="B1099" s="1268"/>
      <c r="C1099" s="1268"/>
      <c r="D1099" s="1268"/>
      <c r="E1099" s="1268" t="s">
        <v>1331</v>
      </c>
      <c r="F1099" s="1279"/>
      <c r="G1099" s="1279"/>
      <c r="H1099" s="1279"/>
      <c r="I1099" s="1279"/>
      <c r="J1099" s="1279"/>
      <c r="K1099" s="1279"/>
      <c r="L1099" s="1279"/>
      <c r="M1099" s="1279"/>
      <c r="N1099" s="1279"/>
      <c r="O1099" s="1270"/>
      <c r="P1099" s="1268" t="s">
        <v>40</v>
      </c>
      <c r="Q1099" s="1271"/>
    </row>
    <row r="1100" spans="1:17" ht="11.25" hidden="1" customHeight="1" x14ac:dyDescent="0.35">
      <c r="A1100" s="1267"/>
      <c r="B1100" s="1268"/>
      <c r="C1100" s="1268"/>
      <c r="D1100" s="1268"/>
      <c r="E1100" s="1268" t="s">
        <v>1332</v>
      </c>
      <c r="F1100" s="1279"/>
      <c r="G1100" s="1279"/>
      <c r="H1100" s="1279"/>
      <c r="I1100" s="1279"/>
      <c r="J1100" s="1279"/>
      <c r="K1100" s="1279"/>
      <c r="L1100" s="1279"/>
      <c r="M1100" s="1279"/>
      <c r="N1100" s="1279"/>
      <c r="O1100" s="1270"/>
      <c r="P1100" s="1268" t="s">
        <v>40</v>
      </c>
      <c r="Q1100" s="1271"/>
    </row>
    <row r="1101" spans="1:17" ht="11.25" hidden="1" customHeight="1" x14ac:dyDescent="0.35">
      <c r="A1101" s="1267"/>
      <c r="B1101" s="1268"/>
      <c r="C1101" s="1268"/>
      <c r="D1101" s="1268"/>
      <c r="E1101" s="1268" t="s">
        <v>1333</v>
      </c>
      <c r="F1101" s="1279"/>
      <c r="G1101" s="1279"/>
      <c r="H1101" s="1412">
        <v>0</v>
      </c>
      <c r="I1101" s="1412">
        <v>0</v>
      </c>
      <c r="J1101" s="1412">
        <v>0</v>
      </c>
      <c r="K1101" s="1412">
        <v>0</v>
      </c>
      <c r="L1101" s="1412">
        <v>0</v>
      </c>
      <c r="M1101" s="1412">
        <v>0</v>
      </c>
      <c r="N1101" s="1279"/>
      <c r="O1101" s="1270"/>
      <c r="P1101" s="1268" t="s">
        <v>40</v>
      </c>
      <c r="Q1101" s="1271"/>
    </row>
    <row r="1102" spans="1:17" ht="11.25" hidden="1" customHeight="1" x14ac:dyDescent="0.35">
      <c r="A1102" s="1267"/>
      <c r="B1102" s="1268"/>
      <c r="C1102" s="1268"/>
      <c r="D1102" s="1282" t="s">
        <v>1334</v>
      </c>
      <c r="E1102" s="1268" t="s">
        <v>1335</v>
      </c>
      <c r="F1102" s="1279"/>
      <c r="G1102" s="1279">
        <f t="shared" ref="G1102:N1102" si="627">G1128+G1130</f>
        <v>0</v>
      </c>
      <c r="H1102" s="1279">
        <f t="shared" si="627"/>
        <v>0</v>
      </c>
      <c r="I1102" s="1279">
        <f t="shared" si="627"/>
        <v>0</v>
      </c>
      <c r="J1102" s="1279">
        <f t="shared" si="627"/>
        <v>0</v>
      </c>
      <c r="K1102" s="1279">
        <f t="shared" si="627"/>
        <v>0</v>
      </c>
      <c r="L1102" s="1279">
        <f t="shared" si="627"/>
        <v>0</v>
      </c>
      <c r="M1102" s="1279">
        <f t="shared" si="627"/>
        <v>0</v>
      </c>
      <c r="N1102" s="1279">
        <f t="shared" si="627"/>
        <v>0</v>
      </c>
      <c r="O1102" s="1270"/>
      <c r="P1102" s="1268" t="s">
        <v>40</v>
      </c>
      <c r="Q1102" s="1271"/>
    </row>
    <row r="1103" spans="1:17" ht="11.25" hidden="1" customHeight="1" x14ac:dyDescent="0.35">
      <c r="A1103" s="1267"/>
      <c r="B1103" s="1268"/>
      <c r="C1103" s="1268"/>
      <c r="D1103" s="1268"/>
      <c r="E1103" s="1268" t="s">
        <v>1336</v>
      </c>
      <c r="F1103" s="1279"/>
      <c r="G1103" s="1279"/>
      <c r="H1103" s="1279"/>
      <c r="I1103" s="1279"/>
      <c r="J1103" s="1279"/>
      <c r="K1103" s="1279"/>
      <c r="L1103" s="1279"/>
      <c r="M1103" s="1279"/>
      <c r="N1103" s="1279"/>
      <c r="O1103" s="1270"/>
      <c r="P1103" s="1268" t="s">
        <v>40</v>
      </c>
      <c r="Q1103" s="1271"/>
    </row>
    <row r="1104" spans="1:17" ht="11.25" hidden="1" customHeight="1" x14ac:dyDescent="0.35">
      <c r="A1104" s="1267"/>
      <c r="B1104" s="1268"/>
      <c r="C1104" s="1268"/>
      <c r="D1104" s="1268"/>
      <c r="E1104" s="1268" t="s">
        <v>1337</v>
      </c>
      <c r="F1104" s="1279"/>
      <c r="G1104" s="1279"/>
      <c r="H1104" s="1412">
        <v>0</v>
      </c>
      <c r="I1104" s="1412">
        <v>0</v>
      </c>
      <c r="J1104" s="1412">
        <v>0</v>
      </c>
      <c r="K1104" s="1412">
        <v>0</v>
      </c>
      <c r="L1104" s="1412">
        <v>0</v>
      </c>
      <c r="M1104" s="1412">
        <v>0</v>
      </c>
      <c r="N1104" s="1279"/>
      <c r="O1104" s="1270"/>
      <c r="P1104" s="1268" t="s">
        <v>40</v>
      </c>
      <c r="Q1104" s="1271"/>
    </row>
    <row r="1105" spans="1:17" ht="11.25" hidden="1" customHeight="1" x14ac:dyDescent="0.35">
      <c r="A1105" s="1267"/>
      <c r="B1105" s="1268"/>
      <c r="C1105" s="1268"/>
      <c r="D1105" s="1268"/>
      <c r="E1105" s="1268" t="s">
        <v>1338</v>
      </c>
      <c r="F1105" s="1279"/>
      <c r="G1105" s="1279"/>
      <c r="H1105" s="1279"/>
      <c r="I1105" s="1279"/>
      <c r="J1105" s="1279"/>
      <c r="K1105" s="1279"/>
      <c r="L1105" s="1279"/>
      <c r="M1105" s="1279"/>
      <c r="N1105" s="1279"/>
      <c r="O1105" s="1270"/>
      <c r="P1105" s="1268" t="s">
        <v>40</v>
      </c>
      <c r="Q1105" s="1271"/>
    </row>
    <row r="1106" spans="1:17" ht="11.25" hidden="1" customHeight="1" x14ac:dyDescent="0.35">
      <c r="A1106" s="1267"/>
      <c r="B1106" s="1268"/>
      <c r="C1106" s="1268"/>
      <c r="D1106" s="1268"/>
      <c r="E1106" s="1268" t="s">
        <v>1339</v>
      </c>
      <c r="F1106" s="1279"/>
      <c r="G1106" s="1279"/>
      <c r="H1106" s="1279"/>
      <c r="I1106" s="1279"/>
      <c r="J1106" s="1279"/>
      <c r="K1106" s="1279"/>
      <c r="L1106" s="1279"/>
      <c r="M1106" s="1279"/>
      <c r="N1106" s="1279"/>
      <c r="O1106" s="1270"/>
      <c r="P1106" s="1268" t="s">
        <v>40</v>
      </c>
      <c r="Q1106" s="1271"/>
    </row>
    <row r="1107" spans="1:17" ht="11.25" hidden="1" customHeight="1" x14ac:dyDescent="0.35">
      <c r="A1107" s="1267"/>
      <c r="B1107" s="1268"/>
      <c r="C1107" s="1268"/>
      <c r="D1107" s="1268"/>
      <c r="E1107" s="1268" t="s">
        <v>1340</v>
      </c>
      <c r="F1107" s="1279"/>
      <c r="G1107" s="1279"/>
      <c r="H1107" s="1279"/>
      <c r="I1107" s="1279"/>
      <c r="J1107" s="1279"/>
      <c r="K1107" s="1279"/>
      <c r="L1107" s="1279"/>
      <c r="M1107" s="1279"/>
      <c r="N1107" s="1279"/>
      <c r="O1107" s="1270"/>
      <c r="P1107" s="1268" t="s">
        <v>40</v>
      </c>
      <c r="Q1107" s="1271"/>
    </row>
    <row r="1108" spans="1:17" ht="11.25" hidden="1" customHeight="1" x14ac:dyDescent="0.35">
      <c r="A1108" s="1267"/>
      <c r="B1108" s="1268"/>
      <c r="C1108" s="1268"/>
      <c r="D1108" s="1268"/>
      <c r="E1108" s="1268" t="s">
        <v>1341</v>
      </c>
      <c r="F1108" s="1279"/>
      <c r="G1108" s="1279"/>
      <c r="H1108" s="1279"/>
      <c r="I1108" s="1279"/>
      <c r="J1108" s="1279"/>
      <c r="K1108" s="1279"/>
      <c r="L1108" s="1279"/>
      <c r="M1108" s="1279"/>
      <c r="N1108" s="1279"/>
      <c r="O1108" s="1270"/>
      <c r="P1108" s="1268" t="s">
        <v>40</v>
      </c>
      <c r="Q1108" s="1271"/>
    </row>
    <row r="1109" spans="1:17" ht="11.25" hidden="1" customHeight="1" x14ac:dyDescent="0.35">
      <c r="A1109" s="1267"/>
      <c r="B1109" s="1268"/>
      <c r="C1109" s="1268"/>
      <c r="D1109" s="1268"/>
      <c r="E1109" s="1268" t="s">
        <v>1342</v>
      </c>
      <c r="F1109" s="1279"/>
      <c r="G1109" s="1279"/>
      <c r="H1109" s="1279"/>
      <c r="I1109" s="1279"/>
      <c r="J1109" s="1279"/>
      <c r="K1109" s="1279"/>
      <c r="L1109" s="1279"/>
      <c r="M1109" s="1279"/>
      <c r="N1109" s="1279"/>
      <c r="O1109" s="1270"/>
      <c r="P1109" s="1268" t="s">
        <v>40</v>
      </c>
      <c r="Q1109" s="1271"/>
    </row>
    <row r="1110" spans="1:17" ht="11.25" hidden="1" customHeight="1" x14ac:dyDescent="0.35">
      <c r="A1110" s="1267"/>
      <c r="B1110" s="1268"/>
      <c r="C1110" s="1268"/>
      <c r="D1110" s="1268"/>
      <c r="E1110" s="1268" t="s">
        <v>1343</v>
      </c>
      <c r="F1110" s="1279"/>
      <c r="G1110" s="1279"/>
      <c r="H1110" s="1279"/>
      <c r="I1110" s="1279"/>
      <c r="J1110" s="1279"/>
      <c r="K1110" s="1279"/>
      <c r="L1110" s="1279"/>
      <c r="M1110" s="1279"/>
      <c r="N1110" s="1279"/>
      <c r="O1110" s="1270"/>
      <c r="P1110" s="1268" t="s">
        <v>40</v>
      </c>
      <c r="Q1110" s="1271"/>
    </row>
    <row r="1111" spans="1:17" ht="11.25" hidden="1" customHeight="1" x14ac:dyDescent="0.35">
      <c r="A1111" s="1267"/>
      <c r="B1111" s="1268"/>
      <c r="C1111" s="1268"/>
      <c r="D1111" s="1268"/>
      <c r="E1111" s="1268" t="s">
        <v>1344</v>
      </c>
      <c r="F1111" s="1279"/>
      <c r="G1111" s="1279"/>
      <c r="H1111" s="1279"/>
      <c r="I1111" s="1279"/>
      <c r="J1111" s="1279"/>
      <c r="K1111" s="1279"/>
      <c r="L1111" s="1279"/>
      <c r="M1111" s="1279"/>
      <c r="N1111" s="1279"/>
      <c r="O1111" s="1270"/>
      <c r="P1111" s="1268" t="s">
        <v>40</v>
      </c>
      <c r="Q1111" s="1271"/>
    </row>
    <row r="1112" spans="1:17" ht="11.25" hidden="1" customHeight="1" x14ac:dyDescent="0.35">
      <c r="A1112" s="1267"/>
      <c r="B1112" s="1268"/>
      <c r="C1112" s="1268"/>
      <c r="D1112" s="1268"/>
      <c r="E1112" s="1268" t="s">
        <v>1345</v>
      </c>
      <c r="F1112" s="1279"/>
      <c r="G1112" s="1279"/>
      <c r="H1112" s="1279"/>
      <c r="I1112" s="1279"/>
      <c r="J1112" s="1279"/>
      <c r="K1112" s="1279"/>
      <c r="L1112" s="1279"/>
      <c r="M1112" s="1279"/>
      <c r="N1112" s="1279"/>
      <c r="O1112" s="1270"/>
      <c r="P1112" s="1268" t="s">
        <v>40</v>
      </c>
      <c r="Q1112" s="1271"/>
    </row>
    <row r="1113" spans="1:17" ht="11.25" hidden="1" customHeight="1" x14ac:dyDescent="0.35">
      <c r="A1113" s="1267"/>
      <c r="B1113" s="1268"/>
      <c r="C1113" s="1268"/>
      <c r="D1113" s="1268"/>
      <c r="E1113" s="1268" t="s">
        <v>1346</v>
      </c>
      <c r="F1113" s="1279"/>
      <c r="G1113" s="1279"/>
      <c r="H1113" s="1279"/>
      <c r="I1113" s="1279"/>
      <c r="J1113" s="1279"/>
      <c r="K1113" s="1279"/>
      <c r="L1113" s="1279"/>
      <c r="M1113" s="1279"/>
      <c r="N1113" s="1279"/>
      <c r="O1113" s="1270"/>
      <c r="P1113" s="1268" t="s">
        <v>40</v>
      </c>
      <c r="Q1113" s="1271"/>
    </row>
    <row r="1114" spans="1:17" ht="11.25" hidden="1" customHeight="1" x14ac:dyDescent="0.35">
      <c r="A1114" s="1267"/>
      <c r="B1114" s="1268"/>
      <c r="C1114" s="1268"/>
      <c r="D1114" s="1268"/>
      <c r="E1114" s="1268" t="s">
        <v>1347</v>
      </c>
      <c r="F1114" s="1279"/>
      <c r="G1114" s="1279"/>
      <c r="H1114" s="1279"/>
      <c r="I1114" s="1279"/>
      <c r="J1114" s="1279"/>
      <c r="K1114" s="1279"/>
      <c r="L1114" s="1279"/>
      <c r="M1114" s="1279"/>
      <c r="N1114" s="1279"/>
      <c r="O1114" s="1270"/>
      <c r="P1114" s="1268" t="s">
        <v>40</v>
      </c>
      <c r="Q1114" s="1271"/>
    </row>
    <row r="1115" spans="1:17" ht="11.25" hidden="1" customHeight="1" x14ac:dyDescent="0.35">
      <c r="A1115" s="1267"/>
      <c r="B1115" s="1268"/>
      <c r="C1115" s="1268"/>
      <c r="D1115" s="1268"/>
      <c r="E1115" s="1268" t="s">
        <v>1348</v>
      </c>
      <c r="F1115" s="1279"/>
      <c r="G1115" s="1279"/>
      <c r="H1115" s="1279"/>
      <c r="I1115" s="1279"/>
      <c r="J1115" s="1279"/>
      <c r="K1115" s="1279"/>
      <c r="L1115" s="1279"/>
      <c r="M1115" s="1279"/>
      <c r="N1115" s="1279"/>
      <c r="O1115" s="1270"/>
      <c r="P1115" s="1268" t="s">
        <v>40</v>
      </c>
      <c r="Q1115" s="1271"/>
    </row>
    <row r="1116" spans="1:17" ht="11.25" hidden="1" customHeight="1" x14ac:dyDescent="0.35">
      <c r="A1116" s="1267"/>
      <c r="B1116" s="1268"/>
      <c r="C1116" s="1268"/>
      <c r="D1116" s="1268"/>
      <c r="E1116" s="1268" t="s">
        <v>1349</v>
      </c>
      <c r="F1116" s="1279"/>
      <c r="G1116" s="1279"/>
      <c r="H1116" s="1279"/>
      <c r="I1116" s="1279"/>
      <c r="J1116" s="1279"/>
      <c r="K1116" s="1279"/>
      <c r="L1116" s="1279"/>
      <c r="M1116" s="1279"/>
      <c r="N1116" s="1279"/>
      <c r="O1116" s="1270"/>
      <c r="P1116" s="1268" t="s">
        <v>40</v>
      </c>
      <c r="Q1116" s="1271"/>
    </row>
    <row r="1117" spans="1:17" ht="11.25" hidden="1" customHeight="1" x14ac:dyDescent="0.35">
      <c r="A1117" s="1267"/>
      <c r="B1117" s="1268"/>
      <c r="C1117" s="1268"/>
      <c r="D1117" s="1268"/>
      <c r="E1117" s="1268" t="s">
        <v>1350</v>
      </c>
      <c r="F1117" s="1279"/>
      <c r="G1117" s="1279"/>
      <c r="H1117" s="1279"/>
      <c r="I1117" s="1279"/>
      <c r="J1117" s="1279"/>
      <c r="K1117" s="1279"/>
      <c r="L1117" s="1279"/>
      <c r="M1117" s="1279"/>
      <c r="N1117" s="1279"/>
      <c r="O1117" s="1270"/>
      <c r="P1117" s="1268" t="s">
        <v>40</v>
      </c>
      <c r="Q1117" s="1271"/>
    </row>
    <row r="1118" spans="1:17" ht="11.25" hidden="1" customHeight="1" x14ac:dyDescent="0.35">
      <c r="A1118" s="1267"/>
      <c r="B1118" s="1268"/>
      <c r="C1118" s="1268"/>
      <c r="D1118" s="1268"/>
      <c r="E1118" s="1268" t="s">
        <v>1351</v>
      </c>
      <c r="F1118" s="1279"/>
      <c r="G1118" s="1279"/>
      <c r="H1118" s="1279"/>
      <c r="I1118" s="1279"/>
      <c r="J1118" s="1279"/>
      <c r="K1118" s="1279"/>
      <c r="L1118" s="1279"/>
      <c r="M1118" s="1279"/>
      <c r="N1118" s="1279"/>
      <c r="O1118" s="1270"/>
      <c r="P1118" s="1268" t="s">
        <v>40</v>
      </c>
      <c r="Q1118" s="1271"/>
    </row>
    <row r="1119" spans="1:17" ht="11.25" hidden="1" customHeight="1" x14ac:dyDescent="0.35">
      <c r="A1119" s="1267"/>
      <c r="B1119" s="1268"/>
      <c r="C1119" s="1268"/>
      <c r="D1119" s="1268"/>
      <c r="E1119" s="1268" t="s">
        <v>1352</v>
      </c>
      <c r="F1119" s="1279"/>
      <c r="G1119" s="1279"/>
      <c r="H1119" s="1279"/>
      <c r="I1119" s="1279"/>
      <c r="J1119" s="1279"/>
      <c r="K1119" s="1279"/>
      <c r="L1119" s="1279"/>
      <c r="M1119" s="1279"/>
      <c r="N1119" s="1279"/>
      <c r="O1119" s="1270"/>
      <c r="P1119" s="1268" t="s">
        <v>40</v>
      </c>
      <c r="Q1119" s="1271"/>
    </row>
    <row r="1120" spans="1:17" ht="11.25" hidden="1" customHeight="1" x14ac:dyDescent="0.35">
      <c r="A1120" s="1267"/>
      <c r="B1120" s="1268"/>
      <c r="C1120" s="1268"/>
      <c r="D1120" s="1268"/>
      <c r="E1120" s="1268" t="s">
        <v>1353</v>
      </c>
      <c r="F1120" s="1279"/>
      <c r="G1120" s="1279"/>
      <c r="H1120" s="1279"/>
      <c r="I1120" s="1279"/>
      <c r="J1120" s="1279"/>
      <c r="K1120" s="1279"/>
      <c r="L1120" s="1279"/>
      <c r="M1120" s="1279"/>
      <c r="N1120" s="1279"/>
      <c r="O1120" s="1270"/>
      <c r="P1120" s="1268" t="s">
        <v>40</v>
      </c>
      <c r="Q1120" s="1271"/>
    </row>
    <row r="1121" spans="1:17" ht="11.25" hidden="1" customHeight="1" x14ac:dyDescent="0.35">
      <c r="A1121" s="1267"/>
      <c r="B1121" s="1268"/>
      <c r="C1121" s="1268"/>
      <c r="D1121" s="1268"/>
      <c r="E1121" s="1268" t="s">
        <v>1354</v>
      </c>
      <c r="F1121" s="1279"/>
      <c r="G1121" s="1279"/>
      <c r="H1121" s="1279"/>
      <c r="I1121" s="1279"/>
      <c r="J1121" s="1279"/>
      <c r="K1121" s="1279"/>
      <c r="L1121" s="1279"/>
      <c r="M1121" s="1279"/>
      <c r="N1121" s="1279"/>
      <c r="O1121" s="1270"/>
      <c r="P1121" s="1268" t="s">
        <v>40</v>
      </c>
      <c r="Q1121" s="1271"/>
    </row>
    <row r="1122" spans="1:17" ht="11.25" hidden="1" customHeight="1" x14ac:dyDescent="0.35">
      <c r="A1122" s="1267"/>
      <c r="B1122" s="1268"/>
      <c r="C1122" s="1268"/>
      <c r="D1122" s="1268"/>
      <c r="E1122" s="1268" t="s">
        <v>1355</v>
      </c>
      <c r="F1122" s="1279"/>
      <c r="G1122" s="1279"/>
      <c r="H1122" s="1279"/>
      <c r="I1122" s="1279"/>
      <c r="J1122" s="1279"/>
      <c r="K1122" s="1279"/>
      <c r="L1122" s="1279"/>
      <c r="M1122" s="1279"/>
      <c r="N1122" s="1279"/>
      <c r="O1122" s="1270"/>
      <c r="P1122" s="1268" t="s">
        <v>40</v>
      </c>
      <c r="Q1122" s="1271"/>
    </row>
    <row r="1123" spans="1:17" ht="11.25" hidden="1" customHeight="1" x14ac:dyDescent="0.35">
      <c r="A1123" s="1267"/>
      <c r="B1123" s="1268"/>
      <c r="C1123" s="1268"/>
      <c r="D1123" s="1268" t="s">
        <v>1356</v>
      </c>
      <c r="E1123" s="1268" t="s">
        <v>1357</v>
      </c>
      <c r="F1123" s="1279"/>
      <c r="G1123" s="1279"/>
      <c r="H1123" s="1412">
        <v>-8100000</v>
      </c>
      <c r="I1123" s="1412">
        <v>0</v>
      </c>
      <c r="J1123" s="1412">
        <v>-270000</v>
      </c>
      <c r="K1123" s="1412">
        <v>0</v>
      </c>
      <c r="L1123" s="1412">
        <v>-135000</v>
      </c>
      <c r="M1123" s="1412">
        <v>0</v>
      </c>
      <c r="N1123" s="1279"/>
      <c r="O1123" s="1270"/>
      <c r="P1123" s="1268" t="s">
        <v>40</v>
      </c>
      <c r="Q1123" s="1271"/>
    </row>
    <row r="1124" spans="1:17" ht="11.25" hidden="1" customHeight="1" x14ac:dyDescent="0.35">
      <c r="A1124" s="1267"/>
      <c r="B1124" s="1268"/>
      <c r="C1124" s="1268"/>
      <c r="D1124" s="1268" t="s">
        <v>1358</v>
      </c>
      <c r="E1124" s="1268" t="s">
        <v>1359</v>
      </c>
      <c r="F1124" s="1279"/>
      <c r="G1124" s="1279"/>
      <c r="H1124" s="1412">
        <v>0</v>
      </c>
      <c r="I1124" s="1412">
        <v>0</v>
      </c>
      <c r="J1124" s="1412">
        <v>0</v>
      </c>
      <c r="K1124" s="1412">
        <v>0</v>
      </c>
      <c r="L1124" s="1412">
        <v>0</v>
      </c>
      <c r="M1124" s="1412">
        <v>0</v>
      </c>
      <c r="N1124" s="1412">
        <v>4769419.43359375</v>
      </c>
      <c r="O1124" s="1270"/>
      <c r="P1124" s="1268" t="s">
        <v>40</v>
      </c>
      <c r="Q1124" s="1271"/>
    </row>
    <row r="1125" spans="1:17" ht="11.25" hidden="1" customHeight="1" x14ac:dyDescent="0.35">
      <c r="A1125" s="1267"/>
      <c r="B1125" s="1268"/>
      <c r="C1125" s="1268"/>
      <c r="D1125" s="1268"/>
      <c r="E1125" s="1268" t="s">
        <v>1360</v>
      </c>
      <c r="F1125" s="1279"/>
      <c r="G1125" s="1279"/>
      <c r="H1125" s="1412">
        <v>-233000.00000000009</v>
      </c>
      <c r="I1125" s="1412">
        <v>-907125</v>
      </c>
      <c r="J1125" s="1412">
        <v>-798843.75</v>
      </c>
      <c r="K1125" s="1412">
        <v>-667007.8125</v>
      </c>
      <c r="L1125" s="1412">
        <v>-601880.859375</v>
      </c>
      <c r="M1125" s="1412">
        <v>-527723.14453125</v>
      </c>
      <c r="N1125" s="1279"/>
      <c r="O1125" s="1270"/>
      <c r="P1125" s="1268" t="s">
        <v>40</v>
      </c>
      <c r="Q1125" s="1271"/>
    </row>
    <row r="1126" spans="1:17" ht="11.25" hidden="1" customHeight="1" x14ac:dyDescent="0.35">
      <c r="A1126" s="1267"/>
      <c r="B1126" s="1268"/>
      <c r="C1126" s="1268"/>
      <c r="D1126" s="1268"/>
      <c r="E1126" s="1268" t="s">
        <v>1361</v>
      </c>
      <c r="F1126" s="1279"/>
      <c r="G1126" s="1279"/>
      <c r="H1126" s="1412">
        <v>0</v>
      </c>
      <c r="I1126" s="1412">
        <v>0</v>
      </c>
      <c r="J1126" s="1412">
        <v>0</v>
      </c>
      <c r="K1126" s="1412">
        <v>0</v>
      </c>
      <c r="L1126" s="1412">
        <v>0</v>
      </c>
      <c r="M1126" s="1412">
        <v>0</v>
      </c>
      <c r="N1126" s="1412">
        <v>-3201919.43359375</v>
      </c>
      <c r="O1126" s="1270"/>
      <c r="P1126" s="1268" t="s">
        <v>40</v>
      </c>
      <c r="Q1126" s="1271"/>
    </row>
    <row r="1127" spans="1:17" ht="11.25" hidden="1" customHeight="1" x14ac:dyDescent="0.35">
      <c r="A1127" s="1267"/>
      <c r="B1127" s="1268"/>
      <c r="C1127" s="1268"/>
      <c r="D1127" s="1268"/>
      <c r="E1127" s="1268" t="s">
        <v>1362</v>
      </c>
      <c r="F1127" s="1279"/>
      <c r="G1127" s="1279"/>
      <c r="H1127" s="1412">
        <v>25181000</v>
      </c>
      <c r="I1127" s="1412">
        <v>6959874.9999999991</v>
      </c>
      <c r="J1127" s="1412">
        <v>6431031.25</v>
      </c>
      <c r="K1127" s="1412">
        <v>5764023.4375</v>
      </c>
      <c r="L1127" s="1412">
        <v>5297142.578125</v>
      </c>
      <c r="M1127" s="1412">
        <v>4769419.43359375</v>
      </c>
      <c r="N1127" s="1412">
        <v>0</v>
      </c>
      <c r="O1127" s="1270"/>
      <c r="P1127" s="1268" t="s">
        <v>40</v>
      </c>
      <c r="Q1127" s="1271"/>
    </row>
    <row r="1128" spans="1:17" ht="11.25" hidden="1" customHeight="1" x14ac:dyDescent="0.35">
      <c r="A1128" s="1267"/>
      <c r="B1128" s="1268"/>
      <c r="C1128" s="1268"/>
      <c r="D1128" s="1268"/>
      <c r="E1128" s="1268" t="s">
        <v>1363</v>
      </c>
      <c r="F1128" s="1279"/>
      <c r="G1128" s="1279"/>
      <c r="H1128" s="1279"/>
      <c r="I1128" s="1279"/>
      <c r="J1128" s="1279"/>
      <c r="K1128" s="1279"/>
      <c r="L1128" s="1279"/>
      <c r="M1128" s="1279"/>
      <c r="N1128" s="1279"/>
      <c r="O1128" s="1270"/>
      <c r="P1128" s="1268" t="s">
        <v>40</v>
      </c>
      <c r="Q1128" s="1271"/>
    </row>
    <row r="1129" spans="1:17" ht="11.25" hidden="1" customHeight="1" x14ac:dyDescent="0.35">
      <c r="A1129" s="1267"/>
      <c r="B1129" s="1268"/>
      <c r="C1129" s="1268"/>
      <c r="D1129" s="1268" t="s">
        <v>1358</v>
      </c>
      <c r="E1129" s="1268" t="s">
        <v>1364</v>
      </c>
      <c r="F1129" s="1279"/>
      <c r="G1129" s="1279"/>
      <c r="H1129" s="1279"/>
      <c r="I1129" s="1279"/>
      <c r="J1129" s="1279"/>
      <c r="K1129" s="1279"/>
      <c r="L1129" s="1279"/>
      <c r="M1129" s="1279"/>
      <c r="N1129" s="1279"/>
      <c r="O1129" s="1270"/>
      <c r="P1129" s="1268" t="s">
        <v>40</v>
      </c>
      <c r="Q1129" s="1271"/>
    </row>
    <row r="1130" spans="1:17" ht="11.25" hidden="1" customHeight="1" x14ac:dyDescent="0.35">
      <c r="A1130" s="1267"/>
      <c r="B1130" s="1268"/>
      <c r="C1130" s="1268"/>
      <c r="D1130" s="1268"/>
      <c r="E1130" s="1268" t="s">
        <v>1365</v>
      </c>
      <c r="F1130" s="1279"/>
      <c r="G1130" s="1279"/>
      <c r="H1130" s="1279"/>
      <c r="I1130" s="1279"/>
      <c r="J1130" s="1279"/>
      <c r="K1130" s="1279"/>
      <c r="L1130" s="1279"/>
      <c r="M1130" s="1279"/>
      <c r="N1130" s="1279"/>
      <c r="O1130" s="1270"/>
      <c r="P1130" s="1268" t="s">
        <v>40</v>
      </c>
      <c r="Q1130" s="1271"/>
    </row>
    <row r="1131" spans="1:17" ht="11.25" hidden="1" customHeight="1" x14ac:dyDescent="0.35">
      <c r="A1131" s="1267"/>
      <c r="B1131" s="1268"/>
      <c r="C1131" s="1268"/>
      <c r="D1131" s="1268"/>
      <c r="E1131" s="1268" t="s">
        <v>1366</v>
      </c>
      <c r="F1131" s="1279"/>
      <c r="G1131" s="1279"/>
      <c r="H1131" s="1279"/>
      <c r="I1131" s="1279"/>
      <c r="J1131" s="1279"/>
      <c r="K1131" s="1279"/>
      <c r="L1131" s="1279"/>
      <c r="M1131" s="1279"/>
      <c r="N1131" s="1279"/>
      <c r="O1131" s="1270"/>
      <c r="P1131" s="1268" t="s">
        <v>40</v>
      </c>
      <c r="Q1131" s="1271"/>
    </row>
    <row r="1132" spans="1:17" ht="11.25" hidden="1" customHeight="1" x14ac:dyDescent="0.35">
      <c r="A1132" s="1267"/>
      <c r="B1132" s="1268"/>
      <c r="C1132" s="1268"/>
      <c r="D1132" s="1268"/>
      <c r="E1132" s="1268" t="s">
        <v>1367</v>
      </c>
      <c r="F1132" s="1279"/>
      <c r="G1132" s="1279"/>
      <c r="H1132" s="1279"/>
      <c r="I1132" s="1279"/>
      <c r="J1132" s="1279"/>
      <c r="K1132" s="1279"/>
      <c r="L1132" s="1279"/>
      <c r="M1132" s="1279"/>
      <c r="N1132" s="1279"/>
      <c r="O1132" s="1270"/>
      <c r="P1132" s="1268" t="s">
        <v>40</v>
      </c>
      <c r="Q1132" s="1271"/>
    </row>
    <row r="1133" spans="1:17" ht="11.25" hidden="1" customHeight="1" x14ac:dyDescent="0.35">
      <c r="A1133" s="1267"/>
      <c r="B1133" s="1268"/>
      <c r="C1133" s="1268"/>
      <c r="D1133" s="1268"/>
      <c r="E1133" s="1268" t="s">
        <v>1368</v>
      </c>
      <c r="F1133" s="1279"/>
      <c r="G1133" s="1279"/>
      <c r="H1133" s="1412">
        <v>0</v>
      </c>
      <c r="I1133" s="1412">
        <v>0</v>
      </c>
      <c r="J1133" s="1412">
        <v>0</v>
      </c>
      <c r="K1133" s="1412">
        <v>0</v>
      </c>
      <c r="L1133" s="1412">
        <v>0</v>
      </c>
      <c r="M1133" s="1412">
        <v>0</v>
      </c>
      <c r="N1133" s="1412">
        <v>0</v>
      </c>
      <c r="O1133" s="1270"/>
      <c r="P1133" s="1268" t="s">
        <v>40</v>
      </c>
      <c r="Q1133" s="1271"/>
    </row>
    <row r="1134" spans="1:17" ht="11.25" hidden="1" customHeight="1" x14ac:dyDescent="0.35">
      <c r="A1134" s="1267"/>
      <c r="B1134" s="1268"/>
      <c r="C1134" s="1268" t="s">
        <v>1369</v>
      </c>
      <c r="D1134" s="1268" t="s">
        <v>1139</v>
      </c>
      <c r="E1134" s="1268" t="s">
        <v>1370</v>
      </c>
      <c r="F1134" s="1279"/>
      <c r="G1134" s="1279">
        <f t="shared" ref="G1134:N1134" ca="1" si="628">IF(MID($P$716,7,1)&lt;&gt;"D",OFFSET($E$716,0,G$8),0)+IF(MID($P$720,7,1)&lt;&gt;"D",OFFSET($E$720,0,G$8),0)+IF(MID($P$724,7,1)&lt;&gt;"D",OFFSET($E$724,0,G$8),0)+IF(MID($P$728,7,1)&lt;&gt;"D",OFFSET($E$728,0,G$8),0)+IF(MID($P$733,7,1)&lt;&gt;"D",OFFSET($E$733,0,G$8),0)+IF(MID($P$737,7,1)&lt;&gt;"D",OFFSET($E$737,0,G$8),0)+IF(MID($P$741,7,1)&lt;&gt;"D",OFFSET($E$741,0,G$8),0)+IF(MID($P$745,7,1)&lt;&gt;"D",OFFSET($E$745,0,G$8),0)+IF(MID($P$749,7,1)&lt;&gt;"D",OFFSET($E$749,0,G$8),0)+IF(MID($P$754,7,1)&lt;&gt;"D",OFFSET($E$754,0,G$8),0)+IF(MID($P$758,7,1)&lt;&gt;"D",OFFSET($E$758,0,G$8),0)+IF(MID($P$762,7,1)&lt;&gt;"D",OFFSET($E$762,0,G$8),0)+IF(MID($P$766,7,1)&lt;&gt;"D",OFFSET($E$766,0,G$8),0)</f>
        <v>0</v>
      </c>
      <c r="H1134" s="1279">
        <f t="shared" ca="1" si="628"/>
        <v>0</v>
      </c>
      <c r="I1134" s="1279">
        <f t="shared" ca="1" si="628"/>
        <v>0</v>
      </c>
      <c r="J1134" s="1279">
        <f t="shared" ca="1" si="628"/>
        <v>0</v>
      </c>
      <c r="K1134" s="1279">
        <f t="shared" ca="1" si="628"/>
        <v>0</v>
      </c>
      <c r="L1134" s="1279">
        <f t="shared" ca="1" si="628"/>
        <v>0</v>
      </c>
      <c r="M1134" s="1279">
        <f t="shared" ca="1" si="628"/>
        <v>0</v>
      </c>
      <c r="N1134" s="1279">
        <f t="shared" ca="1" si="628"/>
        <v>0</v>
      </c>
      <c r="O1134" s="1270"/>
      <c r="P1134" s="1268" t="s">
        <v>40</v>
      </c>
      <c r="Q1134" s="1271"/>
    </row>
    <row r="1135" spans="1:17" ht="11.25" hidden="1" customHeight="1" x14ac:dyDescent="0.35">
      <c r="A1135" s="1267"/>
      <c r="B1135" s="1268"/>
      <c r="C1135" s="1268" t="s">
        <v>1371</v>
      </c>
      <c r="D1135" s="1268"/>
      <c r="E1135" s="1268" t="s">
        <v>1372</v>
      </c>
      <c r="F1135" s="1279"/>
      <c r="G1135" s="1279">
        <f t="shared" ref="G1135:N1135" ca="1" si="629">IF(MID($P$716,7,1)="D",OFFSET($E$716,0,G$8),0)+IF(MID($P$720,7,1)="D",OFFSET($E$720,0,G$8),0)+IF(MID($P$724,7,1)="D",OFFSET($E$724,0,G$8),0)+IF(MID($P$728,7,1)="D",OFFSET($E$728,0,G$8),0)+IF(MID($P$733,7,1)="D",OFFSET($E$733,0,G$8),0)+IF(MID($P$737,7,1)="D",OFFSET($E$737,0,G$8),0)+IF(MID($P$741,7,1)="D",OFFSET($E$741,0,G$8),0)+IF(MID($P$745,7,1)="D",OFFSET($E$745,0,G$8),0)+IF(MID($P$749,7,1)="D",OFFSET($E$749,0,G$8),0)+IF(MID($P$754,7,1)="D",OFFSET($E$754,0,G$8),0)+IF(MID($P$758,7,1)="D",OFFSET($E$758,0,G$8),0)+IF(MID($P$762,7,1)="D",OFFSET($E$762,0,G$8),0)+IF(MID($P$766,7,1)="D",OFFSET($E$766,0,G$8),0)</f>
        <v>0</v>
      </c>
      <c r="H1135" s="1279">
        <f t="shared" ca="1" si="629"/>
        <v>0</v>
      </c>
      <c r="I1135" s="1279">
        <f t="shared" ca="1" si="629"/>
        <v>0</v>
      </c>
      <c r="J1135" s="1279">
        <f t="shared" ca="1" si="629"/>
        <v>0</v>
      </c>
      <c r="K1135" s="1279">
        <f t="shared" ca="1" si="629"/>
        <v>0</v>
      </c>
      <c r="L1135" s="1279">
        <f t="shared" ca="1" si="629"/>
        <v>0</v>
      </c>
      <c r="M1135" s="1279">
        <f t="shared" ca="1" si="629"/>
        <v>0</v>
      </c>
      <c r="N1135" s="1279">
        <f t="shared" ca="1" si="629"/>
        <v>0</v>
      </c>
      <c r="O1135" s="1270"/>
      <c r="P1135" s="1268" t="s">
        <v>40</v>
      </c>
      <c r="Q1135" s="1271"/>
    </row>
    <row r="1136" spans="1:17" ht="11.25" hidden="1" customHeight="1" x14ac:dyDescent="0.35">
      <c r="A1136" s="1267"/>
      <c r="B1136" s="1268"/>
      <c r="C1136" s="1268" t="s">
        <v>1373</v>
      </c>
      <c r="D1136" s="1268"/>
      <c r="E1136" s="1268" t="s">
        <v>1374</v>
      </c>
      <c r="F1136" s="1279"/>
      <c r="G1136" s="1279">
        <f t="shared" ref="G1136:N1136" ca="1" si="630">IF(MID($P$458,7,1)&lt;&gt;"D",OFFSET($E$458,0,G$8),0)+IF(MID($P$460,7,1)&lt;&gt;"D",OFFSET($E$460,0,G$8),0)+IF(MID($P$461,7,1)&lt;&gt;"D",OFFSET($E$461,0,G$8),0)+IF(MID($P$462,7,1)&lt;&gt;"D",OFFSET($E$462,0,G$8),0)+IF(MID($P$463,7,1)&lt;&gt;"D",OFFSET($E$463,0,G$8),0)+IF(MID($P$464,7,1)&lt;&gt;"D",OFFSET($E$464,0,G$8),0)+IF(MID($P$465,7,1)&lt;&gt;"D",OFFSET($E$465,0,G$8),0)+IF(MID($P$466,7,1)&lt;&gt;"D",OFFSET($E$466,0,G$8),0)+IF(MID($P$472,7,1)&lt;&gt;"D",OFFSET($E$472,0,G$8),0)+IF(MID($P$473,7,1)&lt;&gt;"D",OFFSET($E$473,0,G$8),0)+IF(MID($P$474,7,1)&lt;&gt;"D",OFFSET($E$474,0,G$8),0)+IF(MID($P$475,7,1)&lt;&gt;"D",OFFSET($E$475,0,G$8),0)+IF(MID($P$476,7,1)&lt;&gt;"D",OFFSET($E$476,0,G$8),0)+IF(MID($P$477,7,1)&lt;&gt;"D",OFFSET($E$477,0,G$8),0)+OFFSET($E$909,0,G$8)+IF(MID($P$478,7,1)&lt;&gt;"D",OFFSET($E$478,0,G$8),0)+IF(MID($P$479,7,1)&lt;&gt;"D",OFFSET($E$479,0,G$8),0)+IF(MID($P$480,7,1)&lt;&gt;"D",OFFSET($E$480,0,G$8),0)+OFFSET($E$919,0,G$8)+IF(MID($P$498,7,1)&lt;&gt;"D",MIN(0,OFFSET($E$498,0,G$8)),0)+IF(MID($P$500,7,1)&lt;&gt;"D",OFFSET($E$500,0,G$8),0)+IF(MID($P$481,7,1)&lt;&gt;"D",OFFSET($E$481,0,G$8),0)</f>
        <v>0</v>
      </c>
      <c r="H1136" s="1279">
        <f t="shared" ca="1" si="630"/>
        <v>-2400000</v>
      </c>
      <c r="I1136" s="1279">
        <f t="shared" ca="1" si="630"/>
        <v>-7200000</v>
      </c>
      <c r="J1136" s="1279">
        <f t="shared" ca="1" si="630"/>
        <v>-7200000</v>
      </c>
      <c r="K1136" s="1279">
        <f t="shared" ca="1" si="630"/>
        <v>-7200000</v>
      </c>
      <c r="L1136" s="1279">
        <f t="shared" ca="1" si="630"/>
        <v>-7200000</v>
      </c>
      <c r="M1136" s="1279">
        <f t="shared" ca="1" si="630"/>
        <v>-7200000</v>
      </c>
      <c r="N1136" s="1279">
        <f t="shared" ca="1" si="630"/>
        <v>0</v>
      </c>
      <c r="O1136" s="1270"/>
      <c r="P1136" s="1268" t="s">
        <v>40</v>
      </c>
      <c r="Q1136" s="1271"/>
    </row>
    <row r="1137" spans="1:17" ht="11.25" hidden="1" customHeight="1" x14ac:dyDescent="0.35">
      <c r="A1137" s="1267"/>
      <c r="B1137" s="1268"/>
      <c r="C1137" s="1268"/>
      <c r="D1137" s="1268"/>
      <c r="E1137" s="1268" t="s">
        <v>1375</v>
      </c>
      <c r="F1137" s="1279"/>
      <c r="G1137" s="1279"/>
      <c r="H1137" s="1412">
        <v>0</v>
      </c>
      <c r="I1137" s="1412">
        <v>0</v>
      </c>
      <c r="J1137" s="1412">
        <v>0</v>
      </c>
      <c r="K1137" s="1412">
        <v>0</v>
      </c>
      <c r="L1137" s="1412">
        <v>0</v>
      </c>
      <c r="M1137" s="1412">
        <v>0</v>
      </c>
      <c r="N1137" s="1412">
        <v>8505000</v>
      </c>
      <c r="O1137" s="1270"/>
      <c r="P1137" s="1268" t="s">
        <v>40</v>
      </c>
      <c r="Q1137" s="1271"/>
    </row>
    <row r="1138" spans="1:17" ht="11.25" hidden="1" customHeight="1" x14ac:dyDescent="0.35">
      <c r="A1138" s="1267"/>
      <c r="B1138" s="1268"/>
      <c r="C1138" s="1268"/>
      <c r="D1138" s="1268"/>
      <c r="E1138" s="1268" t="s">
        <v>1376</v>
      </c>
      <c r="F1138" s="1279"/>
      <c r="G1138" s="1279"/>
      <c r="H1138" s="1412">
        <v>0</v>
      </c>
      <c r="I1138" s="1412">
        <v>0</v>
      </c>
      <c r="J1138" s="1412">
        <v>0</v>
      </c>
      <c r="K1138" s="1412">
        <v>0</v>
      </c>
      <c r="L1138" s="1412">
        <v>0</v>
      </c>
      <c r="M1138" s="1412">
        <v>0</v>
      </c>
      <c r="N1138" s="1279"/>
      <c r="O1138" s="1270"/>
      <c r="P1138" s="1268" t="s">
        <v>40</v>
      </c>
      <c r="Q1138" s="1271"/>
    </row>
    <row r="1139" spans="1:17" ht="11.25" hidden="1" customHeight="1" x14ac:dyDescent="0.35">
      <c r="A1139" s="1267"/>
      <c r="B1139" s="1268"/>
      <c r="C1139" s="1268"/>
      <c r="D1139" s="1268"/>
      <c r="E1139" s="1268" t="s">
        <v>1377</v>
      </c>
      <c r="F1139" s="1279"/>
      <c r="G1139" s="1279"/>
      <c r="H1139" s="1412">
        <v>0</v>
      </c>
      <c r="I1139" s="1412">
        <v>0</v>
      </c>
      <c r="J1139" s="1412">
        <v>0</v>
      </c>
      <c r="K1139" s="1412">
        <v>0</v>
      </c>
      <c r="L1139" s="1412">
        <v>0</v>
      </c>
      <c r="M1139" s="1412">
        <v>0</v>
      </c>
      <c r="N1139" s="1412">
        <v>-6937500</v>
      </c>
      <c r="O1139" s="1270"/>
      <c r="P1139" s="1268" t="s">
        <v>40</v>
      </c>
      <c r="Q1139" s="1271"/>
    </row>
    <row r="1140" spans="1:17" ht="11.25" hidden="1" customHeight="1" x14ac:dyDescent="0.35">
      <c r="A1140" s="1267"/>
      <c r="B1140" s="1268"/>
      <c r="C1140" s="1268"/>
      <c r="D1140" s="1268"/>
      <c r="E1140" s="1268" t="s">
        <v>1378</v>
      </c>
      <c r="F1140" s="1279"/>
      <c r="G1140" s="1279"/>
      <c r="H1140" s="1412">
        <v>25650000</v>
      </c>
      <c r="I1140" s="1412">
        <v>8100000</v>
      </c>
      <c r="J1140" s="1412">
        <v>8370000</v>
      </c>
      <c r="K1140" s="1412">
        <v>8370000</v>
      </c>
      <c r="L1140" s="1412">
        <v>8505000</v>
      </c>
      <c r="M1140" s="1412">
        <v>8505000</v>
      </c>
      <c r="N1140" s="1412">
        <v>0</v>
      </c>
      <c r="O1140" s="1270"/>
      <c r="P1140" s="1268" t="s">
        <v>40</v>
      </c>
      <c r="Q1140" s="1271"/>
    </row>
    <row r="1141" spans="1:17" ht="11.25" hidden="1" customHeight="1" x14ac:dyDescent="0.35">
      <c r="A1141" s="1267"/>
      <c r="B1141" s="1268"/>
      <c r="C1141" s="1268"/>
      <c r="D1141" s="1268"/>
      <c r="E1141" s="1268" t="s">
        <v>1379</v>
      </c>
      <c r="F1141" s="1279"/>
      <c r="G1141" s="1279"/>
      <c r="H1141" s="1279"/>
      <c r="I1141" s="1279"/>
      <c r="J1141" s="1279"/>
      <c r="K1141" s="1279"/>
      <c r="L1141" s="1279"/>
      <c r="M1141" s="1279"/>
      <c r="N1141" s="1279"/>
      <c r="O1141" s="1270"/>
      <c r="P1141" s="1268" t="s">
        <v>40</v>
      </c>
      <c r="Q1141" s="1271"/>
    </row>
    <row r="1142" spans="1:17" ht="11.25" hidden="1" customHeight="1" x14ac:dyDescent="0.35">
      <c r="A1142" s="1267"/>
      <c r="B1142" s="1268"/>
      <c r="C1142" s="1268"/>
      <c r="D1142" s="1268"/>
      <c r="E1142" s="1268" t="s">
        <v>1380</v>
      </c>
      <c r="F1142" s="1279"/>
      <c r="G1142" s="1279"/>
      <c r="H1142" s="1279"/>
      <c r="I1142" s="1279"/>
      <c r="J1142" s="1279"/>
      <c r="K1142" s="1279"/>
      <c r="L1142" s="1279"/>
      <c r="M1142" s="1279"/>
      <c r="N1142" s="1279"/>
      <c r="O1142" s="1270"/>
      <c r="P1142" s="1268" t="s">
        <v>40</v>
      </c>
      <c r="Q1142" s="1271"/>
    </row>
    <row r="1143" spans="1:17" ht="11.25" hidden="1" customHeight="1" x14ac:dyDescent="0.35">
      <c r="A1143" s="1267"/>
      <c r="B1143" s="1268"/>
      <c r="C1143" s="1268"/>
      <c r="D1143" s="1268"/>
      <c r="E1143" s="1268" t="s">
        <v>1381</v>
      </c>
      <c r="F1143" s="1279"/>
      <c r="G1143" s="1279"/>
      <c r="H1143" s="1279"/>
      <c r="I1143" s="1279"/>
      <c r="J1143" s="1279"/>
      <c r="K1143" s="1279"/>
      <c r="L1143" s="1279"/>
      <c r="M1143" s="1279"/>
      <c r="N1143" s="1279"/>
      <c r="O1143" s="1270"/>
      <c r="P1143" s="1268" t="s">
        <v>40</v>
      </c>
      <c r="Q1143" s="1271"/>
    </row>
    <row r="1144" spans="1:17" ht="11.25" hidden="1" customHeight="1" x14ac:dyDescent="0.35">
      <c r="A1144" s="1267"/>
      <c r="B1144" s="1268"/>
      <c r="C1144" s="1268"/>
      <c r="D1144" s="1268"/>
      <c r="E1144" s="1268" t="s">
        <v>1382</v>
      </c>
      <c r="F1144" s="1279"/>
      <c r="G1144" s="1279"/>
      <c r="H1144" s="1279"/>
      <c r="I1144" s="1279"/>
      <c r="J1144" s="1279"/>
      <c r="K1144" s="1279"/>
      <c r="L1144" s="1279"/>
      <c r="M1144" s="1279"/>
      <c r="N1144" s="1279"/>
      <c r="O1144" s="1270"/>
      <c r="P1144" s="1268" t="s">
        <v>40</v>
      </c>
      <c r="Q1144" s="1271"/>
    </row>
    <row r="1145" spans="1:17" ht="11.25" hidden="1" customHeight="1" x14ac:dyDescent="0.35">
      <c r="A1145" s="1267"/>
      <c r="B1145" s="1268"/>
      <c r="C1145" s="1268"/>
      <c r="D1145" s="1268"/>
      <c r="E1145" s="1268" t="s">
        <v>1383</v>
      </c>
      <c r="F1145" s="1279"/>
      <c r="G1145" s="1279"/>
      <c r="H1145" s="1279"/>
      <c r="I1145" s="1279"/>
      <c r="J1145" s="1279"/>
      <c r="K1145" s="1279"/>
      <c r="L1145" s="1279"/>
      <c r="M1145" s="1279"/>
      <c r="N1145" s="1279"/>
      <c r="O1145" s="1270"/>
      <c r="P1145" s="1268" t="s">
        <v>40</v>
      </c>
      <c r="Q1145" s="1271"/>
    </row>
    <row r="1146" spans="1:17" ht="11.25" hidden="1" customHeight="1" x14ac:dyDescent="0.35">
      <c r="A1146" s="1267"/>
      <c r="B1146" s="1268"/>
      <c r="C1146" s="1268"/>
      <c r="D1146" s="1268"/>
      <c r="E1146" s="1268" t="s">
        <v>1384</v>
      </c>
      <c r="F1146" s="1279"/>
      <c r="G1146" s="1279"/>
      <c r="H1146" s="1279"/>
      <c r="I1146" s="1279"/>
      <c r="J1146" s="1279"/>
      <c r="K1146" s="1279"/>
      <c r="L1146" s="1279"/>
      <c r="M1146" s="1279"/>
      <c r="N1146" s="1279"/>
      <c r="O1146" s="1270"/>
      <c r="P1146" s="1268" t="s">
        <v>40</v>
      </c>
      <c r="Q1146" s="1271"/>
    </row>
    <row r="1147" spans="1:17" ht="11.25" hidden="1" customHeight="1" x14ac:dyDescent="0.35">
      <c r="A1147" s="1267"/>
      <c r="B1147" s="1268"/>
      <c r="C1147" s="1268"/>
      <c r="D1147" s="1268"/>
      <c r="E1147" s="1268" t="s">
        <v>1385</v>
      </c>
      <c r="F1147" s="1279"/>
      <c r="G1147" s="1279"/>
      <c r="H1147" s="1279"/>
      <c r="I1147" s="1279"/>
      <c r="J1147" s="1279"/>
      <c r="K1147" s="1279"/>
      <c r="L1147" s="1279"/>
      <c r="M1147" s="1279"/>
      <c r="N1147" s="1279"/>
      <c r="O1147" s="1270"/>
      <c r="P1147" s="1268" t="s">
        <v>40</v>
      </c>
      <c r="Q1147" s="1271"/>
    </row>
    <row r="1148" spans="1:17" ht="11.25" hidden="1" customHeight="1" x14ac:dyDescent="0.35">
      <c r="A1148" s="1267"/>
      <c r="B1148" s="1268"/>
      <c r="C1148" s="1268"/>
      <c r="D1148" s="1268"/>
      <c r="E1148" s="1268" t="s">
        <v>1386</v>
      </c>
      <c r="F1148" s="1279"/>
      <c r="G1148" s="1279"/>
      <c r="H1148" s="1279"/>
      <c r="I1148" s="1279"/>
      <c r="J1148" s="1279"/>
      <c r="K1148" s="1279"/>
      <c r="L1148" s="1279"/>
      <c r="M1148" s="1279"/>
      <c r="N1148" s="1279"/>
      <c r="O1148" s="1270"/>
      <c r="P1148" s="1268" t="s">
        <v>40</v>
      </c>
      <c r="Q1148" s="1271"/>
    </row>
    <row r="1149" spans="1:17" ht="11.25" hidden="1" customHeight="1" x14ac:dyDescent="0.35">
      <c r="A1149" s="1267"/>
      <c r="B1149" s="1268"/>
      <c r="C1149" s="1268"/>
      <c r="D1149" s="1268"/>
      <c r="E1149" s="1268" t="s">
        <v>1387</v>
      </c>
      <c r="F1149" s="1279"/>
      <c r="G1149" s="1279"/>
      <c r="H1149" s="1279"/>
      <c r="I1149" s="1279"/>
      <c r="J1149" s="1279"/>
      <c r="K1149" s="1279"/>
      <c r="L1149" s="1279"/>
      <c r="M1149" s="1279"/>
      <c r="N1149" s="1279"/>
      <c r="O1149" s="1270"/>
      <c r="P1149" s="1268" t="s">
        <v>40</v>
      </c>
      <c r="Q1149" s="1271"/>
    </row>
    <row r="1150" spans="1:17" ht="11.25" hidden="1" customHeight="1" x14ac:dyDescent="0.35">
      <c r="A1150" s="1267"/>
      <c r="B1150" s="1268"/>
      <c r="C1150" s="1268"/>
      <c r="D1150" s="1268"/>
      <c r="E1150" s="1268" t="s">
        <v>1388</v>
      </c>
      <c r="F1150" s="1279"/>
      <c r="G1150" s="1279"/>
      <c r="H1150" s="1412">
        <v>0</v>
      </c>
      <c r="I1150" s="1412">
        <v>0</v>
      </c>
      <c r="J1150" s="1412">
        <v>0</v>
      </c>
      <c r="K1150" s="1412">
        <v>0</v>
      </c>
      <c r="L1150" s="1412">
        <v>0</v>
      </c>
      <c r="M1150" s="1412">
        <v>0</v>
      </c>
      <c r="N1150" s="1279"/>
      <c r="O1150" s="1270"/>
      <c r="P1150" s="1268" t="s">
        <v>40</v>
      </c>
      <c r="Q1150" s="1271"/>
    </row>
    <row r="1151" spans="1:17" ht="11.25" hidden="1" customHeight="1" x14ac:dyDescent="0.35">
      <c r="A1151" s="1267"/>
      <c r="B1151" s="1268"/>
      <c r="C1151" s="1268"/>
      <c r="D1151" s="1268"/>
      <c r="E1151" s="1268" t="s">
        <v>1389</v>
      </c>
      <c r="F1151" s="1279"/>
      <c r="G1151" s="1279"/>
      <c r="H1151" s="1279"/>
      <c r="I1151" s="1279"/>
      <c r="J1151" s="1279"/>
      <c r="K1151" s="1279"/>
      <c r="L1151" s="1279"/>
      <c r="M1151" s="1279"/>
      <c r="N1151" s="1279"/>
      <c r="O1151" s="1270"/>
      <c r="P1151" s="1268" t="s">
        <v>40</v>
      </c>
      <c r="Q1151" s="1271"/>
    </row>
    <row r="1152" spans="1:17" ht="11.25" hidden="1" customHeight="1" x14ac:dyDescent="0.35">
      <c r="A1152" s="1267"/>
      <c r="B1152" s="1268"/>
      <c r="C1152" s="1268"/>
      <c r="D1152" s="1268"/>
      <c r="E1152" s="1268" t="s">
        <v>1390</v>
      </c>
      <c r="F1152" s="1279"/>
      <c r="G1152" s="1279"/>
      <c r="H1152" s="1412">
        <v>0</v>
      </c>
      <c r="I1152" s="1412">
        <v>0</v>
      </c>
      <c r="J1152" s="1412">
        <v>0</v>
      </c>
      <c r="K1152" s="1412">
        <v>0</v>
      </c>
      <c r="L1152" s="1412">
        <v>0</v>
      </c>
      <c r="M1152" s="1412">
        <v>0</v>
      </c>
      <c r="N1152" s="1279"/>
      <c r="O1152" s="1270"/>
      <c r="P1152" s="1268" t="s">
        <v>40</v>
      </c>
      <c r="Q1152" s="1271"/>
    </row>
    <row r="1153" spans="1:17" ht="11.25" hidden="1" customHeight="1" x14ac:dyDescent="0.35">
      <c r="A1153" s="1267"/>
      <c r="B1153" s="1268"/>
      <c r="C1153" s="1268"/>
      <c r="D1153" s="1268"/>
      <c r="E1153" s="1268" t="s">
        <v>1391</v>
      </c>
      <c r="F1153" s="1279"/>
      <c r="G1153" s="1279"/>
      <c r="H1153" s="1279"/>
      <c r="I1153" s="1279"/>
      <c r="J1153" s="1279"/>
      <c r="K1153" s="1279"/>
      <c r="L1153" s="1279"/>
      <c r="M1153" s="1279"/>
      <c r="N1153" s="1279"/>
      <c r="O1153" s="1270"/>
      <c r="P1153" s="1268" t="s">
        <v>40</v>
      </c>
      <c r="Q1153" s="1271"/>
    </row>
    <row r="1154" spans="1:17" ht="11.25" hidden="1" customHeight="1" x14ac:dyDescent="0.35">
      <c r="A1154" s="1267"/>
      <c r="B1154" s="1268"/>
      <c r="C1154" s="1268"/>
      <c r="D1154" s="1268"/>
      <c r="E1154" s="1268" t="s">
        <v>1392</v>
      </c>
      <c r="F1154" s="1279"/>
      <c r="G1154" s="1279"/>
      <c r="H1154" s="1279"/>
      <c r="I1154" s="1279"/>
      <c r="J1154" s="1279"/>
      <c r="K1154" s="1279"/>
      <c r="L1154" s="1279"/>
      <c r="M1154" s="1279"/>
      <c r="N1154" s="1279"/>
      <c r="O1154" s="1270"/>
      <c r="P1154" s="1268" t="s">
        <v>40</v>
      </c>
      <c r="Q1154" s="1271"/>
    </row>
    <row r="1155" spans="1:17" ht="11.25" hidden="1" customHeight="1" x14ac:dyDescent="0.35">
      <c r="A1155" s="1267"/>
      <c r="B1155" s="1268"/>
      <c r="C1155" s="1268"/>
      <c r="D1155" s="1268"/>
      <c r="E1155" s="1268" t="s">
        <v>1393</v>
      </c>
      <c r="F1155" s="1279"/>
      <c r="G1155" s="1279"/>
      <c r="H1155" s="1412">
        <v>0</v>
      </c>
      <c r="I1155" s="1412">
        <v>0</v>
      </c>
      <c r="J1155" s="1412">
        <v>0</v>
      </c>
      <c r="K1155" s="1412">
        <v>0</v>
      </c>
      <c r="L1155" s="1412">
        <v>0</v>
      </c>
      <c r="M1155" s="1412">
        <v>0</v>
      </c>
      <c r="N1155" s="1279"/>
      <c r="O1155" s="1270"/>
      <c r="P1155" s="1268" t="s">
        <v>40</v>
      </c>
      <c r="Q1155" s="1271"/>
    </row>
    <row r="1156" spans="1:17" ht="11.25" hidden="1" customHeight="1" x14ac:dyDescent="0.35">
      <c r="A1156" s="1267"/>
      <c r="B1156" s="1268"/>
      <c r="C1156" s="1268"/>
      <c r="D1156" s="1268"/>
      <c r="E1156" s="1268" t="s">
        <v>1394</v>
      </c>
      <c r="F1156" s="1279"/>
      <c r="G1156" s="1279"/>
      <c r="H1156" s="1279"/>
      <c r="I1156" s="1279"/>
      <c r="J1156" s="1279"/>
      <c r="K1156" s="1279"/>
      <c r="L1156" s="1279"/>
      <c r="M1156" s="1279"/>
      <c r="N1156" s="1279"/>
      <c r="O1156" s="1270"/>
      <c r="P1156" s="1268" t="s">
        <v>40</v>
      </c>
      <c r="Q1156" s="1271"/>
    </row>
    <row r="1157" spans="1:17" ht="11.25" hidden="1" customHeight="1" x14ac:dyDescent="0.35">
      <c r="A1157" s="1267"/>
      <c r="B1157" s="1268"/>
      <c r="C1157" s="1268"/>
      <c r="D1157" s="1268"/>
      <c r="E1157" s="1268" t="s">
        <v>1395</v>
      </c>
      <c r="F1157" s="1279"/>
      <c r="G1157" s="1279"/>
      <c r="H1157" s="1412">
        <v>0</v>
      </c>
      <c r="I1157" s="1412">
        <v>0</v>
      </c>
      <c r="J1157" s="1412">
        <v>0</v>
      </c>
      <c r="K1157" s="1412">
        <v>0</v>
      </c>
      <c r="L1157" s="1412">
        <v>0</v>
      </c>
      <c r="M1157" s="1412">
        <v>0</v>
      </c>
      <c r="N1157" s="1279"/>
      <c r="O1157" s="1270"/>
      <c r="P1157" s="1268" t="s">
        <v>40</v>
      </c>
      <c r="Q1157" s="1271"/>
    </row>
    <row r="1158" spans="1:17" ht="11.25" hidden="1" customHeight="1" x14ac:dyDescent="0.35">
      <c r="A1158" s="1267"/>
      <c r="B1158" s="1268"/>
      <c r="C1158" s="1268"/>
      <c r="D1158" s="1268"/>
      <c r="E1158" s="1268" t="s">
        <v>1396</v>
      </c>
      <c r="F1158" s="1279"/>
      <c r="G1158" s="1279"/>
      <c r="H1158" s="1279"/>
      <c r="I1158" s="1279"/>
      <c r="J1158" s="1279"/>
      <c r="K1158" s="1279"/>
      <c r="L1158" s="1279"/>
      <c r="M1158" s="1279"/>
      <c r="N1158" s="1279"/>
      <c r="O1158" s="1270"/>
      <c r="P1158" s="1268" t="s">
        <v>40</v>
      </c>
      <c r="Q1158" s="1271"/>
    </row>
    <row r="1159" spans="1:17" ht="11.25" hidden="1" customHeight="1" x14ac:dyDescent="0.35">
      <c r="A1159" s="1267"/>
      <c r="B1159" s="1268"/>
      <c r="C1159" s="1268"/>
      <c r="D1159" s="1268"/>
      <c r="E1159" s="1268" t="s">
        <v>1397</v>
      </c>
      <c r="F1159" s="1279"/>
      <c r="G1159" s="1279"/>
      <c r="H1159" s="1412">
        <v>0</v>
      </c>
      <c r="I1159" s="1412">
        <v>0</v>
      </c>
      <c r="J1159" s="1412">
        <v>0</v>
      </c>
      <c r="K1159" s="1412">
        <v>0</v>
      </c>
      <c r="L1159" s="1412">
        <v>0</v>
      </c>
      <c r="M1159" s="1412">
        <v>0</v>
      </c>
      <c r="N1159" s="1279"/>
      <c r="O1159" s="1270"/>
      <c r="P1159" s="1268" t="s">
        <v>40</v>
      </c>
      <c r="Q1159" s="1271"/>
    </row>
    <row r="1160" spans="1:17" ht="11.25" hidden="1" customHeight="1" x14ac:dyDescent="0.35">
      <c r="A1160" s="1267"/>
      <c r="B1160" s="1268"/>
      <c r="C1160" s="1268"/>
      <c r="D1160" s="1268"/>
      <c r="E1160" s="1268" t="s">
        <v>1398</v>
      </c>
      <c r="F1160" s="1279"/>
      <c r="G1160" s="1279"/>
      <c r="H1160" s="1279"/>
      <c r="I1160" s="1279"/>
      <c r="J1160" s="1279"/>
      <c r="K1160" s="1279"/>
      <c r="L1160" s="1279"/>
      <c r="M1160" s="1279"/>
      <c r="N1160" s="1279"/>
      <c r="O1160" s="1270"/>
      <c r="P1160" s="1268" t="s">
        <v>40</v>
      </c>
      <c r="Q1160" s="1271"/>
    </row>
    <row r="1161" spans="1:17" ht="11.25" hidden="1" customHeight="1" x14ac:dyDescent="0.35">
      <c r="A1161" s="1267"/>
      <c r="B1161" s="1268"/>
      <c r="C1161" s="1268"/>
      <c r="D1161" s="1268"/>
      <c r="E1161" s="1268" t="s">
        <v>1399</v>
      </c>
      <c r="F1161" s="1279"/>
      <c r="G1161" s="1279"/>
      <c r="H1161" s="1412">
        <v>0</v>
      </c>
      <c r="I1161" s="1412">
        <v>0</v>
      </c>
      <c r="J1161" s="1412">
        <v>0</v>
      </c>
      <c r="K1161" s="1412">
        <v>0</v>
      </c>
      <c r="L1161" s="1412">
        <v>0</v>
      </c>
      <c r="M1161" s="1412">
        <v>0</v>
      </c>
      <c r="N1161" s="1279"/>
      <c r="O1161" s="1270"/>
      <c r="P1161" s="1268" t="s">
        <v>40</v>
      </c>
      <c r="Q1161" s="1271"/>
    </row>
    <row r="1162" spans="1:17" ht="11.25" hidden="1" customHeight="1" x14ac:dyDescent="0.35">
      <c r="A1162" s="1267"/>
      <c r="B1162" s="1268"/>
      <c r="C1162" s="1268"/>
      <c r="D1162" s="1268"/>
      <c r="E1162" s="1268" t="s">
        <v>1400</v>
      </c>
      <c r="F1162" s="1279"/>
      <c r="G1162" s="1279"/>
      <c r="H1162" s="1279"/>
      <c r="I1162" s="1279"/>
      <c r="J1162" s="1279"/>
      <c r="K1162" s="1279"/>
      <c r="L1162" s="1279"/>
      <c r="M1162" s="1279"/>
      <c r="N1162" s="1279"/>
      <c r="O1162" s="1270"/>
      <c r="P1162" s="1268" t="s">
        <v>40</v>
      </c>
      <c r="Q1162" s="1271"/>
    </row>
    <row r="1163" spans="1:17" ht="11.25" hidden="1" customHeight="1" x14ac:dyDescent="0.35">
      <c r="A1163" s="1267"/>
      <c r="B1163" s="1268"/>
      <c r="C1163" s="1268"/>
      <c r="D1163" s="1268"/>
      <c r="E1163" s="1268" t="s">
        <v>1401</v>
      </c>
      <c r="F1163" s="1279"/>
      <c r="G1163" s="1279"/>
      <c r="H1163" s="1412">
        <v>0</v>
      </c>
      <c r="I1163" s="1412">
        <v>0</v>
      </c>
      <c r="J1163" s="1412">
        <v>0</v>
      </c>
      <c r="K1163" s="1412">
        <v>0</v>
      </c>
      <c r="L1163" s="1412">
        <v>0</v>
      </c>
      <c r="M1163" s="1412">
        <v>0</v>
      </c>
      <c r="N1163" s="1279"/>
      <c r="O1163" s="1270"/>
      <c r="P1163" s="1268" t="s">
        <v>40</v>
      </c>
      <c r="Q1163" s="1271"/>
    </row>
    <row r="1164" spans="1:17" ht="11.25" hidden="1" customHeight="1" x14ac:dyDescent="0.35">
      <c r="A1164" s="1267"/>
      <c r="B1164" s="1268"/>
      <c r="C1164" s="1268"/>
      <c r="D1164" s="1268"/>
      <c r="E1164" s="1268" t="s">
        <v>1402</v>
      </c>
      <c r="F1164" s="1279"/>
      <c r="G1164" s="1279"/>
      <c r="H1164" s="1279"/>
      <c r="I1164" s="1279"/>
      <c r="J1164" s="1279"/>
      <c r="K1164" s="1279"/>
      <c r="L1164" s="1279"/>
      <c r="M1164" s="1279"/>
      <c r="N1164" s="1279"/>
      <c r="O1164" s="1270"/>
      <c r="P1164" s="1268" t="s">
        <v>40</v>
      </c>
      <c r="Q1164" s="1271"/>
    </row>
    <row r="1165" spans="1:17" ht="11.25" hidden="1" customHeight="1" x14ac:dyDescent="0.35">
      <c r="A1165" s="1267"/>
      <c r="B1165" s="1268"/>
      <c r="C1165" s="1268"/>
      <c r="D1165" s="1268"/>
      <c r="E1165" s="1268" t="s">
        <v>1403</v>
      </c>
      <c r="F1165" s="1279"/>
      <c r="G1165" s="1279"/>
      <c r="H1165" s="1412">
        <v>0</v>
      </c>
      <c r="I1165" s="1412">
        <v>0</v>
      </c>
      <c r="J1165" s="1412">
        <v>0</v>
      </c>
      <c r="K1165" s="1412">
        <v>0</v>
      </c>
      <c r="L1165" s="1412">
        <v>0</v>
      </c>
      <c r="M1165" s="1412">
        <v>0</v>
      </c>
      <c r="N1165" s="1279"/>
      <c r="O1165" s="1270"/>
      <c r="P1165" s="1268" t="s">
        <v>40</v>
      </c>
      <c r="Q1165" s="1271"/>
    </row>
    <row r="1166" spans="1:17" ht="11.25" hidden="1" customHeight="1" x14ac:dyDescent="0.35">
      <c r="A1166" s="1267"/>
      <c r="B1166" s="1268"/>
      <c r="C1166" s="1268"/>
      <c r="D1166" s="1268"/>
      <c r="E1166" s="1268" t="s">
        <v>1404</v>
      </c>
      <c r="F1166" s="1279"/>
      <c r="G1166" s="1279"/>
      <c r="H1166" s="1279"/>
      <c r="I1166" s="1279"/>
      <c r="J1166" s="1279"/>
      <c r="K1166" s="1279"/>
      <c r="L1166" s="1279"/>
      <c r="M1166" s="1279"/>
      <c r="N1166" s="1279"/>
      <c r="O1166" s="1270"/>
      <c r="P1166" s="1268" t="s">
        <v>40</v>
      </c>
      <c r="Q1166" s="1271"/>
    </row>
    <row r="1167" spans="1:17" ht="11.25" hidden="1" customHeight="1" x14ac:dyDescent="0.35">
      <c r="A1167" s="1267"/>
      <c r="B1167" s="1268"/>
      <c r="C1167" s="1268"/>
      <c r="D1167" s="1268"/>
      <c r="E1167" s="1268" t="s">
        <v>1405</v>
      </c>
      <c r="F1167" s="1279"/>
      <c r="G1167" s="1279"/>
      <c r="H1167" s="1279"/>
      <c r="I1167" s="1279"/>
      <c r="J1167" s="1279"/>
      <c r="K1167" s="1279"/>
      <c r="L1167" s="1279"/>
      <c r="M1167" s="1279"/>
      <c r="N1167" s="1279"/>
      <c r="O1167" s="1270"/>
      <c r="P1167" s="1268" t="s">
        <v>40</v>
      </c>
      <c r="Q1167" s="1271"/>
    </row>
    <row r="1168" spans="1:17" ht="11.25" hidden="1" customHeight="1" x14ac:dyDescent="0.35">
      <c r="A1168" s="1267"/>
      <c r="B1168" s="1268"/>
      <c r="C1168" s="1268"/>
      <c r="D1168" s="1268"/>
      <c r="E1168" s="1268" t="s">
        <v>1406</v>
      </c>
      <c r="F1168" s="1279"/>
      <c r="G1168" s="1279">
        <f ca="1">(IF(DcvaCG&lt;&gt;2,G$673+G$674,0)-G$683)*IF(IF(G$5=-99,OFFSET(G$5,0,-1),G$5)&lt;CalcPoint,IF(DontCompound=1,1,(1+IF(VariableRate=1,G$1057,DiscMonth))^G$1059),1/((1+IF(VariableRate=1,G$1057,DiscMonth))^G$1059))</f>
        <v>0</v>
      </c>
      <c r="H1168" s="1279">
        <f t="shared" ref="H1168:N1168" ca="1" si="631">(IF(DcvaCG&lt;&gt;2,H$673+H$674,0)-H$683)*IF(IF(H$5=-99,OFFSET(H$5,0,-1),H$5)&lt;=CalcPoint,IF(DontCompound=1,1,(1+IF(VariableRate=1,H$1057,DiscMonth))^IF(MYDisc,H$1061,H$1059)),1/((1+IF(VariableRate=1,H$1057,DiscMonth))^IF(MYDisc,H$1061,H$1059)))</f>
        <v>0</v>
      </c>
      <c r="I1168" s="1279">
        <f t="shared" ca="1" si="631"/>
        <v>0</v>
      </c>
      <c r="J1168" s="1279">
        <f t="shared" ca="1" si="631"/>
        <v>0</v>
      </c>
      <c r="K1168" s="1279">
        <f t="shared" ca="1" si="631"/>
        <v>0</v>
      </c>
      <c r="L1168" s="1279">
        <f t="shared" ca="1" si="631"/>
        <v>0</v>
      </c>
      <c r="M1168" s="1279">
        <f t="shared" ca="1" si="631"/>
        <v>0</v>
      </c>
      <c r="N1168" s="1279">
        <f t="shared" ca="1" si="631"/>
        <v>0</v>
      </c>
      <c r="O1168" s="1270"/>
      <c r="P1168" s="1268" t="s">
        <v>40</v>
      </c>
      <c r="Q1168" s="1271"/>
    </row>
    <row r="1169" spans="1:17" ht="11.25" hidden="1" customHeight="1" x14ac:dyDescent="0.35">
      <c r="A1169" s="1267"/>
      <c r="B1169" s="1268"/>
      <c r="C1169" s="1268"/>
      <c r="D1169" s="1268"/>
      <c r="E1169" s="1268" t="s">
        <v>1407</v>
      </c>
      <c r="F1169" s="1279"/>
      <c r="G1169" s="1279"/>
      <c r="H1169" s="1279"/>
      <c r="I1169" s="1279"/>
      <c r="J1169" s="1279"/>
      <c r="K1169" s="1279"/>
      <c r="L1169" s="1279"/>
      <c r="M1169" s="1279"/>
      <c r="N1169" s="1279"/>
      <c r="O1169" s="1270"/>
      <c r="P1169" s="1268" t="s">
        <v>40</v>
      </c>
      <c r="Q1169" s="1271"/>
    </row>
    <row r="1170" spans="1:17" ht="11.25" hidden="1" customHeight="1" x14ac:dyDescent="0.35">
      <c r="A1170" s="1267"/>
      <c r="B1170" s="1268"/>
      <c r="C1170" s="1268" t="s">
        <v>1408</v>
      </c>
      <c r="D1170" s="1282" t="s">
        <v>1409</v>
      </c>
      <c r="E1170" s="1268" t="s">
        <v>1410</v>
      </c>
      <c r="F1170" s="1279"/>
      <c r="G1170" s="1279"/>
      <c r="H1170" s="1279"/>
      <c r="I1170" s="1279"/>
      <c r="J1170" s="1279"/>
      <c r="K1170" s="1279"/>
      <c r="L1170" s="1279"/>
      <c r="M1170" s="1279"/>
      <c r="N1170" s="1279"/>
      <c r="O1170" s="1270"/>
      <c r="P1170" s="1268" t="s">
        <v>40</v>
      </c>
      <c r="Q1170" s="1271"/>
    </row>
    <row r="1171" spans="1:17" ht="11.25" hidden="1" customHeight="1" x14ac:dyDescent="0.35">
      <c r="A1171" s="1267"/>
      <c r="B1171" s="1268"/>
      <c r="C1171" s="1268"/>
      <c r="D1171" s="1268"/>
      <c r="E1171" s="1268" t="s">
        <v>1411</v>
      </c>
      <c r="F1171" s="1279"/>
      <c r="G1171" s="1279"/>
      <c r="H1171" s="1279"/>
      <c r="I1171" s="1279"/>
      <c r="J1171" s="1279"/>
      <c r="K1171" s="1279"/>
      <c r="L1171" s="1279"/>
      <c r="M1171" s="1279"/>
      <c r="N1171" s="1279"/>
      <c r="O1171" s="1270"/>
      <c r="P1171" s="1268" t="s">
        <v>40</v>
      </c>
      <c r="Q1171" s="1271"/>
    </row>
    <row r="1172" spans="1:17" ht="11.25" hidden="1" customHeight="1" x14ac:dyDescent="0.35">
      <c r="A1172" s="1267"/>
      <c r="B1172" s="1268"/>
      <c r="C1172" s="1268"/>
      <c r="D1172" s="1268"/>
      <c r="E1172" s="1268" t="s">
        <v>1412</v>
      </c>
      <c r="F1172" s="1279"/>
      <c r="G1172" s="1279"/>
      <c r="H1172" s="1279"/>
      <c r="I1172" s="1279"/>
      <c r="J1172" s="1279"/>
      <c r="K1172" s="1279"/>
      <c r="L1172" s="1279"/>
      <c r="M1172" s="1279"/>
      <c r="N1172" s="1279"/>
      <c r="O1172" s="1270"/>
      <c r="P1172" s="1268" t="s">
        <v>40</v>
      </c>
      <c r="Q1172" s="1271"/>
    </row>
    <row r="1173" spans="1:17" ht="11.25" hidden="1" customHeight="1" x14ac:dyDescent="0.35">
      <c r="A1173" s="1267"/>
      <c r="B1173" s="1268"/>
      <c r="C1173" s="1268"/>
      <c r="D1173" s="1268"/>
      <c r="E1173" s="1268" t="s">
        <v>1413</v>
      </c>
      <c r="F1173" s="1279"/>
      <c r="G1173" s="1279"/>
      <c r="H1173" s="1279"/>
      <c r="I1173" s="1279"/>
      <c r="J1173" s="1279"/>
      <c r="K1173" s="1279"/>
      <c r="L1173" s="1279"/>
      <c r="M1173" s="1279"/>
      <c r="N1173" s="1279"/>
      <c r="O1173" s="1270"/>
      <c r="P1173" s="1268" t="s">
        <v>40</v>
      </c>
      <c r="Q1173" s="1271"/>
    </row>
    <row r="1174" spans="1:17" ht="11.25" hidden="1" customHeight="1" x14ac:dyDescent="0.35">
      <c r="A1174" s="1267"/>
      <c r="B1174" s="1268"/>
      <c r="C1174" s="1268"/>
      <c r="D1174" s="1268"/>
      <c r="E1174" s="1268" t="s">
        <v>1414</v>
      </c>
      <c r="F1174" s="1279"/>
      <c r="G1174" s="1279"/>
      <c r="H1174" s="1279"/>
      <c r="I1174" s="1279"/>
      <c r="J1174" s="1279"/>
      <c r="K1174" s="1279"/>
      <c r="L1174" s="1279"/>
      <c r="M1174" s="1279"/>
      <c r="N1174" s="1279"/>
      <c r="O1174" s="1270"/>
      <c r="P1174" s="1268" t="s">
        <v>40</v>
      </c>
      <c r="Q1174" s="1271"/>
    </row>
    <row r="1175" spans="1:17" ht="11.25" hidden="1" customHeight="1" x14ac:dyDescent="0.35">
      <c r="A1175" s="1267"/>
      <c r="B1175" s="1268"/>
      <c r="C1175" s="1268"/>
      <c r="D1175" s="1268"/>
      <c r="E1175" s="1268" t="s">
        <v>1415</v>
      </c>
      <c r="F1175" s="1279"/>
      <c r="G1175" s="1279"/>
      <c r="H1175" s="1279"/>
      <c r="I1175" s="1279"/>
      <c r="J1175" s="1279"/>
      <c r="K1175" s="1279"/>
      <c r="L1175" s="1279"/>
      <c r="M1175" s="1279"/>
      <c r="N1175" s="1279"/>
      <c r="O1175" s="1270"/>
      <c r="P1175" s="1268" t="s">
        <v>40</v>
      </c>
      <c r="Q1175" s="1271"/>
    </row>
    <row r="1176" spans="1:17" ht="11.25" hidden="1" customHeight="1" x14ac:dyDescent="0.35">
      <c r="A1176" s="1267"/>
      <c r="B1176" s="1268"/>
      <c r="C1176" s="1268"/>
      <c r="D1176" s="1268"/>
      <c r="E1176" s="1268" t="s">
        <v>1416</v>
      </c>
      <c r="F1176" s="1279"/>
      <c r="G1176" s="1279"/>
      <c r="H1176" s="1279"/>
      <c r="I1176" s="1279"/>
      <c r="J1176" s="1279"/>
      <c r="K1176" s="1279"/>
      <c r="L1176" s="1279"/>
      <c r="M1176" s="1279"/>
      <c r="N1176" s="1279"/>
      <c r="O1176" s="1270"/>
      <c r="P1176" s="1268" t="s">
        <v>40</v>
      </c>
      <c r="Q1176" s="1271"/>
    </row>
    <row r="1177" spans="1:17" ht="11.25" hidden="1" customHeight="1" x14ac:dyDescent="0.35">
      <c r="A1177" s="1267"/>
      <c r="B1177" s="1268"/>
      <c r="C1177" s="1268"/>
      <c r="D1177" s="1268"/>
      <c r="E1177" s="1268" t="s">
        <v>1417</v>
      </c>
      <c r="F1177" s="1279"/>
      <c r="G1177" s="1279"/>
      <c r="H1177" s="1279"/>
      <c r="I1177" s="1279"/>
      <c r="J1177" s="1279"/>
      <c r="K1177" s="1279"/>
      <c r="L1177" s="1279"/>
      <c r="M1177" s="1279"/>
      <c r="N1177" s="1279"/>
      <c r="O1177" s="1270"/>
      <c r="P1177" s="1268" t="s">
        <v>40</v>
      </c>
      <c r="Q1177" s="1271"/>
    </row>
    <row r="1178" spans="1:17" ht="11.25" hidden="1" customHeight="1" x14ac:dyDescent="0.35">
      <c r="A1178" s="1267"/>
      <c r="B1178" s="1268"/>
      <c r="C1178" s="1268"/>
      <c r="D1178" s="1268"/>
      <c r="E1178" s="1268" t="s">
        <v>1418</v>
      </c>
      <c r="F1178" s="1279"/>
      <c r="G1178" s="1279"/>
      <c r="H1178" s="1279"/>
      <c r="I1178" s="1279"/>
      <c r="J1178" s="1279"/>
      <c r="K1178" s="1279"/>
      <c r="L1178" s="1279"/>
      <c r="M1178" s="1279"/>
      <c r="N1178" s="1279"/>
      <c r="O1178" s="1270"/>
      <c r="P1178" s="1268" t="s">
        <v>40</v>
      </c>
      <c r="Q1178" s="1271"/>
    </row>
    <row r="1179" spans="1:17" ht="11.25" hidden="1" customHeight="1" x14ac:dyDescent="0.35">
      <c r="A1179" s="1267"/>
      <c r="B1179" s="1268"/>
      <c r="C1179" s="1268"/>
      <c r="D1179" s="1268"/>
      <c r="E1179" s="1268" t="s">
        <v>1419</v>
      </c>
      <c r="F1179" s="1279"/>
      <c r="G1179" s="1279"/>
      <c r="H1179" s="1279"/>
      <c r="I1179" s="1279"/>
      <c r="J1179" s="1279"/>
      <c r="K1179" s="1279"/>
      <c r="L1179" s="1279"/>
      <c r="M1179" s="1279"/>
      <c r="N1179" s="1279"/>
      <c r="O1179" s="1270"/>
      <c r="P1179" s="1268" t="s">
        <v>40</v>
      </c>
      <c r="Q1179" s="1271"/>
    </row>
    <row r="1180" spans="1:17" ht="11.25" hidden="1" customHeight="1" x14ac:dyDescent="0.35">
      <c r="A1180" s="1267"/>
      <c r="B1180" s="1268"/>
      <c r="C1180" s="1268"/>
      <c r="D1180" s="1268"/>
      <c r="E1180" s="1268" t="s">
        <v>1420</v>
      </c>
      <c r="F1180" s="1279"/>
      <c r="G1180" s="1279"/>
      <c r="H1180" s="1279"/>
      <c r="I1180" s="1279"/>
      <c r="J1180" s="1279"/>
      <c r="K1180" s="1279"/>
      <c r="L1180" s="1279"/>
      <c r="M1180" s="1279"/>
      <c r="N1180" s="1279"/>
      <c r="O1180" s="1270"/>
      <c r="P1180" s="1268" t="s">
        <v>40</v>
      </c>
      <c r="Q1180" s="1271"/>
    </row>
    <row r="1181" spans="1:17" ht="11.25" hidden="1" customHeight="1" x14ac:dyDescent="0.35">
      <c r="A1181" s="1267"/>
      <c r="B1181" s="1268"/>
      <c r="C1181" s="1268"/>
      <c r="D1181" s="1268"/>
      <c r="E1181" s="1268" t="s">
        <v>1421</v>
      </c>
      <c r="F1181" s="1279"/>
      <c r="G1181" s="1279"/>
      <c r="H1181" s="1279"/>
      <c r="I1181" s="1279"/>
      <c r="J1181" s="1279"/>
      <c r="K1181" s="1279"/>
      <c r="L1181" s="1279"/>
      <c r="M1181" s="1279"/>
      <c r="N1181" s="1279"/>
      <c r="O1181" s="1270"/>
      <c r="P1181" s="1268" t="s">
        <v>40</v>
      </c>
      <c r="Q1181" s="1271"/>
    </row>
    <row r="1182" spans="1:17" ht="11.25" hidden="1" customHeight="1" x14ac:dyDescent="0.35">
      <c r="A1182" s="1267"/>
      <c r="B1182" s="1268"/>
      <c r="C1182" s="1268"/>
      <c r="D1182" s="1268"/>
      <c r="E1182" s="1268" t="s">
        <v>1422</v>
      </c>
      <c r="F1182" s="1279"/>
      <c r="G1182" s="1279"/>
      <c r="H1182" s="1279"/>
      <c r="I1182" s="1279"/>
      <c r="J1182" s="1279"/>
      <c r="K1182" s="1279"/>
      <c r="L1182" s="1279"/>
      <c r="M1182" s="1279"/>
      <c r="N1182" s="1279"/>
      <c r="O1182" s="1270"/>
      <c r="P1182" s="1268" t="s">
        <v>40</v>
      </c>
      <c r="Q1182" s="1271"/>
    </row>
    <row r="1183" spans="1:17" ht="11.25" hidden="1" customHeight="1" x14ac:dyDescent="0.35">
      <c r="A1183" s="1267"/>
      <c r="B1183" s="1268"/>
      <c r="C1183" s="1268"/>
      <c r="D1183" s="1268"/>
      <c r="E1183" s="1268" t="s">
        <v>1423</v>
      </c>
      <c r="F1183" s="1279"/>
      <c r="G1183" s="1279"/>
      <c r="H1183" s="1279"/>
      <c r="I1183" s="1279"/>
      <c r="J1183" s="1279"/>
      <c r="K1183" s="1279"/>
      <c r="L1183" s="1279"/>
      <c r="M1183" s="1279"/>
      <c r="N1183" s="1279"/>
      <c r="O1183" s="1270"/>
      <c r="P1183" s="1268" t="s">
        <v>40</v>
      </c>
      <c r="Q1183" s="1271"/>
    </row>
    <row r="1184" spans="1:17" ht="11.25" hidden="1" customHeight="1" x14ac:dyDescent="0.35">
      <c r="A1184" s="1267"/>
      <c r="B1184" s="1268"/>
      <c r="C1184" s="1268"/>
      <c r="D1184" s="1268"/>
      <c r="E1184" s="1268" t="s">
        <v>1424</v>
      </c>
      <c r="F1184" s="1279"/>
      <c r="G1184" s="1279"/>
      <c r="H1184" s="1279"/>
      <c r="I1184" s="1279"/>
      <c r="J1184" s="1279"/>
      <c r="K1184" s="1279"/>
      <c r="L1184" s="1279"/>
      <c r="M1184" s="1279"/>
      <c r="N1184" s="1279"/>
      <c r="O1184" s="1270"/>
      <c r="P1184" s="1268" t="s">
        <v>40</v>
      </c>
      <c r="Q1184" s="1271"/>
    </row>
    <row r="1185" spans="1:17" ht="11.25" hidden="1" customHeight="1" x14ac:dyDescent="0.35">
      <c r="A1185" s="1267"/>
      <c r="B1185" s="1268"/>
      <c r="C1185" s="1268"/>
      <c r="D1185" s="1268"/>
      <c r="E1185" s="1268" t="s">
        <v>1425</v>
      </c>
      <c r="F1185" s="1279"/>
      <c r="G1185" s="1279"/>
      <c r="H1185" s="1279"/>
      <c r="I1185" s="1279"/>
      <c r="J1185" s="1279"/>
      <c r="K1185" s="1279"/>
      <c r="L1185" s="1279"/>
      <c r="M1185" s="1279"/>
      <c r="N1185" s="1279"/>
      <c r="O1185" s="1270"/>
      <c r="P1185" s="1268" t="s">
        <v>40</v>
      </c>
      <c r="Q1185" s="1271"/>
    </row>
    <row r="1186" spans="1:17" ht="11.25" hidden="1" customHeight="1" x14ac:dyDescent="0.35">
      <c r="A1186" s="1267"/>
      <c r="B1186" s="1268"/>
      <c r="C1186" s="1268"/>
      <c r="D1186" s="1268"/>
      <c r="E1186" s="1268" t="s">
        <v>1426</v>
      </c>
      <c r="F1186" s="1279"/>
      <c r="G1186" s="1279"/>
      <c r="H1186" s="1279"/>
      <c r="I1186" s="1279"/>
      <c r="J1186" s="1279"/>
      <c r="K1186" s="1279"/>
      <c r="L1186" s="1279"/>
      <c r="M1186" s="1279"/>
      <c r="N1186" s="1279"/>
      <c r="O1186" s="1270"/>
      <c r="P1186" s="1268" t="s">
        <v>40</v>
      </c>
      <c r="Q1186" s="1271"/>
    </row>
    <row r="1187" spans="1:17" ht="11.25" hidden="1" customHeight="1" x14ac:dyDescent="0.35">
      <c r="A1187" s="1267"/>
      <c r="B1187" s="1268"/>
      <c r="C1187" s="1268"/>
      <c r="D1187" s="1268"/>
      <c r="E1187" s="1268" t="s">
        <v>1427</v>
      </c>
      <c r="F1187" s="1279"/>
      <c r="G1187" s="1279"/>
      <c r="H1187" s="1279"/>
      <c r="I1187" s="1279"/>
      <c r="J1187" s="1279"/>
      <c r="K1187" s="1279"/>
      <c r="L1187" s="1279"/>
      <c r="M1187" s="1279"/>
      <c r="N1187" s="1279"/>
      <c r="O1187" s="1270"/>
      <c r="P1187" s="1268" t="s">
        <v>40</v>
      </c>
      <c r="Q1187" s="1271"/>
    </row>
    <row r="1188" spans="1:17" ht="11.25" hidden="1" customHeight="1" x14ac:dyDescent="0.35">
      <c r="A1188" s="1267"/>
      <c r="B1188" s="1268"/>
      <c r="C1188" s="1268"/>
      <c r="D1188" s="1268"/>
      <c r="E1188" s="1268" t="s">
        <v>1428</v>
      </c>
      <c r="F1188" s="1279"/>
      <c r="G1188" s="1279"/>
      <c r="H1188" s="1279"/>
      <c r="I1188" s="1279"/>
      <c r="J1188" s="1279"/>
      <c r="K1188" s="1279"/>
      <c r="L1188" s="1279"/>
      <c r="M1188" s="1279"/>
      <c r="N1188" s="1279"/>
      <c r="O1188" s="1270"/>
      <c r="P1188" s="1268" t="s">
        <v>40</v>
      </c>
      <c r="Q1188" s="1271"/>
    </row>
    <row r="1189" spans="1:17" ht="11.25" hidden="1" customHeight="1" x14ac:dyDescent="0.35">
      <c r="A1189" s="1267"/>
      <c r="B1189" s="1268"/>
      <c r="C1189" s="1268"/>
      <c r="D1189" s="1268"/>
      <c r="E1189" s="1268" t="s">
        <v>1429</v>
      </c>
      <c r="F1189" s="1279"/>
      <c r="G1189" s="1279"/>
      <c r="H1189" s="1279"/>
      <c r="I1189" s="1279"/>
      <c r="J1189" s="1279"/>
      <c r="K1189" s="1279"/>
      <c r="L1189" s="1279"/>
      <c r="M1189" s="1279"/>
      <c r="N1189" s="1279"/>
      <c r="O1189" s="1270"/>
      <c r="P1189" s="1268" t="s">
        <v>40</v>
      </c>
      <c r="Q1189" s="1271"/>
    </row>
    <row r="1190" spans="1:17" ht="11.25" hidden="1" customHeight="1" x14ac:dyDescent="0.35">
      <c r="A1190" s="1267"/>
      <c r="B1190" s="1268"/>
      <c r="C1190" s="1268"/>
      <c r="D1190" s="1268"/>
      <c r="E1190" s="1268" t="s">
        <v>1430</v>
      </c>
      <c r="F1190" s="1279"/>
      <c r="G1190" s="1279"/>
      <c r="H1190" s="1279"/>
      <c r="I1190" s="1279"/>
      <c r="J1190" s="1279"/>
      <c r="K1190" s="1279"/>
      <c r="L1190" s="1279"/>
      <c r="M1190" s="1279"/>
      <c r="N1190" s="1279"/>
      <c r="O1190" s="1270"/>
      <c r="P1190" s="1268" t="s">
        <v>40</v>
      </c>
      <c r="Q1190" s="1271"/>
    </row>
    <row r="1191" spans="1:17" ht="11.25" hidden="1" customHeight="1" x14ac:dyDescent="0.35">
      <c r="A1191" s="1267"/>
      <c r="B1191" s="1268"/>
      <c r="C1191" s="1268"/>
      <c r="D1191" s="1268"/>
      <c r="E1191" s="1268" t="s">
        <v>1431</v>
      </c>
      <c r="F1191" s="1279"/>
      <c r="G1191" s="1279"/>
      <c r="H1191" s="1279"/>
      <c r="I1191" s="1279"/>
      <c r="J1191" s="1279"/>
      <c r="K1191" s="1279"/>
      <c r="L1191" s="1279"/>
      <c r="M1191" s="1279"/>
      <c r="N1191" s="1279"/>
      <c r="O1191" s="1270"/>
      <c r="P1191" s="1268" t="s">
        <v>40</v>
      </c>
      <c r="Q1191" s="1271"/>
    </row>
    <row r="1192" spans="1:17" ht="11.25" hidden="1" customHeight="1" x14ac:dyDescent="0.35">
      <c r="A1192" s="1267"/>
      <c r="B1192" s="1268"/>
      <c r="C1192" s="1268"/>
      <c r="D1192" s="1268"/>
      <c r="E1192" s="1268" t="s">
        <v>1432</v>
      </c>
      <c r="F1192" s="1279"/>
      <c r="G1192" s="1279"/>
      <c r="H1192" s="1279"/>
      <c r="I1192" s="1279"/>
      <c r="J1192" s="1279"/>
      <c r="K1192" s="1279"/>
      <c r="L1192" s="1279"/>
      <c r="M1192" s="1279"/>
      <c r="N1192" s="1279"/>
      <c r="O1192" s="1270"/>
      <c r="P1192" s="1268" t="s">
        <v>40</v>
      </c>
      <c r="Q1192" s="1271"/>
    </row>
    <row r="1193" spans="1:17" ht="11.25" hidden="1" customHeight="1" x14ac:dyDescent="0.35">
      <c r="A1193" s="1267"/>
      <c r="B1193" s="1268"/>
      <c r="C1193" s="1268"/>
      <c r="D1193" s="1268"/>
      <c r="E1193" s="1268" t="s">
        <v>1433</v>
      </c>
      <c r="F1193" s="1279"/>
      <c r="G1193" s="1279"/>
      <c r="H1193" s="1279"/>
      <c r="I1193" s="1279"/>
      <c r="J1193" s="1279"/>
      <c r="K1193" s="1279"/>
      <c r="L1193" s="1279"/>
      <c r="M1193" s="1279"/>
      <c r="N1193" s="1279"/>
      <c r="O1193" s="1270"/>
      <c r="P1193" s="1268" t="s">
        <v>40</v>
      </c>
      <c r="Q1193" s="1271"/>
    </row>
    <row r="1194" spans="1:17" ht="11.25" hidden="1" customHeight="1" x14ac:dyDescent="0.35">
      <c r="A1194" s="1267"/>
      <c r="B1194" s="1268"/>
      <c r="C1194" s="1268"/>
      <c r="D1194" s="1268"/>
      <c r="E1194" s="1268" t="s">
        <v>1434</v>
      </c>
      <c r="F1194" s="1279"/>
      <c r="G1194" s="1279"/>
      <c r="H1194" s="1279"/>
      <c r="I1194" s="1279"/>
      <c r="J1194" s="1279"/>
      <c r="K1194" s="1279"/>
      <c r="L1194" s="1279"/>
      <c r="M1194" s="1279"/>
      <c r="N1194" s="1279"/>
      <c r="O1194" s="1270"/>
      <c r="P1194" s="1268" t="s">
        <v>40</v>
      </c>
      <c r="Q1194" s="1271"/>
    </row>
    <row r="1195" spans="1:17" ht="11.25" hidden="1" customHeight="1" x14ac:dyDescent="0.35">
      <c r="A1195" s="1267"/>
      <c r="B1195" s="1268"/>
      <c r="C1195" s="1268"/>
      <c r="D1195" s="1268"/>
      <c r="E1195" s="1268" t="s">
        <v>1435</v>
      </c>
      <c r="F1195" s="1279"/>
      <c r="G1195" s="1279"/>
      <c r="H1195" s="1279"/>
      <c r="I1195" s="1279"/>
      <c r="J1195" s="1279"/>
      <c r="K1195" s="1279"/>
      <c r="L1195" s="1279"/>
      <c r="M1195" s="1279"/>
      <c r="N1195" s="1279"/>
      <c r="O1195" s="1270"/>
      <c r="P1195" s="1268" t="s">
        <v>40</v>
      </c>
      <c r="Q1195" s="1271"/>
    </row>
    <row r="1196" spans="1:17" ht="11.25" hidden="1" customHeight="1" x14ac:dyDescent="0.35">
      <c r="A1196" s="1267"/>
      <c r="B1196" s="1268"/>
      <c r="C1196" s="1268"/>
      <c r="D1196" s="1268"/>
      <c r="E1196" s="1268" t="s">
        <v>1436</v>
      </c>
      <c r="F1196" s="1279"/>
      <c r="G1196" s="1279"/>
      <c r="H1196" s="1279"/>
      <c r="I1196" s="1279"/>
      <c r="J1196" s="1279"/>
      <c r="K1196" s="1279"/>
      <c r="L1196" s="1279"/>
      <c r="M1196" s="1279"/>
      <c r="N1196" s="1279"/>
      <c r="O1196" s="1270"/>
      <c r="P1196" s="1268" t="s">
        <v>40</v>
      </c>
      <c r="Q1196" s="1271"/>
    </row>
    <row r="1197" spans="1:17" ht="11.25" hidden="1" customHeight="1" x14ac:dyDescent="0.35">
      <c r="A1197" s="1267"/>
      <c r="B1197" s="1268"/>
      <c r="C1197" s="1268"/>
      <c r="D1197" s="1268"/>
      <c r="E1197" s="1268" t="s">
        <v>1437</v>
      </c>
      <c r="F1197" s="1279"/>
      <c r="G1197" s="1279"/>
      <c r="H1197" s="1279"/>
      <c r="I1197" s="1279"/>
      <c r="J1197" s="1279"/>
      <c r="K1197" s="1279"/>
      <c r="L1197" s="1279"/>
      <c r="M1197" s="1279"/>
      <c r="N1197" s="1279"/>
      <c r="O1197" s="1270"/>
      <c r="P1197" s="1268" t="s">
        <v>40</v>
      </c>
      <c r="Q1197" s="1271"/>
    </row>
    <row r="1198" spans="1:17" ht="11.25" hidden="1" customHeight="1" x14ac:dyDescent="0.35">
      <c r="A1198" s="1267"/>
      <c r="B1198" s="1268"/>
      <c r="C1198" s="1268"/>
      <c r="D1198" s="1268"/>
      <c r="E1198" s="1268" t="s">
        <v>1438</v>
      </c>
      <c r="F1198" s="1279"/>
      <c r="G1198" s="1279"/>
      <c r="H1198" s="1279"/>
      <c r="I1198" s="1279"/>
      <c r="J1198" s="1279"/>
      <c r="K1198" s="1279"/>
      <c r="L1198" s="1279"/>
      <c r="M1198" s="1279"/>
      <c r="N1198" s="1279"/>
      <c r="O1198" s="1270"/>
      <c r="P1198" s="1268" t="s">
        <v>40</v>
      </c>
      <c r="Q1198" s="1271"/>
    </row>
    <row r="1199" spans="1:17" ht="11.25" hidden="1" customHeight="1" x14ac:dyDescent="0.35">
      <c r="A1199" s="1267"/>
      <c r="B1199" s="1268"/>
      <c r="C1199" s="1268"/>
      <c r="D1199" s="1268"/>
      <c r="E1199" s="1268" t="s">
        <v>1439</v>
      </c>
      <c r="F1199" s="1279"/>
      <c r="G1199" s="1279"/>
      <c r="H1199" s="1279"/>
      <c r="I1199" s="1279"/>
      <c r="J1199" s="1279"/>
      <c r="K1199" s="1279"/>
      <c r="L1199" s="1279"/>
      <c r="M1199" s="1279"/>
      <c r="N1199" s="1279"/>
      <c r="O1199" s="1270"/>
      <c r="P1199" s="1268" t="s">
        <v>40</v>
      </c>
      <c r="Q1199" s="1271"/>
    </row>
    <row r="1200" spans="1:17" ht="11.25" hidden="1" customHeight="1" x14ac:dyDescent="0.35">
      <c r="A1200" s="1267"/>
      <c r="B1200" s="1268"/>
      <c r="C1200" s="1268" t="s">
        <v>1440</v>
      </c>
      <c r="D1200" s="1268"/>
      <c r="E1200" s="1268" t="s">
        <v>1441</v>
      </c>
      <c r="F1200" s="1279"/>
      <c r="G1200" s="1269">
        <f t="shared" ref="G1200:N1200" ca="1" si="632">IF(VariableRateEquity=1,SUM(OFFSET($E$695,0,G$8)),SUM(DiscYearEquity))</f>
        <v>0</v>
      </c>
      <c r="H1200" s="1269">
        <f t="shared" ca="1" si="632"/>
        <v>0</v>
      </c>
      <c r="I1200" s="1269">
        <f t="shared" ca="1" si="632"/>
        <v>0</v>
      </c>
      <c r="J1200" s="1269">
        <f t="shared" ca="1" si="632"/>
        <v>0</v>
      </c>
      <c r="K1200" s="1269">
        <f t="shared" ca="1" si="632"/>
        <v>0</v>
      </c>
      <c r="L1200" s="1269">
        <f t="shared" ca="1" si="632"/>
        <v>0</v>
      </c>
      <c r="M1200" s="1269">
        <f t="shared" ca="1" si="632"/>
        <v>0</v>
      </c>
      <c r="N1200" s="1269">
        <f t="shared" ca="1" si="632"/>
        <v>0</v>
      </c>
      <c r="O1200" s="1270"/>
      <c r="P1200" s="1268" t="s">
        <v>40</v>
      </c>
      <c r="Q1200" s="1271"/>
    </row>
    <row r="1201" spans="1:17" ht="11.25" hidden="1" customHeight="1" x14ac:dyDescent="0.35">
      <c r="A1201" s="1267"/>
      <c r="B1201" s="1268"/>
      <c r="C1201" s="1268" t="s">
        <v>1442</v>
      </c>
      <c r="D1201" s="1268"/>
      <c r="E1201" s="1268" t="s">
        <v>1443</v>
      </c>
      <c r="F1201" s="1279"/>
      <c r="G1201" s="1269">
        <f t="shared" ref="G1201:N1201" ca="1" si="633">(1+G1200/100)^(1/12)-1</f>
        <v>0</v>
      </c>
      <c r="H1201" s="1269">
        <f t="shared" ca="1" si="633"/>
        <v>0</v>
      </c>
      <c r="I1201" s="1269">
        <f t="shared" ca="1" si="633"/>
        <v>0</v>
      </c>
      <c r="J1201" s="1269">
        <f t="shared" ca="1" si="633"/>
        <v>0</v>
      </c>
      <c r="K1201" s="1269">
        <f t="shared" ca="1" si="633"/>
        <v>0</v>
      </c>
      <c r="L1201" s="1269">
        <f t="shared" ca="1" si="633"/>
        <v>0</v>
      </c>
      <c r="M1201" s="1269">
        <f t="shared" ca="1" si="633"/>
        <v>0</v>
      </c>
      <c r="N1201" s="1269">
        <f t="shared" ca="1" si="633"/>
        <v>0</v>
      </c>
      <c r="O1201" s="1270"/>
      <c r="P1201" s="1268" t="s">
        <v>40</v>
      </c>
      <c r="Q1201" s="1271"/>
    </row>
    <row r="1202" spans="1:17" ht="11.25" hidden="1" customHeight="1" x14ac:dyDescent="0.35">
      <c r="A1202" s="1267"/>
      <c r="B1202" s="1268"/>
      <c r="C1202" s="1268" t="s">
        <v>1444</v>
      </c>
      <c r="D1202" s="1268"/>
      <c r="E1202" s="1268" t="s">
        <v>1445</v>
      </c>
      <c r="F1202" s="1279"/>
      <c r="G1202" s="1279">
        <f ca="1">(G$675+G$681)*IF(IF(G$5=-99,OFFSET(G$5,0,-1),G$5)&lt;CalcPoint,IF(DontCompound=1,1,(1+IF(VariableRateEquity=1,G$1201,DiscMonthEquity))^G$1059),1/((1+IF(VariableRateEquity=1,G$1201,DiscMonthEquity))^G$1059))</f>
        <v>0</v>
      </c>
      <c r="H1202" s="1279">
        <f t="shared" ref="H1202:N1202" ca="1" si="634">(H$675+H$681)*IF(IF(H$5=-99,OFFSET(H$5,0,-1),H$5)&lt;=CalcPoint,IF(DontCompound=1,1,(1+IF(VariableRateEquity=1,H$1201,DiscMonthEquity))^IF(MYDisc,H$1061,H$1059)),1/((1+IF(VariableRateEquity=1,H$1201,DiscMonthEquity))^IF(MYDisc,H$1061,H$1059)))</f>
        <v>-23589645.559880517</v>
      </c>
      <c r="I1202" s="1279">
        <f t="shared" ca="1" si="634"/>
        <v>16340152.555675525</v>
      </c>
      <c r="J1202" s="1279">
        <f t="shared" ca="1" si="634"/>
        <v>5744975.1269501373</v>
      </c>
      <c r="K1202" s="1279">
        <f t="shared" ca="1" si="634"/>
        <v>8447503.311763918</v>
      </c>
      <c r="L1202" s="1279">
        <f t="shared" ca="1" si="634"/>
        <v>11319334.517848302</v>
      </c>
      <c r="M1202" s="1279">
        <f t="shared" ca="1" si="634"/>
        <v>15139277.1300673</v>
      </c>
      <c r="N1202" s="1279">
        <f t="shared" ca="1" si="634"/>
        <v>12989698.255395312</v>
      </c>
      <c r="O1202" s="1270"/>
      <c r="P1202" s="1268" t="s">
        <v>40</v>
      </c>
      <c r="Q1202" s="1271"/>
    </row>
    <row r="1203" spans="1:17" ht="11.25" hidden="1" customHeight="1" x14ac:dyDescent="0.35">
      <c r="A1203" s="1267"/>
      <c r="B1203" s="1268"/>
      <c r="C1203" s="1268" t="s">
        <v>1446</v>
      </c>
      <c r="D1203" s="1268"/>
      <c r="E1203" s="1268" t="s">
        <v>1447</v>
      </c>
      <c r="F1203" s="1279"/>
      <c r="G1203" s="1279">
        <f ca="1">(G$675+G$681)*IF(IF(G$5=-99,OFFSET(G$5,0,-1),G$5)&lt;CalcPointPB,IF(DontCompoundPB=1,1,(1+IF(VariableRateEquity=1,G$1201,DiscMonthEquity))^G$1060),1/((1+IF(VariableRateEquity=1,G$1201,DiscMonthEquity))^G$1060))</f>
        <v>0</v>
      </c>
      <c r="H1203" s="1279">
        <f t="shared" ref="H1203:N1203" ca="1" si="635">(H$675+H$681)*IF(IF(H$5=-99,OFFSET(H$5,0,-1),H$5)&lt;=CalcPointPB,IF(DontCompoundPB=1,1,(1+IF(VariableRateEquity=1,H$1201,DiscMonthEquity))^IF(MYDisc,H$1062,H$1060)),1/((1+IF(VariableRateEquity=1,H$1201,DiscMonthEquity))^IF(MYDisc,H$1062,H$1060)))</f>
        <v>-23589645.559880517</v>
      </c>
      <c r="I1203" s="1279">
        <f t="shared" ca="1" si="635"/>
        <v>16340152.555675525</v>
      </c>
      <c r="J1203" s="1279">
        <f t="shared" ca="1" si="635"/>
        <v>5744975.1269501373</v>
      </c>
      <c r="K1203" s="1279">
        <f t="shared" ca="1" si="635"/>
        <v>8447503.311763918</v>
      </c>
      <c r="L1203" s="1279">
        <f t="shared" ca="1" si="635"/>
        <v>11319334.517848302</v>
      </c>
      <c r="M1203" s="1279">
        <f t="shared" ca="1" si="635"/>
        <v>15139277.1300673</v>
      </c>
      <c r="N1203" s="1279">
        <f t="shared" ca="1" si="635"/>
        <v>12989698.255395312</v>
      </c>
      <c r="O1203" s="1270"/>
      <c r="P1203" s="1268" t="s">
        <v>40</v>
      </c>
      <c r="Q1203" s="1271"/>
    </row>
    <row r="1204" spans="1:17" ht="11.25" hidden="1" customHeight="1" x14ac:dyDescent="0.35">
      <c r="A1204" s="1267"/>
      <c r="B1204" s="1268"/>
      <c r="C1204" s="1268" t="s">
        <v>1448</v>
      </c>
      <c r="D1204" s="1268"/>
      <c r="E1204" s="1268" t="s">
        <v>1449</v>
      </c>
      <c r="F1204" s="1279"/>
      <c r="G1204" s="1279">
        <f ca="1">G1203</f>
        <v>0</v>
      </c>
      <c r="H1204" s="1279">
        <f t="shared" ref="H1204:N1204" ca="1" si="636">OFFSET(H1204,0,-1)+H1203</f>
        <v>-23589645.559880517</v>
      </c>
      <c r="I1204" s="1279">
        <f t="shared" ca="1" si="636"/>
        <v>-7249493.0042049922</v>
      </c>
      <c r="J1204" s="1279">
        <f t="shared" ca="1" si="636"/>
        <v>-1504517.8772548549</v>
      </c>
      <c r="K1204" s="1279">
        <f t="shared" ca="1" si="636"/>
        <v>6942985.4345090631</v>
      </c>
      <c r="L1204" s="1279">
        <f t="shared" ca="1" si="636"/>
        <v>18262319.952357367</v>
      </c>
      <c r="M1204" s="1279">
        <f t="shared" ca="1" si="636"/>
        <v>33401597.082424667</v>
      </c>
      <c r="N1204" s="1279">
        <f t="shared" ca="1" si="636"/>
        <v>46391295.337819979</v>
      </c>
      <c r="O1204" s="1279">
        <f t="shared" ref="H1204:O1204" ca="1" si="637">OFFSET(O1204,0,-1)+O1203</f>
        <v>46391295.337819979</v>
      </c>
      <c r="P1204" s="1268" t="s">
        <v>40</v>
      </c>
      <c r="Q1204" s="1271"/>
    </row>
    <row r="1205" spans="1:17" ht="11.25" hidden="1" customHeight="1" x14ac:dyDescent="0.35">
      <c r="A1205" s="1267"/>
      <c r="B1205" s="1268"/>
      <c r="C1205" s="1268"/>
      <c r="D1205" s="1268"/>
      <c r="E1205" s="1268" t="s">
        <v>1450</v>
      </c>
      <c r="F1205" s="1272"/>
      <c r="G1205" s="1269">
        <f ca="1">IF(G$1208&lt;0,G$1208,IF(SUMIF(G$1208:$N$1208,"&lt;0")=0,G$1208,OFFSET(G1205,0,-1)))</f>
        <v>-1.0000000000000001E-9</v>
      </c>
      <c r="H1205" s="1269">
        <f ca="1">IF(H$1208&lt;0,H$1208,IF(SUMIF(H$1208:$N$1208,"&lt;0")=0,H$1208,OFFSET(H1205,0,-1)))</f>
        <v>-23589645.559880517</v>
      </c>
      <c r="I1205" s="1269">
        <f ca="1">IF(I$1208&lt;0,I$1208,IF(SUMIF(I$1208:$N$1208,"&lt;0")=0,I$1208,OFFSET(I1205,0,-1)))</f>
        <v>-7249493.0042049931</v>
      </c>
      <c r="J1205" s="1269">
        <f ca="1">IF(J$1208&lt;0,J$1208,IF(SUMIF(J$1208:$N$1208,"&lt;0")=0,J$1208,OFFSET(J1205,0,-1)))</f>
        <v>-1504517.8772548558</v>
      </c>
      <c r="K1205" s="1269">
        <f ca="1">IF(K$1208&lt;0,K$1208,IF(SUMIF(K$1208:$N$1208,"&lt;0")=0,K$1208,OFFSET(K1205,0,-1)))</f>
        <v>6942985.4345090622</v>
      </c>
      <c r="L1205" s="1269">
        <f ca="1">IF(L$1208&lt;0,L$1208,IF(SUMIF(L$1208:$N$1208,"&lt;0")=0,L$1208,OFFSET(L1205,0,-1)))</f>
        <v>18262319.952357367</v>
      </c>
      <c r="M1205" s="1269">
        <f ca="1">IF(M$1208&lt;0,M$1208,IF(SUMIF(M$1208:$N$1208,"&lt;0")=0,M$1208,OFFSET(M1205,0,-1)))</f>
        <v>33401597.082424667</v>
      </c>
      <c r="N1205" s="1279"/>
      <c r="O1205" s="1270"/>
      <c r="P1205" s="1268" t="s">
        <v>40</v>
      </c>
      <c r="Q1205" s="1271"/>
    </row>
    <row r="1206" spans="1:17" ht="11.25" hidden="1" customHeight="1" x14ac:dyDescent="0.35">
      <c r="A1206" s="1267"/>
      <c r="B1206" s="1268"/>
      <c r="C1206" s="1268"/>
      <c r="D1206" s="1268"/>
      <c r="E1206" s="1268" t="s">
        <v>1451</v>
      </c>
      <c r="F1206" s="1279"/>
      <c r="G1206" s="1269">
        <f ca="1">IF(G$5=-99,OFFSET(G1206,0,-1),IF(G$5&lt;CalcPointPB,-0.000000001,G$1060))</f>
        <v>0</v>
      </c>
      <c r="H1206" s="1269">
        <f t="shared" ref="H1206:M1206" ca="1" si="638">IF(H$5=-99,OFFSET(H1206,0,-1),IF(H$5&lt;CalcPointPB,-0.000000001,H$1060))</f>
        <v>4</v>
      </c>
      <c r="I1206" s="1269">
        <f t="shared" ca="1" si="638"/>
        <v>16</v>
      </c>
      <c r="J1206" s="1269">
        <f t="shared" ca="1" si="638"/>
        <v>28</v>
      </c>
      <c r="K1206" s="1269">
        <f t="shared" ca="1" si="638"/>
        <v>40</v>
      </c>
      <c r="L1206" s="1269">
        <f t="shared" ca="1" si="638"/>
        <v>52</v>
      </c>
      <c r="M1206" s="1269">
        <f t="shared" ca="1" si="638"/>
        <v>64</v>
      </c>
      <c r="N1206" s="1279"/>
      <c r="O1206" s="1270"/>
      <c r="P1206" s="1268" t="s">
        <v>40</v>
      </c>
      <c r="Q1206" s="1271"/>
    </row>
    <row r="1207" spans="1:17" ht="11.25" hidden="1" customHeight="1" x14ac:dyDescent="0.35">
      <c r="A1207" s="1267"/>
      <c r="B1207" s="1268"/>
      <c r="C1207" s="1268"/>
      <c r="D1207" s="1268"/>
      <c r="E1207" s="1268" t="s">
        <v>1452</v>
      </c>
      <c r="F1207" s="1279"/>
      <c r="G1207" s="1269" t="str">
        <f t="shared" ref="G1207:M1207" si="639">G$626</f>
        <v>9/2019</v>
      </c>
      <c r="H1207" s="1269" t="str">
        <f t="shared" si="639"/>
        <v>12/2019</v>
      </c>
      <c r="I1207" s="1269" t="str">
        <f t="shared" si="639"/>
        <v>12/2020</v>
      </c>
      <c r="J1207" s="1269" t="str">
        <f t="shared" si="639"/>
        <v>12/2021</v>
      </c>
      <c r="K1207" s="1269" t="str">
        <f t="shared" si="639"/>
        <v>12/2022</v>
      </c>
      <c r="L1207" s="1269" t="str">
        <f t="shared" si="639"/>
        <v>12/2023</v>
      </c>
      <c r="M1207" s="1269" t="str">
        <f t="shared" si="639"/>
        <v>12/2024</v>
      </c>
      <c r="N1207" s="1279"/>
      <c r="O1207" s="1270"/>
      <c r="P1207" s="1268" t="s">
        <v>40</v>
      </c>
      <c r="Q1207" s="1271"/>
    </row>
    <row r="1208" spans="1:17" ht="11.25" hidden="1" customHeight="1" x14ac:dyDescent="0.35">
      <c r="A1208" s="1267"/>
      <c r="B1208" s="1268"/>
      <c r="C1208" s="1268"/>
      <c r="D1208" s="1268"/>
      <c r="E1208" s="1268" t="s">
        <v>1453</v>
      </c>
      <c r="F1208" s="1279"/>
      <c r="G1208" s="1269">
        <f ca="1">G$1204-0.000000001</f>
        <v>-1.0000000000000001E-9</v>
      </c>
      <c r="H1208" s="1269">
        <f t="shared" ref="H1208:M1208" ca="1" si="640">H$1204-0.000000001</f>
        <v>-23589645.559880517</v>
      </c>
      <c r="I1208" s="1269">
        <f t="shared" ca="1" si="640"/>
        <v>-7249493.0042049931</v>
      </c>
      <c r="J1208" s="1269">
        <f t="shared" ca="1" si="640"/>
        <v>-1504517.8772548558</v>
      </c>
      <c r="K1208" s="1269">
        <f t="shared" ca="1" si="640"/>
        <v>6942985.4345090622</v>
      </c>
      <c r="L1208" s="1269">
        <f t="shared" ca="1" si="640"/>
        <v>18262319.952357367</v>
      </c>
      <c r="M1208" s="1269">
        <f t="shared" ca="1" si="640"/>
        <v>33401597.082424667</v>
      </c>
      <c r="N1208" s="1279"/>
      <c r="O1208" s="1270"/>
      <c r="P1208" s="1268" t="s">
        <v>40</v>
      </c>
      <c r="Q1208" s="1271"/>
    </row>
    <row r="1209" spans="1:17" ht="11.25" hidden="1" customHeight="1" x14ac:dyDescent="0.35">
      <c r="A1209" s="1267"/>
      <c r="B1209" s="1268"/>
      <c r="C1209" s="1268"/>
      <c r="D1209" s="1268"/>
      <c r="E1209" s="1268" t="s">
        <v>1454</v>
      </c>
      <c r="F1209" s="1279"/>
      <c r="G1209" s="1279">
        <f ca="1">IF(G$1212&lt;0,G$1212,IF(SUMIF(G$1212:$N$1212,"&lt;0")=0,G$1212,OFFSET(G1209,0,-1)))</f>
        <v>-1.0000000000000001E-9</v>
      </c>
      <c r="H1209" s="1279">
        <f ca="1">IF(H$1212&lt;0,H$1212,IF(SUMIF(H$1212:$N$1212,"&lt;0")=0,H$1212,OFFSET(H1209,0,-1)))</f>
        <v>59445.648848957819</v>
      </c>
      <c r="I1209" s="1279">
        <f ca="1">IF(I$1212&lt;0,I$1212,IF(SUMIF(I$1212:$N$1212,"&lt;0")=0,I$1212,OFFSET(I1209,0,-1)))</f>
        <v>3487309.8791259732</v>
      </c>
      <c r="J1209" s="1279">
        <f ca="1">IF(J$1212&lt;0,J$1212,IF(SUMIF(J$1212:$N$1212,"&lt;0")=0,J$1212,OFFSET(J1209,0,-1)))</f>
        <v>9136263.9115151856</v>
      </c>
      <c r="K1209" s="1279">
        <f ca="1">IF(K$1212&lt;0,K$1212,IF(SUMIF(K$1212:$N$1212,"&lt;0")=0,K$1212,OFFSET(K1209,0,-1)))</f>
        <v>17194384.795449048</v>
      </c>
      <c r="L1209" s="1279">
        <f ca="1">IF(L$1212&lt;0,L$1212,IF(SUMIF(L$1212:$N$1212,"&lt;0")=0,L$1212,OFFSET(L1209,0,-1)))</f>
        <v>28023591.190671548</v>
      </c>
      <c r="M1209" s="1279">
        <f ca="1">IF(M$1212&lt;0,M$1212,IF(SUMIF(M$1212:$N$1212,"&lt;0")=0,M$1212,OFFSET(M1209,0,-1)))</f>
        <v>42115618.189861916</v>
      </c>
      <c r="N1209" s="1279"/>
      <c r="O1209" s="1270"/>
      <c r="P1209" s="1268" t="s">
        <v>40</v>
      </c>
      <c r="Q1209" s="1271"/>
    </row>
    <row r="1210" spans="1:17" ht="11.25" hidden="1" customHeight="1" x14ac:dyDescent="0.35">
      <c r="A1210" s="1267"/>
      <c r="B1210" s="1268"/>
      <c r="C1210" s="1268"/>
      <c r="D1210" s="1268"/>
      <c r="E1210" s="1268" t="s">
        <v>1455</v>
      </c>
      <c r="F1210" s="1279"/>
      <c r="G1210" s="1279">
        <f ca="1">IF(G$5=-99,OFFSET(G1210,0,-1),IF(G$5&lt;CalcPointPB,-0.000000001,G$1060))</f>
        <v>0</v>
      </c>
      <c r="H1210" s="1279">
        <f t="shared" ref="H1210:M1210" ca="1" si="641">IF(H$5=-99,OFFSET(H1210,0,-1),IF(H$5&lt;CalcPointPB,-0.000000001,H$1060))</f>
        <v>4</v>
      </c>
      <c r="I1210" s="1279">
        <f t="shared" ca="1" si="641"/>
        <v>16</v>
      </c>
      <c r="J1210" s="1279">
        <f t="shared" ca="1" si="641"/>
        <v>28</v>
      </c>
      <c r="K1210" s="1279">
        <f t="shared" ca="1" si="641"/>
        <v>40</v>
      </c>
      <c r="L1210" s="1279">
        <f t="shared" ca="1" si="641"/>
        <v>52</v>
      </c>
      <c r="M1210" s="1279">
        <f t="shared" ca="1" si="641"/>
        <v>64</v>
      </c>
      <c r="N1210" s="1279"/>
      <c r="O1210" s="1270"/>
      <c r="P1210" s="1268" t="s">
        <v>40</v>
      </c>
      <c r="Q1210" s="1271"/>
    </row>
    <row r="1211" spans="1:17" ht="11.25" hidden="1" customHeight="1" x14ac:dyDescent="0.35">
      <c r="A1211" s="1267"/>
      <c r="B1211" s="1268"/>
      <c r="C1211" s="1268"/>
      <c r="D1211" s="1268"/>
      <c r="E1211" s="1268" t="s">
        <v>1456</v>
      </c>
      <c r="F1211" s="1269"/>
      <c r="G1211" s="1269" t="str">
        <f t="shared" ref="G1211:M1211" si="642">G$626</f>
        <v>9/2019</v>
      </c>
      <c r="H1211" s="1269" t="str">
        <f t="shared" si="642"/>
        <v>12/2019</v>
      </c>
      <c r="I1211" s="1269" t="str">
        <f t="shared" si="642"/>
        <v>12/2020</v>
      </c>
      <c r="J1211" s="1269" t="str">
        <f t="shared" si="642"/>
        <v>12/2021</v>
      </c>
      <c r="K1211" s="1269" t="str">
        <f t="shared" si="642"/>
        <v>12/2022</v>
      </c>
      <c r="L1211" s="1269" t="str">
        <f t="shared" si="642"/>
        <v>12/2023</v>
      </c>
      <c r="M1211" s="1269" t="str">
        <f t="shared" si="642"/>
        <v>12/2024</v>
      </c>
      <c r="N1211" s="1269"/>
      <c r="O1211" s="1270"/>
      <c r="P1211" s="1268" t="s">
        <v>40</v>
      </c>
      <c r="Q1211" s="1271"/>
    </row>
    <row r="1212" spans="1:17" ht="11.25" hidden="1" customHeight="1" x14ac:dyDescent="0.35">
      <c r="A1212" s="1267"/>
      <c r="B1212" s="1268"/>
      <c r="C1212" s="1268"/>
      <c r="D1212" s="1268"/>
      <c r="E1212" s="1268" t="s">
        <v>1457</v>
      </c>
      <c r="F1212" s="1279"/>
      <c r="G1212" s="1279">
        <f t="shared" ref="G1212:M1212" si="643">G$513-0.000000001</f>
        <v>-1.0000000000000001E-9</v>
      </c>
      <c r="H1212" s="1279">
        <f t="shared" ca="1" si="643"/>
        <v>59445.648848957819</v>
      </c>
      <c r="I1212" s="1279">
        <f t="shared" ca="1" si="643"/>
        <v>3487309.8791259732</v>
      </c>
      <c r="J1212" s="1279">
        <f t="shared" ca="1" si="643"/>
        <v>9136263.9115151856</v>
      </c>
      <c r="K1212" s="1279">
        <f t="shared" ca="1" si="643"/>
        <v>17194384.795449048</v>
      </c>
      <c r="L1212" s="1279">
        <f t="shared" ca="1" si="643"/>
        <v>28023591.190671548</v>
      </c>
      <c r="M1212" s="1279">
        <f t="shared" ca="1" si="643"/>
        <v>42115618.189861916</v>
      </c>
      <c r="N1212" s="1279"/>
      <c r="O1212" s="1270"/>
      <c r="P1212" s="1268" t="s">
        <v>40</v>
      </c>
      <c r="Q1212" s="1271"/>
    </row>
    <row r="1213" spans="1:17" ht="11.25" hidden="1" customHeight="1" x14ac:dyDescent="0.35">
      <c r="A1213" s="1267"/>
      <c r="B1213" s="1268"/>
      <c r="C1213" s="1268" t="s">
        <v>1458</v>
      </c>
      <c r="D1213" s="1268"/>
      <c r="E1213" s="1268" t="s">
        <v>1459</v>
      </c>
      <c r="F1213" s="1279"/>
      <c r="G1213" s="1279">
        <f>IF(NoZeroCol&lt;&gt;1,G675,0)+IF(InvOrAcq=2,G$1058,0)</f>
        <v>0</v>
      </c>
      <c r="H1213" s="1279">
        <f t="shared" ref="H1213:M1213" ca="1" si="644">H$675+IF(OFFSET(H$5,0,1)=-99,IF(NoResCol&lt;&gt;1,OFFSET(H$675,0,1),0)+IF(UsePerpetuity=1,PerpetuityValue,0),0)</f>
        <v>-23589645.559880517</v>
      </c>
      <c r="I1213" s="1279">
        <f t="shared" ca="1" si="644"/>
        <v>16340152.555675525</v>
      </c>
      <c r="J1213" s="1279">
        <f t="shared" ca="1" si="644"/>
        <v>5744975.1269501373</v>
      </c>
      <c r="K1213" s="1279">
        <f t="shared" ca="1" si="644"/>
        <v>8447503.311763918</v>
      </c>
      <c r="L1213" s="1279">
        <f t="shared" ca="1" si="644"/>
        <v>11319334.517848302</v>
      </c>
      <c r="M1213" s="1279">
        <f t="shared" ca="1" si="644"/>
        <v>28128975.385462612</v>
      </c>
      <c r="N1213" s="1279">
        <v>0</v>
      </c>
      <c r="O1213" s="1270"/>
      <c r="P1213" s="1268" t="s">
        <v>40</v>
      </c>
      <c r="Q1213" s="1271"/>
    </row>
    <row r="1214" spans="1:17" ht="11.25" hidden="1" customHeight="1" x14ac:dyDescent="0.35">
      <c r="A1214" s="1267"/>
      <c r="B1214" s="1268"/>
      <c r="C1214" s="1268" t="s">
        <v>1460</v>
      </c>
      <c r="D1214" s="1268"/>
      <c r="E1214" s="1268" t="s">
        <v>1461</v>
      </c>
      <c r="F1214" s="1279"/>
      <c r="G1214" s="1279">
        <f>IF(CalculatedDepreciation,G$326,G$321)</f>
        <v>0</v>
      </c>
      <c r="H1214" s="1279">
        <f t="shared" ref="H1214:M1214" ca="1" si="645">IF(CalculatedDepreciation,H$326,H$321)+IF(RIGHT(OFFSET(H$6,0,-1),4)=RIGHT(H$6,4),OFFSET(IF(CalculatedDepreciation,H$326,H$321),0,-1),0)</f>
        <v>0</v>
      </c>
      <c r="I1214" s="1279">
        <f t="shared" ca="1" si="645"/>
        <v>0</v>
      </c>
      <c r="J1214" s="1279">
        <f t="shared" ca="1" si="645"/>
        <v>0</v>
      </c>
      <c r="K1214" s="1279">
        <f t="shared" ca="1" si="645"/>
        <v>0</v>
      </c>
      <c r="L1214" s="1279">
        <f t="shared" ca="1" si="645"/>
        <v>0</v>
      </c>
      <c r="M1214" s="1279">
        <f t="shared" ca="1" si="645"/>
        <v>0</v>
      </c>
      <c r="N1214" s="1279">
        <f>IF(CalculatedDepreciation,N$326,N$321)</f>
        <v>-3201919.43359375</v>
      </c>
      <c r="O1214" s="1270"/>
      <c r="P1214" s="1268" t="s">
        <v>40</v>
      </c>
      <c r="Q1214" s="1271"/>
    </row>
    <row r="1215" spans="1:17" ht="11.25" hidden="1" customHeight="1" x14ac:dyDescent="0.35">
      <c r="A1215" s="1267"/>
      <c r="B1215" s="1268"/>
      <c r="C1215" s="1268" t="s">
        <v>1462</v>
      </c>
      <c r="D1215" s="1268"/>
      <c r="E1215" s="1268" t="s">
        <v>1463</v>
      </c>
      <c r="F1215" s="1279"/>
      <c r="G1215" s="1279">
        <f>G$332</f>
        <v>0</v>
      </c>
      <c r="H1215" s="1279">
        <f t="shared" ref="H1215:M1215" ca="1" si="646">H$332+IF(RIGHT(OFFSET(H$6,0,-1),4)=RIGHT(H$6,4),OFFSET(H$332,0,-1),0)</f>
        <v>0</v>
      </c>
      <c r="I1215" s="1279">
        <f t="shared" ca="1" si="646"/>
        <v>0</v>
      </c>
      <c r="J1215" s="1279">
        <f t="shared" ca="1" si="646"/>
        <v>0</v>
      </c>
      <c r="K1215" s="1279">
        <f t="shared" ca="1" si="646"/>
        <v>0</v>
      </c>
      <c r="L1215" s="1279">
        <f t="shared" ca="1" si="646"/>
        <v>0</v>
      </c>
      <c r="M1215" s="1279">
        <f t="shared" ca="1" si="646"/>
        <v>0</v>
      </c>
      <c r="N1215" s="1279">
        <f>N$332</f>
        <v>0</v>
      </c>
      <c r="O1215" s="1270"/>
      <c r="P1215" s="1268" t="s">
        <v>40</v>
      </c>
      <c r="Q1215" s="1271"/>
    </row>
    <row r="1216" spans="1:17" ht="11.25" hidden="1" customHeight="1" x14ac:dyDescent="0.35">
      <c r="A1216" s="1267"/>
      <c r="B1216" s="1268"/>
      <c r="C1216" s="1268"/>
      <c r="D1216" s="1268"/>
      <c r="E1216" s="1268" t="s">
        <v>1464</v>
      </c>
      <c r="F1216" s="1279"/>
      <c r="G1216" s="1279">
        <f ca="1">IF(G1219&lt;0,G1219,IF(SUMIF(G1219:$N1219,"&lt;0")=0,G1219,OFFSET(G1216,0,-1)))</f>
        <v>-1.0000000000000001E-9</v>
      </c>
      <c r="H1216" s="1279">
        <f ca="1">IF(H1219&lt;0,H1219,IF(SUMIF(H1219:$N1219,"&lt;0")=0,H1219,OFFSET(H1216,0,-1)))</f>
        <v>-23589645.559880517</v>
      </c>
      <c r="I1216" s="1279">
        <f ca="1">IF(I1219&lt;0,I1219,IF(SUMIF(I1219:$N1219,"&lt;0")=0,I1219,OFFSET(I1216,0,-1)))</f>
        <v>-7249493.0042049922</v>
      </c>
      <c r="J1216" s="1279">
        <f ca="1">IF(J1219&lt;0,J1219,IF(SUMIF(J1219:$N1219,"&lt;0")=0,J1219,OFFSET(J1216,0,-1)))</f>
        <v>-1504517.8772548549</v>
      </c>
      <c r="K1216" s="1279">
        <f ca="1">IF(K1219&lt;0,K1219,IF(SUMIF(K1219:$N1219,"&lt;0")=0,K1219,OFFSET(K1216,0,-1)))</f>
        <v>6942985.4345090631</v>
      </c>
      <c r="L1216" s="1279">
        <f ca="1">IF(L1219&lt;0,L1219,IF(SUMIF(L1219:$N1219,"&lt;0")=0,L1219,OFFSET(L1216,0,-1)))</f>
        <v>18262319.952357367</v>
      </c>
      <c r="M1216" s="1279">
        <f ca="1">IF(M1219&lt;0,M1219,IF(SUMIF(M1219:$N1219,"&lt;0")=0,M1219,OFFSET(M1216,0,-1)))</f>
        <v>33401597.082424667</v>
      </c>
      <c r="N1216" s="1279"/>
      <c r="O1216" s="1270"/>
      <c r="P1216" s="1268" t="s">
        <v>40</v>
      </c>
      <c r="Q1216" s="1271"/>
    </row>
    <row r="1217" spans="1:17" ht="11.25" hidden="1" customHeight="1" x14ac:dyDescent="0.35">
      <c r="A1217" s="1267"/>
      <c r="B1217" s="1268"/>
      <c r="C1217" s="1268"/>
      <c r="D1217" s="1268"/>
      <c r="E1217" s="1268" t="s">
        <v>1465</v>
      </c>
      <c r="F1217" s="1279"/>
      <c r="G1217" s="1279">
        <f t="shared" ref="G1217:M1217" ca="1" si="647">G1206</f>
        <v>0</v>
      </c>
      <c r="H1217" s="1279">
        <f t="shared" ca="1" si="647"/>
        <v>4</v>
      </c>
      <c r="I1217" s="1279">
        <f t="shared" ca="1" si="647"/>
        <v>16</v>
      </c>
      <c r="J1217" s="1279">
        <f t="shared" ca="1" si="647"/>
        <v>28</v>
      </c>
      <c r="K1217" s="1279">
        <f t="shared" ca="1" si="647"/>
        <v>40</v>
      </c>
      <c r="L1217" s="1279">
        <f t="shared" ca="1" si="647"/>
        <v>52</v>
      </c>
      <c r="M1217" s="1279">
        <f t="shared" ca="1" si="647"/>
        <v>64</v>
      </c>
      <c r="N1217" s="1279"/>
      <c r="O1217" s="1270"/>
      <c r="P1217" s="1268" t="s">
        <v>40</v>
      </c>
      <c r="Q1217" s="1271"/>
    </row>
    <row r="1218" spans="1:17" ht="11.25" hidden="1" customHeight="1" x14ac:dyDescent="0.35">
      <c r="A1218" s="1267"/>
      <c r="B1218" s="1268"/>
      <c r="C1218" s="1268"/>
      <c r="D1218" s="1268"/>
      <c r="E1218" s="1268" t="s">
        <v>1466</v>
      </c>
      <c r="F1218" s="1269"/>
      <c r="G1218" s="1269" t="str">
        <f t="shared" ref="G1218:M1218" si="648">G1207</f>
        <v>9/2019</v>
      </c>
      <c r="H1218" s="1269" t="str">
        <f t="shared" si="648"/>
        <v>12/2019</v>
      </c>
      <c r="I1218" s="1269" t="str">
        <f t="shared" si="648"/>
        <v>12/2020</v>
      </c>
      <c r="J1218" s="1269" t="str">
        <f t="shared" si="648"/>
        <v>12/2021</v>
      </c>
      <c r="K1218" s="1269" t="str">
        <f t="shared" si="648"/>
        <v>12/2022</v>
      </c>
      <c r="L1218" s="1269" t="str">
        <f t="shared" si="648"/>
        <v>12/2023</v>
      </c>
      <c r="M1218" s="1269" t="str">
        <f t="shared" si="648"/>
        <v>12/2024</v>
      </c>
      <c r="N1218" s="1279"/>
      <c r="O1218" s="1270"/>
      <c r="P1218" s="1268" t="s">
        <v>40</v>
      </c>
      <c r="Q1218" s="1271"/>
    </row>
    <row r="1219" spans="1:17" ht="11.25" hidden="1" customHeight="1" x14ac:dyDescent="0.35">
      <c r="A1219" s="1267"/>
      <c r="B1219" s="1268"/>
      <c r="C1219" s="1268"/>
      <c r="D1219" s="1268"/>
      <c r="E1219" s="1268" t="s">
        <v>1467</v>
      </c>
      <c r="F1219" s="1279"/>
      <c r="G1219" s="1279">
        <f>G$675-0.000000001</f>
        <v>-1.0000000000000001E-9</v>
      </c>
      <c r="H1219" s="1279">
        <f t="shared" ref="H1219:M1219" ca="1" si="649">OFFSET(H1219,0,-1)+H$675</f>
        <v>-23589645.559880517</v>
      </c>
      <c r="I1219" s="1279">
        <f t="shared" ca="1" si="649"/>
        <v>-7249493.0042049922</v>
      </c>
      <c r="J1219" s="1279">
        <f t="shared" ca="1" si="649"/>
        <v>-1504517.8772548549</v>
      </c>
      <c r="K1219" s="1279">
        <f t="shared" ca="1" si="649"/>
        <v>6942985.4345090631</v>
      </c>
      <c r="L1219" s="1279">
        <f t="shared" ca="1" si="649"/>
        <v>18262319.952357367</v>
      </c>
      <c r="M1219" s="1279">
        <f t="shared" ca="1" si="649"/>
        <v>33401597.082424667</v>
      </c>
      <c r="N1219" s="1279"/>
      <c r="O1219" s="1270"/>
      <c r="P1219" s="1268" t="s">
        <v>40</v>
      </c>
      <c r="Q1219" s="1271"/>
    </row>
    <row r="1220" spans="1:17" ht="11.25" hidden="1" customHeight="1" x14ac:dyDescent="0.35">
      <c r="A1220" s="1267"/>
      <c r="B1220" s="1268"/>
      <c r="C1220" s="1268"/>
      <c r="D1220" s="1268"/>
      <c r="E1220" s="1268" t="s">
        <v>1468</v>
      </c>
      <c r="F1220" s="1279"/>
      <c r="G1220" s="1279">
        <f ca="1">IF(G1223&lt;0,G1223,IF(SUMIF(G1223:$N1223,"&lt;0")=0,G1223,OFFSET(G1220,0,-1)))</f>
        <v>-1.0000000000000001E-9</v>
      </c>
      <c r="H1220" s="1279">
        <f ca="1">IF(H1223&lt;0,H1223,IF(SUMIF(H1223:$N1223,"&lt;0")=0,H1223,OFFSET(H1220,0,-1)))</f>
        <v>-23589645.559880517</v>
      </c>
      <c r="I1220" s="1279">
        <f ca="1">IF(I1223&lt;0,I1223,IF(SUMIF(I1223:$N1223,"&lt;0")=0,I1223,OFFSET(I1220,0,-1)))</f>
        <v>-7249493.0042049922</v>
      </c>
      <c r="J1220" s="1279">
        <f ca="1">IF(J1223&lt;0,J1223,IF(SUMIF(J1223:$N1223,"&lt;0")=0,J1223,OFFSET(J1220,0,-1)))</f>
        <v>-1504517.8772548549</v>
      </c>
      <c r="K1220" s="1279">
        <f ca="1">IF(K1223&lt;0,K1223,IF(SUMIF(K1223:$N1223,"&lt;0")=0,K1223,OFFSET(K1220,0,-1)))</f>
        <v>6942985.4345090631</v>
      </c>
      <c r="L1220" s="1279">
        <f ca="1">IF(L1223&lt;0,L1223,IF(SUMIF(L1223:$N1223,"&lt;0")=0,L1223,OFFSET(L1220,0,-1)))</f>
        <v>18262319.952357367</v>
      </c>
      <c r="M1220" s="1279">
        <f ca="1">IF(M1223&lt;0,M1223,IF(SUMIF(M1223:$N1223,"&lt;0")=0,M1223,OFFSET(M1220,0,-1)))</f>
        <v>33401597.082424667</v>
      </c>
      <c r="N1220" s="1279"/>
      <c r="O1220" s="1270"/>
      <c r="P1220" s="1268" t="s">
        <v>40</v>
      </c>
      <c r="Q1220" s="1271"/>
    </row>
    <row r="1221" spans="1:17" ht="11.25" hidden="1" customHeight="1" x14ac:dyDescent="0.35">
      <c r="A1221" s="1267"/>
      <c r="B1221" s="1268"/>
      <c r="C1221" s="1268"/>
      <c r="D1221" s="1268"/>
      <c r="E1221" s="1268" t="s">
        <v>1469</v>
      </c>
      <c r="F1221" s="1279"/>
      <c r="G1221" s="1279">
        <f t="shared" ref="G1221:M1221" ca="1" si="650">G1217</f>
        <v>0</v>
      </c>
      <c r="H1221" s="1279">
        <f t="shared" ca="1" si="650"/>
        <v>4</v>
      </c>
      <c r="I1221" s="1279">
        <f t="shared" ca="1" si="650"/>
        <v>16</v>
      </c>
      <c r="J1221" s="1279">
        <f t="shared" ca="1" si="650"/>
        <v>28</v>
      </c>
      <c r="K1221" s="1279">
        <f t="shared" ca="1" si="650"/>
        <v>40</v>
      </c>
      <c r="L1221" s="1279">
        <f t="shared" ca="1" si="650"/>
        <v>52</v>
      </c>
      <c r="M1221" s="1279">
        <f t="shared" ca="1" si="650"/>
        <v>64</v>
      </c>
      <c r="N1221" s="1279"/>
      <c r="O1221" s="1270"/>
      <c r="P1221" s="1268" t="s">
        <v>40</v>
      </c>
      <c r="Q1221" s="1271"/>
    </row>
    <row r="1222" spans="1:17" ht="11.25" hidden="1" customHeight="1" x14ac:dyDescent="0.35">
      <c r="A1222" s="1267"/>
      <c r="B1222" s="1268"/>
      <c r="C1222" s="1268"/>
      <c r="D1222" s="1268"/>
      <c r="E1222" s="1268" t="s">
        <v>1470</v>
      </c>
      <c r="F1222" s="1269"/>
      <c r="G1222" s="1269" t="str">
        <f t="shared" ref="G1222:M1222" si="651">G1218</f>
        <v>9/2019</v>
      </c>
      <c r="H1222" s="1269" t="str">
        <f t="shared" si="651"/>
        <v>12/2019</v>
      </c>
      <c r="I1222" s="1269" t="str">
        <f t="shared" si="651"/>
        <v>12/2020</v>
      </c>
      <c r="J1222" s="1269" t="str">
        <f t="shared" si="651"/>
        <v>12/2021</v>
      </c>
      <c r="K1222" s="1269" t="str">
        <f t="shared" si="651"/>
        <v>12/2022</v>
      </c>
      <c r="L1222" s="1269" t="str">
        <f t="shared" si="651"/>
        <v>12/2023</v>
      </c>
      <c r="M1222" s="1269" t="str">
        <f t="shared" si="651"/>
        <v>12/2024</v>
      </c>
      <c r="N1222" s="1279"/>
      <c r="O1222" s="1270"/>
      <c r="P1222" s="1268" t="s">
        <v>40</v>
      </c>
      <c r="Q1222" s="1271"/>
    </row>
    <row r="1223" spans="1:17" ht="11.25" hidden="1" customHeight="1" x14ac:dyDescent="0.35">
      <c r="A1223" s="1267"/>
      <c r="B1223" s="1268"/>
      <c r="C1223" s="1268"/>
      <c r="D1223" s="1268"/>
      <c r="E1223" s="1268" t="s">
        <v>1471</v>
      </c>
      <c r="F1223" s="1279"/>
      <c r="G1223" s="1279">
        <f ca="1">G$692-0.000000001</f>
        <v>-1.0000000000000001E-9</v>
      </c>
      <c r="H1223" s="1279">
        <f t="shared" ref="H1223:M1223" ca="1" si="652">OFFSET(H1223,0,-1)+H$692</f>
        <v>-23589645.559880517</v>
      </c>
      <c r="I1223" s="1279">
        <f t="shared" ca="1" si="652"/>
        <v>-7249493.0042049922</v>
      </c>
      <c r="J1223" s="1279">
        <f t="shared" ca="1" si="652"/>
        <v>-1504517.8772548549</v>
      </c>
      <c r="K1223" s="1279">
        <f t="shared" ca="1" si="652"/>
        <v>6942985.4345090631</v>
      </c>
      <c r="L1223" s="1279">
        <f t="shared" ca="1" si="652"/>
        <v>18262319.952357367</v>
      </c>
      <c r="M1223" s="1279">
        <f t="shared" ca="1" si="652"/>
        <v>33401597.082424667</v>
      </c>
      <c r="N1223" s="1279"/>
      <c r="O1223" s="1270"/>
      <c r="P1223" s="1268" t="s">
        <v>40</v>
      </c>
      <c r="Q1223" s="1271"/>
    </row>
    <row r="1224" spans="1:17" ht="11.25" hidden="1" customHeight="1" x14ac:dyDescent="0.35">
      <c r="A1224" s="1267"/>
      <c r="B1224" s="1268"/>
      <c r="C1224" s="1268"/>
      <c r="D1224" s="1268">
        <f ca="1">(1+OFFSET(Analysis!$F$4,1,0)/100)^(1/12)-1</f>
        <v>1.8151029571964461E-3</v>
      </c>
      <c r="E1224" s="1268" t="s">
        <v>1472</v>
      </c>
      <c r="F1224" s="1279"/>
      <c r="G1224" s="1279">
        <f ca="1">(IF(DcvaCG&lt;&gt;2,G$673+G$674,0)-G$683)*IF(IF(G$5=-99,OFFSET(G$5,0,-1),G$5)&lt;CalcPoint,IF(DontCompound=1,1,(1+$D1224)^G$1059),1/((1+$D1224)^G$1059))</f>
        <v>0</v>
      </c>
      <c r="H1224" s="1279">
        <f t="shared" ref="H1224:N1227" ca="1" si="653">(IF(DcvaCG&lt;&gt;2,H$673+H$674,0)-H$683)*IF(IF(H$5=-99,OFFSET(H$5,0,-1),H$5)&lt;=CalcPoint,IF(DontCompound=1,1,(1+$D1224)^IF(MYDisc,H$1061,H$1059)),1/((1+$D1224)^IF(MYDisc,H$1061,H$1059)))</f>
        <v>0</v>
      </c>
      <c r="I1224" s="1279">
        <f t="shared" ca="1" si="653"/>
        <v>0</v>
      </c>
      <c r="J1224" s="1279">
        <f t="shared" ca="1" si="653"/>
        <v>0</v>
      </c>
      <c r="K1224" s="1279">
        <f t="shared" ca="1" si="653"/>
        <v>0</v>
      </c>
      <c r="L1224" s="1279">
        <f t="shared" ca="1" si="653"/>
        <v>0</v>
      </c>
      <c r="M1224" s="1279">
        <f t="shared" ca="1" si="653"/>
        <v>0</v>
      </c>
      <c r="N1224" s="1279">
        <f t="shared" ca="1" si="653"/>
        <v>0</v>
      </c>
      <c r="O1224" s="1270"/>
      <c r="P1224" s="1268" t="s">
        <v>40</v>
      </c>
      <c r="Q1224" s="1271"/>
    </row>
    <row r="1225" spans="1:17" ht="11.25" hidden="1" customHeight="1" x14ac:dyDescent="0.35">
      <c r="A1225" s="1267"/>
      <c r="B1225" s="1268"/>
      <c r="C1225" s="1268"/>
      <c r="D1225" s="1268">
        <f ca="1">(1+OFFSET(Analysis!$G$4,1,0)/100)^(1/12)-1</f>
        <v>2.0394669228385176E-3</v>
      </c>
      <c r="E1225" s="1268" t="s">
        <v>1473</v>
      </c>
      <c r="F1225" s="1279"/>
      <c r="G1225" s="1279">
        <f ca="1">(IF(DcvaCG&lt;&gt;2,G$673+G$674,0)-G$683)*IF(IF(G$5=-99,OFFSET(G$5,0,-1),G$5)&lt;CalcPoint,IF(DontCompound=1,1,(1+$D1225)^G$1059),1/((1+$D1225)^G$1059))</f>
        <v>0</v>
      </c>
      <c r="H1225" s="1279">
        <f t="shared" ca="1" si="653"/>
        <v>0</v>
      </c>
      <c r="I1225" s="1279">
        <f t="shared" ca="1" si="653"/>
        <v>0</v>
      </c>
      <c r="J1225" s="1279">
        <f t="shared" ca="1" si="653"/>
        <v>0</v>
      </c>
      <c r="K1225" s="1279">
        <f t="shared" ca="1" si="653"/>
        <v>0</v>
      </c>
      <c r="L1225" s="1279">
        <f t="shared" ca="1" si="653"/>
        <v>0</v>
      </c>
      <c r="M1225" s="1279">
        <f t="shared" ca="1" si="653"/>
        <v>0</v>
      </c>
      <c r="N1225" s="1279">
        <f t="shared" ca="1" si="653"/>
        <v>0</v>
      </c>
      <c r="O1225" s="1270"/>
      <c r="P1225" s="1268" t="s">
        <v>40</v>
      </c>
      <c r="Q1225" s="1271"/>
    </row>
    <row r="1226" spans="1:17" ht="11.25" hidden="1" customHeight="1" x14ac:dyDescent="0.35">
      <c r="A1226" s="1267"/>
      <c r="B1226" s="1268"/>
      <c r="C1226" s="1268"/>
      <c r="D1226" s="1268">
        <f ca="1">(1+OFFSET(Analysis!$I$4,1,0)/100)^(1/12)-1</f>
        <v>2.486543938297725E-3</v>
      </c>
      <c r="E1226" s="1268" t="s">
        <v>1474</v>
      </c>
      <c r="F1226" s="1279"/>
      <c r="G1226" s="1279">
        <f ca="1">(IF(DcvaCG&lt;&gt;2,G$673+G$674,0)-G$683)*IF(IF(G$5=-99,OFFSET(G$5,0,-1),G$5)&lt;CalcPoint,IF(DontCompound=1,1,(1+$D1226)^G$1059),1/((1+$D1226)^G$1059))</f>
        <v>0</v>
      </c>
      <c r="H1226" s="1279">
        <f t="shared" ca="1" si="653"/>
        <v>0</v>
      </c>
      <c r="I1226" s="1279">
        <f t="shared" ca="1" si="653"/>
        <v>0</v>
      </c>
      <c r="J1226" s="1279">
        <f t="shared" ca="1" si="653"/>
        <v>0</v>
      </c>
      <c r="K1226" s="1279">
        <f t="shared" ca="1" si="653"/>
        <v>0</v>
      </c>
      <c r="L1226" s="1279">
        <f t="shared" ca="1" si="653"/>
        <v>0</v>
      </c>
      <c r="M1226" s="1279">
        <f t="shared" ca="1" si="653"/>
        <v>0</v>
      </c>
      <c r="N1226" s="1279">
        <f t="shared" ca="1" si="653"/>
        <v>0</v>
      </c>
      <c r="O1226" s="1270"/>
      <c r="P1226" s="1268" t="s">
        <v>40</v>
      </c>
      <c r="Q1226" s="1271"/>
    </row>
    <row r="1227" spans="1:17" ht="11.25" hidden="1" customHeight="1" x14ac:dyDescent="0.35">
      <c r="A1227" s="1267"/>
      <c r="B1227" s="1268"/>
      <c r="C1227" s="1268"/>
      <c r="D1227" s="1268">
        <f ca="1">(1+OFFSET(Analysis!$J$4,1,0)/100)^(1/12)-1</f>
        <v>2.7092626147666721E-3</v>
      </c>
      <c r="E1227" s="1268" t="s">
        <v>1475</v>
      </c>
      <c r="F1227" s="1279"/>
      <c r="G1227" s="1279">
        <f ca="1">(IF(DcvaCG&lt;&gt;2,G$673+G$674,0)-G$683)*IF(IF(G$5=-99,OFFSET(G$5,0,-1),G$5)&lt;CalcPoint,IF(DontCompound=1,1,(1+$D1227)^G$1059),1/((1+$D1227)^G$1059))</f>
        <v>0</v>
      </c>
      <c r="H1227" s="1279">
        <f t="shared" ca="1" si="653"/>
        <v>0</v>
      </c>
      <c r="I1227" s="1279">
        <f t="shared" ca="1" si="653"/>
        <v>0</v>
      </c>
      <c r="J1227" s="1279">
        <f t="shared" ca="1" si="653"/>
        <v>0</v>
      </c>
      <c r="K1227" s="1279">
        <f t="shared" ca="1" si="653"/>
        <v>0</v>
      </c>
      <c r="L1227" s="1279">
        <f t="shared" ca="1" si="653"/>
        <v>0</v>
      </c>
      <c r="M1227" s="1279">
        <f t="shared" ca="1" si="653"/>
        <v>0</v>
      </c>
      <c r="N1227" s="1279">
        <f t="shared" ca="1" si="653"/>
        <v>0</v>
      </c>
      <c r="O1227" s="1270"/>
      <c r="P1227" s="1268" t="s">
        <v>40</v>
      </c>
      <c r="Q1227" s="1271"/>
    </row>
    <row r="1228" spans="1:17" ht="11.25" hidden="1" customHeight="1" x14ac:dyDescent="0.35">
      <c r="A1228" s="1267"/>
      <c r="B1228" s="1268"/>
      <c r="C1228" s="1268" t="s">
        <v>1476</v>
      </c>
      <c r="D1228" s="1268"/>
      <c r="E1228" s="1268" t="s">
        <v>1477</v>
      </c>
      <c r="F1228" s="1279"/>
      <c r="G1228" s="1412">
        <f t="shared" ref="G1228:N1228" si="654">G$40</f>
        <v>0</v>
      </c>
      <c r="H1228" s="1412">
        <f t="shared" si="654"/>
        <v>0</v>
      </c>
      <c r="I1228" s="1412">
        <f t="shared" si="654"/>
        <v>0</v>
      </c>
      <c r="J1228" s="1412">
        <f t="shared" si="654"/>
        <v>0</v>
      </c>
      <c r="K1228" s="1412">
        <f t="shared" si="654"/>
        <v>0</v>
      </c>
      <c r="L1228" s="1412">
        <f t="shared" si="654"/>
        <v>0</v>
      </c>
      <c r="M1228" s="1412">
        <f t="shared" si="654"/>
        <v>0</v>
      </c>
      <c r="N1228" s="1412">
        <f t="shared" si="654"/>
        <v>0</v>
      </c>
      <c r="O1228" s="1270"/>
      <c r="P1228" s="1268" t="s">
        <v>40</v>
      </c>
      <c r="Q1228" s="1271"/>
    </row>
    <row r="1229" spans="1:17" ht="11.25" hidden="1" customHeight="1" x14ac:dyDescent="0.35">
      <c r="A1229" s="1267"/>
      <c r="B1229" s="1279"/>
      <c r="C1229" s="1268" t="s">
        <v>1478</v>
      </c>
      <c r="D1229" s="1279"/>
      <c r="E1229" s="1268" t="s">
        <v>1479</v>
      </c>
      <c r="F1229" s="1279"/>
      <c r="G1229" s="1279"/>
      <c r="H1229" s="1279"/>
      <c r="I1229" s="1279"/>
      <c r="J1229" s="1279"/>
      <c r="K1229" s="1279"/>
      <c r="L1229" s="1279"/>
      <c r="M1229" s="1279"/>
      <c r="N1229" s="1279"/>
      <c r="O1229" s="1270"/>
      <c r="P1229" s="1268" t="s">
        <v>40</v>
      </c>
      <c r="Q1229" s="1271"/>
    </row>
    <row r="1230" spans="1:17" ht="11.25" hidden="1" customHeight="1" x14ac:dyDescent="0.35">
      <c r="A1230" s="1267"/>
      <c r="B1230" s="1279"/>
      <c r="C1230" s="1268"/>
      <c r="D1230" s="1279"/>
      <c r="E1230" s="1268" t="s">
        <v>5307</v>
      </c>
      <c r="F1230" s="1279" t="str">
        <f>F$6</f>
        <v>0809122019</v>
      </c>
      <c r="G1230" s="1279" t="str">
        <f ca="1">IF(AND(G$6=OFFSET(G$6,0,1),G$1=FinMonth),G$1-1&amp;MID(G$6,3,LEN(G$6)-2),G$6)</f>
        <v>0909122019</v>
      </c>
      <c r="H1230" s="1279" t="str">
        <f t="shared" ref="H1230:N1230" si="655">H$6</f>
        <v>1212122019</v>
      </c>
      <c r="I1230" s="1279" t="str">
        <f t="shared" si="655"/>
        <v>1212122020</v>
      </c>
      <c r="J1230" s="1279" t="str">
        <f t="shared" si="655"/>
        <v>1212122021</v>
      </c>
      <c r="K1230" s="1279" t="str">
        <f t="shared" si="655"/>
        <v>1212122022</v>
      </c>
      <c r="L1230" s="1279" t="str">
        <f t="shared" si="655"/>
        <v>1212122023</v>
      </c>
      <c r="M1230" s="1279" t="str">
        <f t="shared" si="655"/>
        <v>1212122024</v>
      </c>
      <c r="N1230" s="1279" t="str">
        <f t="shared" si="655"/>
        <v>1212122024</v>
      </c>
      <c r="O1230" s="1270"/>
      <c r="P1230" s="1268" t="s">
        <v>40</v>
      </c>
      <c r="Q1230" s="1271"/>
    </row>
    <row r="1231" spans="1:17" ht="11.25" hidden="1" customHeight="1" x14ac:dyDescent="0.35">
      <c r="A1231" s="1267"/>
      <c r="B1231" s="1279"/>
      <c r="C1231" s="1268"/>
      <c r="D1231" s="1279"/>
      <c r="E1231" s="1283" t="s">
        <v>5415</v>
      </c>
      <c r="F1231" s="1279"/>
      <c r="G1231" s="1279"/>
      <c r="H1231" s="1279"/>
      <c r="I1231" s="1279"/>
      <c r="J1231" s="1279"/>
      <c r="K1231" s="1279"/>
      <c r="L1231" s="1279"/>
      <c r="M1231" s="1279"/>
      <c r="N1231" s="1279"/>
      <c r="O1231" s="1270"/>
      <c r="P1231" s="1268" t="s">
        <v>40</v>
      </c>
      <c r="Q1231" s="1271"/>
    </row>
    <row r="1232" spans="1:17" ht="11.25" hidden="1" customHeight="1" x14ac:dyDescent="0.35">
      <c r="A1232" s="1267"/>
      <c r="B1232" s="1279"/>
      <c r="C1232" s="1268"/>
      <c r="D1232" s="1279"/>
      <c r="E1232" s="1283" t="s">
        <v>5416</v>
      </c>
      <c r="F1232" s="1279"/>
      <c r="G1232" s="1279"/>
      <c r="H1232" s="1279"/>
      <c r="I1232" s="1279"/>
      <c r="J1232" s="1279"/>
      <c r="K1232" s="1279"/>
      <c r="L1232" s="1279"/>
      <c r="M1232" s="1279"/>
      <c r="N1232" s="1279"/>
      <c r="O1232" s="1270"/>
      <c r="P1232" s="1268" t="s">
        <v>40</v>
      </c>
      <c r="Q1232" s="1271"/>
    </row>
    <row r="1233" spans="1:17" ht="11.25" hidden="1" customHeight="1" x14ac:dyDescent="0.35">
      <c r="A1233" s="1267"/>
      <c r="B1233" s="1279"/>
      <c r="C1233" s="1268"/>
      <c r="D1233" s="1279"/>
      <c r="E1233" s="1283" t="s">
        <v>5417</v>
      </c>
      <c r="F1233" s="1279"/>
      <c r="G1233" s="1279"/>
      <c r="H1233" s="1279"/>
      <c r="I1233" s="1279"/>
      <c r="J1233" s="1279"/>
      <c r="K1233" s="1279"/>
      <c r="L1233" s="1279"/>
      <c r="M1233" s="1279"/>
      <c r="N1233" s="1279"/>
      <c r="O1233" s="1270"/>
      <c r="P1233" s="1268" t="s">
        <v>40</v>
      </c>
      <c r="Q1233" s="1271"/>
    </row>
    <row r="1234" spans="1:17" ht="11.25" hidden="1" customHeight="1" x14ac:dyDescent="0.35">
      <c r="A1234" s="1267"/>
      <c r="B1234" s="1279"/>
      <c r="C1234" s="1268"/>
      <c r="D1234" s="1279"/>
      <c r="E1234" s="1283" t="s">
        <v>5418</v>
      </c>
      <c r="F1234" s="1279"/>
      <c r="G1234" s="1279"/>
      <c r="H1234" s="1279"/>
      <c r="I1234" s="1279"/>
      <c r="J1234" s="1279"/>
      <c r="K1234" s="1279"/>
      <c r="L1234" s="1279"/>
      <c r="M1234" s="1279"/>
      <c r="N1234" s="1279"/>
      <c r="O1234" s="1270"/>
      <c r="P1234" s="1268" t="s">
        <v>40</v>
      </c>
      <c r="Q1234" s="1271"/>
    </row>
    <row r="1235" spans="1:17" ht="11.25" hidden="1" customHeight="1" x14ac:dyDescent="0.35">
      <c r="A1235" s="1267"/>
      <c r="B1235" s="1279"/>
      <c r="C1235" s="1268"/>
      <c r="D1235" s="1279"/>
      <c r="E1235" s="1283" t="s">
        <v>5419</v>
      </c>
      <c r="F1235" s="1279"/>
      <c r="G1235" s="1279"/>
      <c r="H1235" s="1279"/>
      <c r="I1235" s="1279"/>
      <c r="J1235" s="1279"/>
      <c r="K1235" s="1279"/>
      <c r="L1235" s="1279"/>
      <c r="M1235" s="1279"/>
      <c r="N1235" s="1279"/>
      <c r="O1235" s="1270"/>
      <c r="P1235" s="1268" t="s">
        <v>40</v>
      </c>
      <c r="Q1235" s="1271"/>
    </row>
    <row r="1236" spans="1:17" ht="11.25" hidden="1" customHeight="1" x14ac:dyDescent="0.35">
      <c r="A1236" s="1267"/>
      <c r="B1236" s="1279"/>
      <c r="C1236" s="1268" t="s">
        <v>5989</v>
      </c>
      <c r="D1236" s="1279"/>
      <c r="E1236" s="1283" t="s">
        <v>5988</v>
      </c>
      <c r="F1236" s="1279"/>
      <c r="G1236" s="1279"/>
      <c r="H1236" s="1279"/>
      <c r="I1236" s="1279"/>
      <c r="J1236" s="1279"/>
      <c r="K1236" s="1279"/>
      <c r="L1236" s="1279"/>
      <c r="M1236" s="1279"/>
      <c r="N1236" s="1279"/>
      <c r="O1236" s="1270"/>
      <c r="P1236" s="1268" t="s">
        <v>40</v>
      </c>
      <c r="Q1236" s="1271"/>
    </row>
    <row r="1237" spans="1:17" ht="11.25" hidden="1" customHeight="1" x14ac:dyDescent="0.35">
      <c r="A1237" s="1267"/>
      <c r="B1237" s="1279"/>
      <c r="C1237" s="1268" t="s">
        <v>5991</v>
      </c>
      <c r="D1237" s="1279"/>
      <c r="E1237" s="1283" t="s">
        <v>5990</v>
      </c>
      <c r="F1237" s="1279"/>
      <c r="G1237" s="1279"/>
      <c r="H1237" s="1279"/>
      <c r="I1237" s="1279"/>
      <c r="J1237" s="1279"/>
      <c r="K1237" s="1279"/>
      <c r="L1237" s="1279"/>
      <c r="M1237" s="1279"/>
      <c r="N1237" s="1279"/>
      <c r="O1237" s="1270"/>
      <c r="P1237" s="1268" t="s">
        <v>40</v>
      </c>
      <c r="Q1237" s="1271"/>
    </row>
    <row r="1238" spans="1:17" ht="11.25" hidden="1" customHeight="1" x14ac:dyDescent="0.35">
      <c r="A1238" s="1267"/>
      <c r="B1238" s="1279"/>
      <c r="C1238" s="1268" t="s">
        <v>5992</v>
      </c>
      <c r="D1238" s="1279"/>
      <c r="E1238" s="1283" t="s">
        <v>1736</v>
      </c>
      <c r="F1238" s="1279"/>
      <c r="G1238" s="1279"/>
      <c r="H1238" s="1279"/>
      <c r="I1238" s="1279"/>
      <c r="J1238" s="1279"/>
      <c r="K1238" s="1279"/>
      <c r="L1238" s="1279"/>
      <c r="M1238" s="1279"/>
      <c r="N1238" s="1279"/>
      <c r="O1238" s="1270"/>
      <c r="P1238" s="1268" t="s">
        <v>40</v>
      </c>
      <c r="Q1238" s="1271"/>
    </row>
    <row r="1239" spans="1:17" ht="11.25" hidden="1" customHeight="1" x14ac:dyDescent="0.35">
      <c r="A1239" s="1267"/>
      <c r="B1239" s="1279"/>
      <c r="C1239" s="1268" t="s">
        <v>5994</v>
      </c>
      <c r="D1239" s="1279"/>
      <c r="E1239" s="1283" t="s">
        <v>5993</v>
      </c>
      <c r="F1239" s="1279"/>
      <c r="G1239" s="1279"/>
      <c r="H1239" s="1279"/>
      <c r="I1239" s="1279"/>
      <c r="J1239" s="1279"/>
      <c r="K1239" s="1279"/>
      <c r="L1239" s="1279"/>
      <c r="M1239" s="1279"/>
      <c r="N1239" s="1279"/>
      <c r="O1239" s="1270"/>
      <c r="P1239" s="1268" t="s">
        <v>40</v>
      </c>
      <c r="Q1239" s="1271"/>
    </row>
    <row r="1240" spans="1:17" ht="11.25" hidden="1" customHeight="1" x14ac:dyDescent="0.35">
      <c r="A1240" s="1267"/>
      <c r="B1240" s="1279"/>
      <c r="C1240" s="1268" t="s">
        <v>5996</v>
      </c>
      <c r="D1240" s="1279"/>
      <c r="E1240" s="1283" t="s">
        <v>5995</v>
      </c>
      <c r="F1240" s="1279"/>
      <c r="G1240" s="1279"/>
      <c r="H1240" s="1279"/>
      <c r="I1240" s="1279"/>
      <c r="J1240" s="1279"/>
      <c r="K1240" s="1279"/>
      <c r="L1240" s="1279"/>
      <c r="M1240" s="1279"/>
      <c r="N1240" s="1279"/>
      <c r="O1240" s="1270"/>
      <c r="P1240" s="1268" t="s">
        <v>40</v>
      </c>
      <c r="Q1240" s="1271"/>
    </row>
    <row r="1241" spans="1:17" ht="11.25" hidden="1" customHeight="1" x14ac:dyDescent="0.35">
      <c r="A1241" s="1267"/>
      <c r="B1241" s="1279"/>
      <c r="C1241" s="1268" t="s">
        <v>5998</v>
      </c>
      <c r="D1241" s="1279"/>
      <c r="E1241" s="1283" t="s">
        <v>5997</v>
      </c>
      <c r="F1241" s="1279"/>
      <c r="G1241" s="1279"/>
      <c r="H1241" s="1279"/>
      <c r="I1241" s="1279"/>
      <c r="J1241" s="1279"/>
      <c r="K1241" s="1279"/>
      <c r="L1241" s="1279"/>
      <c r="M1241" s="1279"/>
      <c r="N1241" s="1279"/>
      <c r="O1241" s="1270"/>
      <c r="P1241" s="1268" t="s">
        <v>40</v>
      </c>
      <c r="Q1241" s="1271"/>
    </row>
    <row r="1242" spans="1:17" ht="11.25" hidden="1" customHeight="1" x14ac:dyDescent="0.35">
      <c r="A1242" s="1267"/>
      <c r="B1242" s="1279"/>
      <c r="C1242" s="1268"/>
      <c r="D1242" s="1279"/>
      <c r="E1242" s="1283" t="s">
        <v>6282</v>
      </c>
      <c r="F1242" s="1279"/>
      <c r="G1242" s="1279"/>
      <c r="H1242" s="1279"/>
      <c r="I1242" s="1279"/>
      <c r="J1242" s="1279"/>
      <c r="K1242" s="1279"/>
      <c r="L1242" s="1279"/>
      <c r="M1242" s="1279"/>
      <c r="N1242" s="1279"/>
      <c r="O1242" s="1270"/>
      <c r="P1242" s="1268" t="s">
        <v>40</v>
      </c>
      <c r="Q1242" s="1271"/>
    </row>
    <row r="1243" spans="1:17" ht="11.25" hidden="1" customHeight="1" x14ac:dyDescent="0.35">
      <c r="A1243" s="1267"/>
      <c r="B1243" s="1279"/>
      <c r="C1243" s="1268"/>
      <c r="D1243" s="1279"/>
      <c r="E1243" s="1283" t="s">
        <v>6283</v>
      </c>
      <c r="F1243" s="1279"/>
      <c r="G1243" s="1279"/>
      <c r="H1243" s="1279"/>
      <c r="I1243" s="1279"/>
      <c r="J1243" s="1279"/>
      <c r="K1243" s="1279"/>
      <c r="L1243" s="1279"/>
      <c r="M1243" s="1279"/>
      <c r="N1243" s="1279"/>
      <c r="O1243" s="1270"/>
      <c r="P1243" s="1268" t="s">
        <v>40</v>
      </c>
      <c r="Q1243" s="1271"/>
    </row>
    <row r="1244" spans="1:17" ht="11.25" hidden="1" customHeight="1" x14ac:dyDescent="0.35">
      <c r="A1244" s="1267"/>
      <c r="B1244" s="1279"/>
      <c r="C1244" s="1268"/>
      <c r="D1244" s="1279"/>
      <c r="E1244" s="1283" t="s">
        <v>6284</v>
      </c>
      <c r="F1244" s="1279"/>
      <c r="G1244" s="1279"/>
      <c r="H1244" s="1279"/>
      <c r="I1244" s="1279"/>
      <c r="J1244" s="1279"/>
      <c r="K1244" s="1279"/>
      <c r="L1244" s="1279"/>
      <c r="M1244" s="1279"/>
      <c r="N1244" s="1279"/>
      <c r="O1244" s="1270"/>
      <c r="P1244" s="1268" t="s">
        <v>40</v>
      </c>
      <c r="Q1244" s="1271"/>
    </row>
    <row r="1245" spans="1:17" ht="11.25" hidden="1" customHeight="1" x14ac:dyDescent="0.35">
      <c r="A1245" s="1267"/>
      <c r="B1245" s="1279"/>
      <c r="C1245" s="1268"/>
      <c r="D1245" s="1279"/>
      <c r="E1245" s="1283" t="s">
        <v>6285</v>
      </c>
      <c r="F1245" s="1279"/>
      <c r="G1245" s="1279"/>
      <c r="H1245" s="1279"/>
      <c r="I1245" s="1279"/>
      <c r="J1245" s="1279"/>
      <c r="K1245" s="1279"/>
      <c r="L1245" s="1279"/>
      <c r="M1245" s="1279"/>
      <c r="N1245" s="1279"/>
      <c r="O1245" s="1270"/>
      <c r="P1245" s="1268" t="s">
        <v>40</v>
      </c>
      <c r="Q1245" s="1271"/>
    </row>
    <row r="1246" spans="1:17" ht="11.25" hidden="1" customHeight="1" x14ac:dyDescent="0.35">
      <c r="A1246" s="1267"/>
      <c r="B1246" s="1279"/>
      <c r="C1246" s="1268"/>
      <c r="D1246" s="1279"/>
      <c r="E1246" s="1283" t="s">
        <v>6286</v>
      </c>
      <c r="F1246" s="1279"/>
      <c r="G1246" s="1279"/>
      <c r="H1246" s="1279"/>
      <c r="I1246" s="1279"/>
      <c r="J1246" s="1279"/>
      <c r="K1246" s="1279"/>
      <c r="L1246" s="1279"/>
      <c r="M1246" s="1279"/>
      <c r="N1246" s="1279"/>
      <c r="O1246" s="1270"/>
      <c r="P1246" s="1268" t="s">
        <v>40</v>
      </c>
      <c r="Q1246" s="1271"/>
    </row>
    <row r="1247" spans="1:17" ht="11.25" hidden="1" customHeight="1" x14ac:dyDescent="0.35">
      <c r="A1247" s="1267"/>
      <c r="B1247" s="1279"/>
      <c r="C1247" s="1268"/>
      <c r="D1247" s="1279"/>
      <c r="E1247" s="1283" t="s">
        <v>6287</v>
      </c>
      <c r="F1247" s="1279"/>
      <c r="G1247" s="1279"/>
      <c r="H1247" s="1279"/>
      <c r="I1247" s="1279"/>
      <c r="J1247" s="1279"/>
      <c r="K1247" s="1279"/>
      <c r="L1247" s="1279"/>
      <c r="M1247" s="1279"/>
      <c r="N1247" s="1279"/>
      <c r="O1247" s="1270"/>
      <c r="P1247" s="1268" t="s">
        <v>40</v>
      </c>
      <c r="Q1247" s="1271"/>
    </row>
    <row r="1248" spans="1:17" ht="11.25" hidden="1" customHeight="1" x14ac:dyDescent="0.35">
      <c r="A1248" s="1267"/>
      <c r="B1248" s="1279"/>
      <c r="C1248" s="1268"/>
      <c r="D1248" s="1279"/>
      <c r="E1248" s="1283" t="s">
        <v>6288</v>
      </c>
      <c r="F1248" s="1279"/>
      <c r="G1248" s="1279"/>
      <c r="H1248" s="1279"/>
      <c r="I1248" s="1279"/>
      <c r="J1248" s="1279"/>
      <c r="K1248" s="1279"/>
      <c r="L1248" s="1279"/>
      <c r="M1248" s="1279"/>
      <c r="N1248" s="1279"/>
      <c r="O1248" s="1270"/>
      <c r="P1248" s="1268" t="s">
        <v>40</v>
      </c>
      <c r="Q1248" s="1271"/>
    </row>
    <row r="1249" spans="1:17" ht="11.25" hidden="1" customHeight="1" x14ac:dyDescent="0.35">
      <c r="A1249" s="1267"/>
      <c r="B1249" s="1279"/>
      <c r="C1249" s="1268"/>
      <c r="D1249" s="1279"/>
      <c r="E1249" s="1283" t="s">
        <v>6289</v>
      </c>
      <c r="F1249" s="1279"/>
      <c r="G1249" s="1279"/>
      <c r="H1249" s="1279"/>
      <c r="I1249" s="1279"/>
      <c r="J1249" s="1279"/>
      <c r="K1249" s="1279"/>
      <c r="L1249" s="1279"/>
      <c r="M1249" s="1279"/>
      <c r="N1249" s="1279"/>
      <c r="O1249" s="1270"/>
      <c r="P1249" s="1268" t="s">
        <v>40</v>
      </c>
      <c r="Q1249" s="1271"/>
    </row>
    <row r="1250" spans="1:17" ht="11.25" hidden="1" customHeight="1" x14ac:dyDescent="0.35">
      <c r="A1250" s="1267"/>
      <c r="B1250" s="1279"/>
      <c r="C1250" s="1268"/>
      <c r="D1250" s="1279"/>
      <c r="E1250" s="1283" t="s">
        <v>6290</v>
      </c>
      <c r="F1250" s="1279"/>
      <c r="G1250" s="1279"/>
      <c r="H1250" s="1279"/>
      <c r="I1250" s="1279"/>
      <c r="J1250" s="1279"/>
      <c r="K1250" s="1279"/>
      <c r="L1250" s="1279"/>
      <c r="M1250" s="1279"/>
      <c r="N1250" s="1279"/>
      <c r="O1250" s="1270"/>
      <c r="P1250" s="1268" t="s">
        <v>40</v>
      </c>
      <c r="Q1250" s="1271"/>
    </row>
    <row r="1251" spans="1:17" ht="11.25" hidden="1" customHeight="1" x14ac:dyDescent="0.35">
      <c r="A1251" s="1267"/>
      <c r="B1251" s="1279"/>
      <c r="C1251" s="1268"/>
      <c r="D1251" s="1279"/>
      <c r="E1251" s="1283" t="s">
        <v>6291</v>
      </c>
      <c r="F1251" s="1279"/>
      <c r="G1251" s="1279"/>
      <c r="H1251" s="1279"/>
      <c r="I1251" s="1279"/>
      <c r="J1251" s="1279"/>
      <c r="K1251" s="1279"/>
      <c r="L1251" s="1279"/>
      <c r="M1251" s="1279"/>
      <c r="N1251" s="1279"/>
      <c r="O1251" s="1270"/>
      <c r="P1251" s="1268" t="s">
        <v>40</v>
      </c>
      <c r="Q1251" s="1271"/>
    </row>
    <row r="1252" spans="1:17" ht="11.25" hidden="1" customHeight="1" x14ac:dyDescent="0.35">
      <c r="A1252" s="1267"/>
      <c r="B1252" s="1279"/>
      <c r="C1252" s="1268"/>
      <c r="D1252" s="1279"/>
      <c r="E1252" s="1283" t="s">
        <v>6292</v>
      </c>
      <c r="F1252" s="1279"/>
      <c r="G1252" s="1279"/>
      <c r="H1252" s="1279"/>
      <c r="I1252" s="1279"/>
      <c r="J1252" s="1279"/>
      <c r="K1252" s="1279"/>
      <c r="L1252" s="1279"/>
      <c r="M1252" s="1279"/>
      <c r="N1252" s="1279"/>
      <c r="O1252" s="1270"/>
      <c r="P1252" s="1268" t="s">
        <v>40</v>
      </c>
      <c r="Q1252" s="1271"/>
    </row>
    <row r="1253" spans="1:17" ht="11.25" hidden="1" customHeight="1" x14ac:dyDescent="0.35">
      <c r="A1253" s="1267"/>
      <c r="B1253" s="1279"/>
      <c r="C1253" s="1268"/>
      <c r="D1253" s="1279"/>
      <c r="E1253" s="1283" t="s">
        <v>6293</v>
      </c>
      <c r="F1253" s="1279"/>
      <c r="G1253" s="1279"/>
      <c r="H1253" s="1279"/>
      <c r="I1253" s="1279"/>
      <c r="J1253" s="1279"/>
      <c r="K1253" s="1279"/>
      <c r="L1253" s="1279"/>
      <c r="M1253" s="1279"/>
      <c r="N1253" s="1279"/>
      <c r="O1253" s="1270"/>
      <c r="P1253" s="1268" t="s">
        <v>40</v>
      </c>
      <c r="Q1253" s="1271"/>
    </row>
    <row r="1254" spans="1:17" ht="11.25" hidden="1" customHeight="1" x14ac:dyDescent="0.35">
      <c r="A1254" s="1267"/>
      <c r="B1254" s="1279"/>
      <c r="C1254" s="1268"/>
      <c r="D1254" s="1279"/>
      <c r="E1254" s="1283" t="s">
        <v>6294</v>
      </c>
      <c r="F1254" s="1279"/>
      <c r="G1254" s="1279"/>
      <c r="H1254" s="1279"/>
      <c r="I1254" s="1279"/>
      <c r="J1254" s="1279"/>
      <c r="K1254" s="1279"/>
      <c r="L1254" s="1279"/>
      <c r="M1254" s="1279"/>
      <c r="N1254" s="1279"/>
      <c r="O1254" s="1270"/>
      <c r="P1254" s="1268" t="s">
        <v>40</v>
      </c>
      <c r="Q1254" s="1271"/>
    </row>
    <row r="1255" spans="1:17" ht="11.25" hidden="1" customHeight="1" x14ac:dyDescent="0.35">
      <c r="A1255" s="1267"/>
      <c r="B1255" s="1279"/>
      <c r="C1255" s="1268"/>
      <c r="D1255" s="1279"/>
      <c r="E1255" s="1283" t="s">
        <v>6295</v>
      </c>
      <c r="F1255" s="1279"/>
      <c r="G1255" s="1279"/>
      <c r="H1255" s="1279"/>
      <c r="I1255" s="1279"/>
      <c r="J1255" s="1279"/>
      <c r="K1255" s="1279"/>
      <c r="L1255" s="1279"/>
      <c r="M1255" s="1279"/>
      <c r="N1255" s="1279"/>
      <c r="O1255" s="1270"/>
      <c r="P1255" s="1268" t="s">
        <v>40</v>
      </c>
      <c r="Q1255" s="1271"/>
    </row>
    <row r="1256" spans="1:17" ht="11.25" hidden="1" customHeight="1" x14ac:dyDescent="0.35">
      <c r="A1256" s="1267"/>
      <c r="B1256" s="1279"/>
      <c r="C1256" s="1268"/>
      <c r="D1256" s="1279"/>
      <c r="E1256" s="1283" t="s">
        <v>6296</v>
      </c>
      <c r="F1256" s="1279"/>
      <c r="G1256" s="1279"/>
      <c r="H1256" s="1279"/>
      <c r="I1256" s="1279"/>
      <c r="J1256" s="1279"/>
      <c r="K1256" s="1279"/>
      <c r="L1256" s="1279"/>
      <c r="M1256" s="1279"/>
      <c r="N1256" s="1279"/>
      <c r="O1256" s="1270"/>
      <c r="P1256" s="1268" t="s">
        <v>40</v>
      </c>
      <c r="Q1256" s="1271"/>
    </row>
    <row r="1257" spans="1:17" ht="11.25" hidden="1" customHeight="1" x14ac:dyDescent="0.35">
      <c r="A1257" s="1267"/>
      <c r="B1257" s="1279"/>
      <c r="C1257" s="1268"/>
      <c r="D1257" s="1279"/>
      <c r="E1257" s="1283" t="s">
        <v>6297</v>
      </c>
      <c r="F1257" s="1279"/>
      <c r="G1257" s="1279"/>
      <c r="H1257" s="1279"/>
      <c r="I1257" s="1279"/>
      <c r="J1257" s="1279"/>
      <c r="K1257" s="1279"/>
      <c r="L1257" s="1279"/>
      <c r="M1257" s="1279"/>
      <c r="N1257" s="1279"/>
      <c r="O1257" s="1270"/>
      <c r="P1257" s="1268" t="s">
        <v>40</v>
      </c>
      <c r="Q1257" s="1271"/>
    </row>
    <row r="1258" spans="1:17" ht="11.25" hidden="1" customHeight="1" x14ac:dyDescent="0.35">
      <c r="A1258" s="1267"/>
      <c r="B1258" s="1279"/>
      <c r="C1258" s="1268"/>
      <c r="D1258" s="1279"/>
      <c r="E1258" s="1283" t="s">
        <v>6298</v>
      </c>
      <c r="F1258" s="1279"/>
      <c r="G1258" s="1279"/>
      <c r="H1258" s="1279"/>
      <c r="I1258" s="1279"/>
      <c r="J1258" s="1279"/>
      <c r="K1258" s="1279"/>
      <c r="L1258" s="1279"/>
      <c r="M1258" s="1279"/>
      <c r="N1258" s="1279"/>
      <c r="O1258" s="1270"/>
      <c r="P1258" s="1268" t="s">
        <v>40</v>
      </c>
      <c r="Q1258" s="1271"/>
    </row>
    <row r="1259" spans="1:17" ht="11.25" hidden="1" customHeight="1" x14ac:dyDescent="0.35">
      <c r="A1259" s="1267"/>
      <c r="B1259" s="1279"/>
      <c r="C1259" s="1268"/>
      <c r="D1259" s="1279"/>
      <c r="E1259" s="1283" t="s">
        <v>6299</v>
      </c>
      <c r="F1259" s="1279"/>
      <c r="G1259" s="1279"/>
      <c r="H1259" s="1279"/>
      <c r="I1259" s="1279"/>
      <c r="J1259" s="1279"/>
      <c r="K1259" s="1279"/>
      <c r="L1259" s="1279"/>
      <c r="M1259" s="1279"/>
      <c r="N1259" s="1279"/>
      <c r="O1259" s="1270"/>
      <c r="P1259" s="1268" t="s">
        <v>40</v>
      </c>
      <c r="Q1259" s="1271"/>
    </row>
    <row r="1260" spans="1:17" ht="11.25" hidden="1" customHeight="1" x14ac:dyDescent="0.35">
      <c r="A1260" s="1267"/>
      <c r="B1260" s="1279"/>
      <c r="C1260" s="1268"/>
      <c r="D1260" s="1279"/>
      <c r="E1260" s="1283" t="s">
        <v>6300</v>
      </c>
      <c r="F1260" s="1279"/>
      <c r="G1260" s="1279"/>
      <c r="H1260" s="1279"/>
      <c r="I1260" s="1279"/>
      <c r="J1260" s="1279"/>
      <c r="K1260" s="1279"/>
      <c r="L1260" s="1279"/>
      <c r="M1260" s="1279"/>
      <c r="N1260" s="1279"/>
      <c r="O1260" s="1270"/>
      <c r="P1260" s="1268" t="s">
        <v>40</v>
      </c>
      <c r="Q1260" s="1271"/>
    </row>
    <row r="1261" spans="1:17" ht="11.25" hidden="1" customHeight="1" x14ac:dyDescent="0.35">
      <c r="A1261" s="1267"/>
      <c r="B1261" s="1279"/>
      <c r="C1261" s="1268"/>
      <c r="D1261" s="1279"/>
      <c r="E1261" s="1283" t="s">
        <v>6301</v>
      </c>
      <c r="F1261" s="1279"/>
      <c r="G1261" s="1279"/>
      <c r="H1261" s="1279"/>
      <c r="I1261" s="1279"/>
      <c r="J1261" s="1279"/>
      <c r="K1261" s="1279"/>
      <c r="L1261" s="1279"/>
      <c r="M1261" s="1279"/>
      <c r="N1261" s="1279"/>
      <c r="O1261" s="1270"/>
      <c r="P1261" s="1268" t="s">
        <v>40</v>
      </c>
      <c r="Q1261" s="1271"/>
    </row>
    <row r="1262" spans="1:17" ht="11.25" hidden="1" customHeight="1" x14ac:dyDescent="0.35">
      <c r="A1262" s="1267"/>
      <c r="B1262" s="1279"/>
      <c r="C1262" s="1268"/>
      <c r="D1262" s="1279"/>
      <c r="E1262" s="1283" t="s">
        <v>6302</v>
      </c>
      <c r="F1262" s="1279"/>
      <c r="G1262" s="1279"/>
      <c r="H1262" s="1279"/>
      <c r="I1262" s="1279"/>
      <c r="J1262" s="1279"/>
      <c r="K1262" s="1279"/>
      <c r="L1262" s="1279"/>
      <c r="M1262" s="1279"/>
      <c r="N1262" s="1279"/>
      <c r="O1262" s="1270"/>
      <c r="P1262" s="1268" t="s">
        <v>40</v>
      </c>
      <c r="Q1262" s="1271"/>
    </row>
    <row r="1263" spans="1:17" ht="11.25" hidden="1" customHeight="1" x14ac:dyDescent="0.35">
      <c r="A1263" s="1267"/>
      <c r="B1263" s="1279"/>
      <c r="C1263" s="1268"/>
      <c r="D1263" s="1279"/>
      <c r="E1263" s="1283" t="s">
        <v>6303</v>
      </c>
      <c r="F1263" s="1279"/>
      <c r="G1263" s="1279"/>
      <c r="H1263" s="1279"/>
      <c r="I1263" s="1279"/>
      <c r="J1263" s="1279"/>
      <c r="K1263" s="1279"/>
      <c r="L1263" s="1279"/>
      <c r="M1263" s="1279"/>
      <c r="N1263" s="1279"/>
      <c r="O1263" s="1270"/>
      <c r="P1263" s="1268" t="s">
        <v>40</v>
      </c>
      <c r="Q1263" s="1271"/>
    </row>
    <row r="1264" spans="1:17" ht="11.25" hidden="1" customHeight="1" x14ac:dyDescent="0.35">
      <c r="A1264" s="1267"/>
      <c r="B1264" s="1279"/>
      <c r="C1264" s="1268"/>
      <c r="D1264" s="1279"/>
      <c r="E1264" s="1283" t="s">
        <v>6304</v>
      </c>
      <c r="F1264" s="1279"/>
      <c r="G1264" s="1279"/>
      <c r="H1264" s="1279"/>
      <c r="I1264" s="1279"/>
      <c r="J1264" s="1279"/>
      <c r="K1264" s="1279"/>
      <c r="L1264" s="1279"/>
      <c r="M1264" s="1279"/>
      <c r="N1264" s="1279"/>
      <c r="O1264" s="1270"/>
      <c r="P1264" s="1268" t="s">
        <v>40</v>
      </c>
      <c r="Q1264" s="1271"/>
    </row>
    <row r="1265" spans="1:17" ht="11.25" hidden="1" customHeight="1" x14ac:dyDescent="0.35">
      <c r="A1265" s="1267"/>
      <c r="B1265" s="1279"/>
      <c r="C1265" s="1268"/>
      <c r="D1265" s="1279"/>
      <c r="E1265" s="1283" t="s">
        <v>6305</v>
      </c>
      <c r="F1265" s="1279"/>
      <c r="G1265" s="1279"/>
      <c r="H1265" s="1279"/>
      <c r="I1265" s="1279"/>
      <c r="J1265" s="1279"/>
      <c r="K1265" s="1279"/>
      <c r="L1265" s="1279"/>
      <c r="M1265" s="1279"/>
      <c r="N1265" s="1279"/>
      <c r="O1265" s="1270"/>
      <c r="P1265" s="1268" t="s">
        <v>40</v>
      </c>
      <c r="Q1265" s="1271"/>
    </row>
    <row r="1266" spans="1:17" ht="11.25" hidden="1" customHeight="1" x14ac:dyDescent="0.35">
      <c r="A1266" s="1267"/>
      <c r="B1266" s="1279"/>
      <c r="C1266" s="1268"/>
      <c r="D1266" s="1279"/>
      <c r="E1266" s="1283" t="s">
        <v>6306</v>
      </c>
      <c r="F1266" s="1279"/>
      <c r="G1266" s="1279"/>
      <c r="H1266" s="1279"/>
      <c r="I1266" s="1279"/>
      <c r="J1266" s="1279"/>
      <c r="K1266" s="1279"/>
      <c r="L1266" s="1279"/>
      <c r="M1266" s="1279"/>
      <c r="N1266" s="1279"/>
      <c r="O1266" s="1270"/>
      <c r="P1266" s="1268" t="s">
        <v>40</v>
      </c>
      <c r="Q1266" s="1271"/>
    </row>
    <row r="1267" spans="1:17" ht="11.25" hidden="1" customHeight="1" x14ac:dyDescent="0.35">
      <c r="A1267" s="1267"/>
      <c r="B1267" s="1279"/>
      <c r="C1267" s="1268"/>
      <c r="D1267" s="1279"/>
      <c r="E1267" s="1283" t="s">
        <v>6307</v>
      </c>
      <c r="F1267" s="1279"/>
      <c r="G1267" s="1279"/>
      <c r="H1267" s="1279"/>
      <c r="I1267" s="1279"/>
      <c r="J1267" s="1279"/>
      <c r="K1267" s="1279"/>
      <c r="L1267" s="1279"/>
      <c r="M1267" s="1279"/>
      <c r="N1267" s="1279"/>
      <c r="O1267" s="1270"/>
      <c r="P1267" s="1268" t="s">
        <v>40</v>
      </c>
      <c r="Q1267" s="1271"/>
    </row>
    <row r="1268" spans="1:17" ht="11.25" hidden="1" customHeight="1" x14ac:dyDescent="0.35">
      <c r="A1268" s="1267"/>
      <c r="B1268" s="1279"/>
      <c r="C1268" s="1268"/>
      <c r="D1268" s="1279"/>
      <c r="E1268" s="1283" t="s">
        <v>6308</v>
      </c>
      <c r="F1268" s="1279"/>
      <c r="G1268" s="1279"/>
      <c r="H1268" s="1279"/>
      <c r="I1268" s="1279"/>
      <c r="J1268" s="1279"/>
      <c r="K1268" s="1279"/>
      <c r="L1268" s="1279"/>
      <c r="M1268" s="1279"/>
      <c r="N1268" s="1279"/>
      <c r="O1268" s="1270"/>
      <c r="P1268" s="1268" t="s">
        <v>40</v>
      </c>
      <c r="Q1268" s="1271"/>
    </row>
    <row r="1269" spans="1:17" ht="11.25" hidden="1" customHeight="1" x14ac:dyDescent="0.35">
      <c r="A1269" s="1267"/>
      <c r="B1269" s="1279"/>
      <c r="C1269" s="1268"/>
      <c r="D1269" s="1279"/>
      <c r="E1269" s="1283" t="s">
        <v>6309</v>
      </c>
      <c r="F1269" s="1279"/>
      <c r="G1269" s="1279"/>
      <c r="H1269" s="1279"/>
      <c r="I1269" s="1279"/>
      <c r="J1269" s="1279"/>
      <c r="K1269" s="1279"/>
      <c r="L1269" s="1279"/>
      <c r="M1269" s="1279"/>
      <c r="N1269" s="1279"/>
      <c r="O1269" s="1270"/>
      <c r="P1269" s="1268" t="s">
        <v>40</v>
      </c>
      <c r="Q1269" s="1271"/>
    </row>
    <row r="1270" spans="1:17" ht="11.25" hidden="1" customHeight="1" x14ac:dyDescent="0.35">
      <c r="A1270" s="1267"/>
      <c r="B1270" s="1279"/>
      <c r="C1270" s="1268"/>
      <c r="D1270" s="1279"/>
      <c r="E1270" s="1283" t="s">
        <v>6310</v>
      </c>
      <c r="F1270" s="1279"/>
      <c r="G1270" s="1279"/>
      <c r="H1270" s="1279"/>
      <c r="I1270" s="1279"/>
      <c r="J1270" s="1279"/>
      <c r="K1270" s="1279"/>
      <c r="L1270" s="1279"/>
      <c r="M1270" s="1279"/>
      <c r="N1270" s="1279"/>
      <c r="O1270" s="1270"/>
      <c r="P1270" s="1268" t="s">
        <v>40</v>
      </c>
      <c r="Q1270" s="1271"/>
    </row>
    <row r="1271" spans="1:17" ht="11.25" hidden="1" customHeight="1" x14ac:dyDescent="0.35">
      <c r="A1271" s="1267"/>
      <c r="B1271" s="1279"/>
      <c r="C1271" s="1268"/>
      <c r="D1271" s="1279"/>
      <c r="E1271" s="1283" t="s">
        <v>6311</v>
      </c>
      <c r="F1271" s="1279"/>
      <c r="G1271" s="1279"/>
      <c r="H1271" s="1279"/>
      <c r="I1271" s="1279"/>
      <c r="J1271" s="1279"/>
      <c r="K1271" s="1279"/>
      <c r="L1271" s="1279"/>
      <c r="M1271" s="1279"/>
      <c r="N1271" s="1279"/>
      <c r="O1271" s="1270"/>
      <c r="P1271" s="1268" t="s">
        <v>40</v>
      </c>
      <c r="Q1271" s="1271"/>
    </row>
    <row r="1272" spans="1:17" ht="11.25" hidden="1" customHeight="1" x14ac:dyDescent="0.35">
      <c r="A1272" s="1267"/>
      <c r="B1272" s="1279"/>
      <c r="C1272" s="1268"/>
      <c r="D1272" s="1279"/>
      <c r="E1272" s="1283" t="s">
        <v>6312</v>
      </c>
      <c r="F1272" s="1279"/>
      <c r="G1272" s="1279"/>
      <c r="H1272" s="1279"/>
      <c r="I1272" s="1279"/>
      <c r="J1272" s="1279"/>
      <c r="K1272" s="1279"/>
      <c r="L1272" s="1279"/>
      <c r="M1272" s="1279"/>
      <c r="N1272" s="1279"/>
      <c r="O1272" s="1270"/>
      <c r="P1272" s="1268" t="s">
        <v>40</v>
      </c>
      <c r="Q1272" s="1271"/>
    </row>
    <row r="1273" spans="1:17" ht="11.25" hidden="1" customHeight="1" x14ac:dyDescent="0.35">
      <c r="A1273" s="1267"/>
      <c r="B1273" s="1279"/>
      <c r="C1273" s="1268"/>
      <c r="D1273" s="1279"/>
      <c r="E1273" s="1283" t="s">
        <v>6313</v>
      </c>
      <c r="F1273" s="1279"/>
      <c r="G1273" s="1279"/>
      <c r="H1273" s="1279"/>
      <c r="I1273" s="1279"/>
      <c r="J1273" s="1279"/>
      <c r="K1273" s="1279"/>
      <c r="L1273" s="1279"/>
      <c r="M1273" s="1279"/>
      <c r="N1273" s="1279"/>
      <c r="O1273" s="1270"/>
      <c r="P1273" s="1268" t="s">
        <v>40</v>
      </c>
      <c r="Q1273" s="1271"/>
    </row>
    <row r="1274" spans="1:17" ht="11.25" hidden="1" customHeight="1" x14ac:dyDescent="0.35">
      <c r="A1274" s="1267"/>
      <c r="B1274" s="1279"/>
      <c r="C1274" s="1268"/>
      <c r="D1274" s="1279"/>
      <c r="E1274" s="1283" t="s">
        <v>6314</v>
      </c>
      <c r="F1274" s="1279"/>
      <c r="G1274" s="1279"/>
      <c r="H1274" s="1279"/>
      <c r="I1274" s="1279"/>
      <c r="J1274" s="1279"/>
      <c r="K1274" s="1279"/>
      <c r="L1274" s="1279"/>
      <c r="M1274" s="1279"/>
      <c r="N1274" s="1279"/>
      <c r="O1274" s="1270"/>
      <c r="P1274" s="1268" t="s">
        <v>40</v>
      </c>
      <c r="Q1274" s="1271"/>
    </row>
    <row r="1275" spans="1:17" ht="11.25" hidden="1" customHeight="1" x14ac:dyDescent="0.35">
      <c r="A1275" s="1267"/>
      <c r="B1275" s="1279"/>
      <c r="C1275" s="1268"/>
      <c r="D1275" s="1279"/>
      <c r="E1275" s="1283" t="s">
        <v>6315</v>
      </c>
      <c r="F1275" s="1279"/>
      <c r="G1275" s="1279"/>
      <c r="H1275" s="1279"/>
      <c r="I1275" s="1279"/>
      <c r="J1275" s="1279"/>
      <c r="K1275" s="1279"/>
      <c r="L1275" s="1279"/>
      <c r="M1275" s="1279"/>
      <c r="N1275" s="1279"/>
      <c r="O1275" s="1270"/>
      <c r="P1275" s="1268" t="s">
        <v>40</v>
      </c>
      <c r="Q1275" s="1271"/>
    </row>
    <row r="1276" spans="1:17" ht="11.25" hidden="1" customHeight="1" x14ac:dyDescent="0.35">
      <c r="A1276" s="1267"/>
      <c r="B1276" s="1279"/>
      <c r="C1276" s="1268"/>
      <c r="D1276" s="1279"/>
      <c r="E1276" s="1283" t="s">
        <v>6316</v>
      </c>
      <c r="F1276" s="1279"/>
      <c r="G1276" s="1279"/>
      <c r="H1276" s="1279"/>
      <c r="I1276" s="1279"/>
      <c r="J1276" s="1279"/>
      <c r="K1276" s="1279"/>
      <c r="L1276" s="1279"/>
      <c r="M1276" s="1279"/>
      <c r="N1276" s="1279"/>
      <c r="O1276" s="1270"/>
      <c r="P1276" s="1268" t="s">
        <v>40</v>
      </c>
      <c r="Q1276" s="1271"/>
    </row>
    <row r="1277" spans="1:17" ht="11.25" hidden="1" customHeight="1" x14ac:dyDescent="0.35">
      <c r="A1277" s="1267"/>
      <c r="B1277" s="1279"/>
      <c r="C1277" s="1268"/>
      <c r="D1277" s="1279"/>
      <c r="E1277" s="1283" t="s">
        <v>6317</v>
      </c>
      <c r="F1277" s="1279"/>
      <c r="G1277" s="1279"/>
      <c r="H1277" s="1279"/>
      <c r="I1277" s="1279"/>
      <c r="J1277" s="1279"/>
      <c r="K1277" s="1279"/>
      <c r="L1277" s="1279"/>
      <c r="M1277" s="1279"/>
      <c r="N1277" s="1279"/>
      <c r="O1277" s="1270"/>
      <c r="P1277" s="1268" t="s">
        <v>40</v>
      </c>
      <c r="Q1277" s="1271"/>
    </row>
    <row r="1278" spans="1:17" ht="11.25" hidden="1" customHeight="1" x14ac:dyDescent="0.35">
      <c r="A1278" s="1267"/>
      <c r="B1278" s="1279"/>
      <c r="C1278" s="1268"/>
      <c r="D1278" s="1279"/>
      <c r="E1278" s="1283" t="s">
        <v>6318</v>
      </c>
      <c r="F1278" s="1279"/>
      <c r="G1278" s="1279"/>
      <c r="H1278" s="1279"/>
      <c r="I1278" s="1279"/>
      <c r="J1278" s="1279"/>
      <c r="K1278" s="1279"/>
      <c r="L1278" s="1279"/>
      <c r="M1278" s="1279"/>
      <c r="N1278" s="1279"/>
      <c r="O1278" s="1270"/>
      <c r="P1278" s="1268" t="s">
        <v>40</v>
      </c>
      <c r="Q1278" s="1271"/>
    </row>
    <row r="1279" spans="1:17" ht="11.25" hidden="1" customHeight="1" x14ac:dyDescent="0.35">
      <c r="A1279" s="1267"/>
      <c r="B1279" s="1279"/>
      <c r="C1279" s="1268"/>
      <c r="D1279" s="1279"/>
      <c r="E1279" s="1283" t="s">
        <v>6319</v>
      </c>
      <c r="F1279" s="1279"/>
      <c r="G1279" s="1279"/>
      <c r="H1279" s="1279"/>
      <c r="I1279" s="1279"/>
      <c r="J1279" s="1279"/>
      <c r="K1279" s="1279"/>
      <c r="L1279" s="1279"/>
      <c r="M1279" s="1279"/>
      <c r="N1279" s="1279"/>
      <c r="O1279" s="1270"/>
      <c r="P1279" s="1268" t="s">
        <v>40</v>
      </c>
      <c r="Q1279" s="1271"/>
    </row>
    <row r="1280" spans="1:17" ht="11.25" hidden="1" customHeight="1" x14ac:dyDescent="0.35">
      <c r="A1280" s="1267"/>
      <c r="B1280" s="1279"/>
      <c r="C1280" s="1268"/>
      <c r="D1280" s="1279"/>
      <c r="E1280" s="1283" t="s">
        <v>6320</v>
      </c>
      <c r="F1280" s="1279"/>
      <c r="G1280" s="1279"/>
      <c r="H1280" s="1279"/>
      <c r="I1280" s="1279"/>
      <c r="J1280" s="1279"/>
      <c r="K1280" s="1279"/>
      <c r="L1280" s="1279"/>
      <c r="M1280" s="1279"/>
      <c r="N1280" s="1279"/>
      <c r="O1280" s="1270"/>
      <c r="P1280" s="1268" t="s">
        <v>40</v>
      </c>
      <c r="Q1280" s="1271"/>
    </row>
    <row r="1281" spans="1:17" ht="11.25" hidden="1" customHeight="1" x14ac:dyDescent="0.35">
      <c r="A1281" s="1267"/>
      <c r="B1281" s="1279"/>
      <c r="C1281" s="1268"/>
      <c r="D1281" s="1279"/>
      <c r="E1281" s="1283" t="s">
        <v>6321</v>
      </c>
      <c r="F1281" s="1279"/>
      <c r="G1281" s="1279"/>
      <c r="H1281" s="1279"/>
      <c r="I1281" s="1279"/>
      <c r="J1281" s="1279"/>
      <c r="K1281" s="1279"/>
      <c r="L1281" s="1279"/>
      <c r="M1281" s="1279"/>
      <c r="N1281" s="1279"/>
      <c r="O1281" s="1270"/>
      <c r="P1281" s="1268" t="s">
        <v>40</v>
      </c>
      <c r="Q1281" s="1271"/>
    </row>
    <row r="1282" spans="1:17" ht="11.25" hidden="1" customHeight="1" x14ac:dyDescent="0.35">
      <c r="A1282" s="1267"/>
      <c r="B1282" s="1279"/>
      <c r="C1282" s="1268"/>
      <c r="D1282" s="1279"/>
      <c r="E1282" s="1283" t="s">
        <v>6322</v>
      </c>
      <c r="F1282" s="1279"/>
      <c r="G1282" s="1279"/>
      <c r="H1282" s="1279"/>
      <c r="I1282" s="1279"/>
      <c r="J1282" s="1279"/>
      <c r="K1282" s="1279"/>
      <c r="L1282" s="1279"/>
      <c r="M1282" s="1279"/>
      <c r="N1282" s="1279"/>
      <c r="O1282" s="1270"/>
      <c r="P1282" s="1268" t="s">
        <v>40</v>
      </c>
      <c r="Q1282" s="1271"/>
    </row>
    <row r="1283" spans="1:17" ht="11.25" hidden="1" customHeight="1" x14ac:dyDescent="0.35">
      <c r="A1283" s="1267"/>
      <c r="B1283" s="1279"/>
      <c r="C1283" s="1268"/>
      <c r="D1283" s="1279"/>
      <c r="E1283" s="1283" t="s">
        <v>6323</v>
      </c>
      <c r="F1283" s="1279"/>
      <c r="G1283" s="1279"/>
      <c r="H1283" s="1279"/>
      <c r="I1283" s="1279"/>
      <c r="J1283" s="1279"/>
      <c r="K1283" s="1279"/>
      <c r="L1283" s="1279"/>
      <c r="M1283" s="1279"/>
      <c r="N1283" s="1279"/>
      <c r="O1283" s="1270"/>
      <c r="P1283" s="1268" t="s">
        <v>40</v>
      </c>
      <c r="Q1283" s="1271"/>
    </row>
    <row r="1284" spans="1:17" ht="11.25" hidden="1" customHeight="1" x14ac:dyDescent="0.35">
      <c r="A1284" s="1267"/>
      <c r="B1284" s="1279"/>
      <c r="C1284" s="1268"/>
      <c r="D1284" s="1279"/>
      <c r="E1284" s="1283" t="s">
        <v>6324</v>
      </c>
      <c r="F1284" s="1279"/>
      <c r="G1284" s="1279"/>
      <c r="H1284" s="1279"/>
      <c r="I1284" s="1279"/>
      <c r="J1284" s="1279"/>
      <c r="K1284" s="1279"/>
      <c r="L1284" s="1279"/>
      <c r="M1284" s="1279"/>
      <c r="N1284" s="1279"/>
      <c r="O1284" s="1270"/>
      <c r="P1284" s="1268" t="s">
        <v>40</v>
      </c>
      <c r="Q1284" s="1271"/>
    </row>
    <row r="1285" spans="1:17" ht="11.25" hidden="1" customHeight="1" x14ac:dyDescent="0.35">
      <c r="A1285" s="1267"/>
      <c r="B1285" s="1279"/>
      <c r="C1285" s="1268"/>
      <c r="D1285" s="1279"/>
      <c r="E1285" s="1283" t="s">
        <v>6325</v>
      </c>
      <c r="F1285" s="1279"/>
      <c r="G1285" s="1279"/>
      <c r="H1285" s="1279"/>
      <c r="I1285" s="1279"/>
      <c r="J1285" s="1279"/>
      <c r="K1285" s="1279"/>
      <c r="L1285" s="1279"/>
      <c r="M1285" s="1279"/>
      <c r="N1285" s="1279"/>
      <c r="O1285" s="1270"/>
      <c r="P1285" s="1268" t="s">
        <v>40</v>
      </c>
      <c r="Q1285" s="1271"/>
    </row>
    <row r="1286" spans="1:17" ht="11.25" hidden="1" customHeight="1" x14ac:dyDescent="0.35">
      <c r="A1286" s="1267"/>
      <c r="B1286" s="1279"/>
      <c r="C1286" s="1268"/>
      <c r="D1286" s="1279"/>
      <c r="E1286" s="1283" t="s">
        <v>6326</v>
      </c>
      <c r="F1286" s="1279"/>
      <c r="G1286" s="1279"/>
      <c r="H1286" s="1279"/>
      <c r="I1286" s="1279"/>
      <c r="J1286" s="1279"/>
      <c r="K1286" s="1279"/>
      <c r="L1286" s="1279"/>
      <c r="M1286" s="1279"/>
      <c r="N1286" s="1279"/>
      <c r="O1286" s="1270"/>
      <c r="P1286" s="1268" t="s">
        <v>40</v>
      </c>
      <c r="Q1286" s="1271"/>
    </row>
    <row r="1287" spans="1:17" ht="11.25" hidden="1" customHeight="1" x14ac:dyDescent="0.35">
      <c r="A1287" s="1267"/>
      <c r="B1287" s="1279"/>
      <c r="C1287" s="1268"/>
      <c r="D1287" s="1279"/>
      <c r="E1287" s="1283" t="s">
        <v>6327</v>
      </c>
      <c r="F1287" s="1279"/>
      <c r="G1287" s="1279"/>
      <c r="H1287" s="1279"/>
      <c r="I1287" s="1279"/>
      <c r="J1287" s="1279"/>
      <c r="K1287" s="1279"/>
      <c r="L1287" s="1279"/>
      <c r="M1287" s="1279"/>
      <c r="N1287" s="1279"/>
      <c r="O1287" s="1270"/>
      <c r="P1287" s="1268" t="s">
        <v>40</v>
      </c>
      <c r="Q1287" s="1271"/>
    </row>
    <row r="1288" spans="1:17" ht="11.25" hidden="1" customHeight="1" x14ac:dyDescent="0.35">
      <c r="A1288" s="1267"/>
      <c r="B1288" s="1279"/>
      <c r="C1288" s="1268"/>
      <c r="D1288" s="1279"/>
      <c r="E1288" s="1283" t="s">
        <v>6328</v>
      </c>
      <c r="F1288" s="1279"/>
      <c r="G1288" s="1279"/>
      <c r="H1288" s="1279"/>
      <c r="I1288" s="1279"/>
      <c r="J1288" s="1279"/>
      <c r="K1288" s="1279"/>
      <c r="L1288" s="1279"/>
      <c r="M1288" s="1279"/>
      <c r="N1288" s="1279"/>
      <c r="O1288" s="1270"/>
      <c r="P1288" s="1268" t="s">
        <v>40</v>
      </c>
      <c r="Q1288" s="1271"/>
    </row>
    <row r="1289" spans="1:17" ht="11.25" hidden="1" customHeight="1" x14ac:dyDescent="0.35">
      <c r="A1289" s="1267"/>
      <c r="B1289" s="1279"/>
      <c r="C1289" s="1268"/>
      <c r="D1289" s="1279"/>
      <c r="E1289" s="1283" t="s">
        <v>6329</v>
      </c>
      <c r="F1289" s="1279"/>
      <c r="G1289" s="1279"/>
      <c r="H1289" s="1279"/>
      <c r="I1289" s="1279"/>
      <c r="J1289" s="1279"/>
      <c r="K1289" s="1279"/>
      <c r="L1289" s="1279"/>
      <c r="M1289" s="1279"/>
      <c r="N1289" s="1279"/>
      <c r="O1289" s="1270"/>
      <c r="P1289" s="1268" t="s">
        <v>40</v>
      </c>
      <c r="Q1289" s="1271"/>
    </row>
    <row r="1290" spans="1:17" ht="11.25" hidden="1" customHeight="1" x14ac:dyDescent="0.35">
      <c r="A1290" s="1267"/>
      <c r="B1290" s="1279"/>
      <c r="C1290" s="1268"/>
      <c r="D1290" s="1279"/>
      <c r="E1290" s="1283" t="s">
        <v>6330</v>
      </c>
      <c r="F1290" s="1279"/>
      <c r="G1290" s="1279"/>
      <c r="H1290" s="1279"/>
      <c r="I1290" s="1279"/>
      <c r="J1290" s="1279"/>
      <c r="K1290" s="1279"/>
      <c r="L1290" s="1279"/>
      <c r="M1290" s="1279"/>
      <c r="N1290" s="1279"/>
      <c r="O1290" s="1270"/>
      <c r="P1290" s="1268" t="s">
        <v>40</v>
      </c>
      <c r="Q1290" s="1271"/>
    </row>
    <row r="1291" spans="1:17" ht="11.25" hidden="1" customHeight="1" x14ac:dyDescent="0.35">
      <c r="A1291" s="1267"/>
      <c r="B1291" s="1279"/>
      <c r="C1291" s="1268"/>
      <c r="D1291" s="1279"/>
      <c r="E1291" s="1283" t="s">
        <v>6331</v>
      </c>
      <c r="F1291" s="1279"/>
      <c r="G1291" s="1279"/>
      <c r="H1291" s="1279"/>
      <c r="I1291" s="1279"/>
      <c r="J1291" s="1279"/>
      <c r="K1291" s="1279"/>
      <c r="L1291" s="1279"/>
      <c r="M1291" s="1279"/>
      <c r="N1291" s="1279"/>
      <c r="O1291" s="1270"/>
      <c r="P1291" s="1268" t="s">
        <v>40</v>
      </c>
      <c r="Q1291" s="1271"/>
    </row>
    <row r="1292" spans="1:17" ht="11.25" hidden="1" customHeight="1" x14ac:dyDescent="0.35">
      <c r="A1292" s="1267"/>
      <c r="B1292" s="1279"/>
      <c r="C1292" s="1268"/>
      <c r="D1292" s="1279"/>
      <c r="E1292" s="1283" t="s">
        <v>6332</v>
      </c>
      <c r="F1292" s="1279"/>
      <c r="G1292" s="1279"/>
      <c r="H1292" s="1279"/>
      <c r="I1292" s="1279"/>
      <c r="J1292" s="1279"/>
      <c r="K1292" s="1279"/>
      <c r="L1292" s="1279"/>
      <c r="M1292" s="1279"/>
      <c r="N1292" s="1279"/>
      <c r="O1292" s="1270"/>
      <c r="P1292" s="1268" t="s">
        <v>40</v>
      </c>
      <c r="Q1292" s="1271"/>
    </row>
    <row r="1293" spans="1:17" ht="11.25" hidden="1" customHeight="1" x14ac:dyDescent="0.35">
      <c r="A1293" s="1267"/>
      <c r="B1293" s="1279"/>
      <c r="C1293" s="1268"/>
      <c r="D1293" s="1279"/>
      <c r="E1293" s="1283" t="s">
        <v>6333</v>
      </c>
      <c r="F1293" s="1279"/>
      <c r="G1293" s="1279"/>
      <c r="H1293" s="1279"/>
      <c r="I1293" s="1279"/>
      <c r="J1293" s="1279"/>
      <c r="K1293" s="1279"/>
      <c r="L1293" s="1279"/>
      <c r="M1293" s="1279"/>
      <c r="N1293" s="1279"/>
      <c r="O1293" s="1270"/>
      <c r="P1293" s="1268" t="s">
        <v>40</v>
      </c>
      <c r="Q1293" s="1271"/>
    </row>
    <row r="1294" spans="1:17" ht="11.25" hidden="1" customHeight="1" x14ac:dyDescent="0.35">
      <c r="A1294" s="1267"/>
      <c r="B1294" s="1279"/>
      <c r="C1294" s="1268"/>
      <c r="D1294" s="1279"/>
      <c r="E1294" s="1283" t="s">
        <v>6334</v>
      </c>
      <c r="F1294" s="1279"/>
      <c r="G1294" s="1279"/>
      <c r="H1294" s="1279"/>
      <c r="I1294" s="1279"/>
      <c r="J1294" s="1279"/>
      <c r="K1294" s="1279"/>
      <c r="L1294" s="1279"/>
      <c r="M1294" s="1279"/>
      <c r="N1294" s="1279"/>
      <c r="O1294" s="1270"/>
      <c r="P1294" s="1268" t="s">
        <v>40</v>
      </c>
      <c r="Q1294" s="1271"/>
    </row>
    <row r="1295" spans="1:17" ht="11.25" hidden="1" customHeight="1" x14ac:dyDescent="0.35">
      <c r="A1295" s="1267"/>
      <c r="B1295" s="1279"/>
      <c r="C1295" s="1268"/>
      <c r="D1295" s="1279"/>
      <c r="E1295" s="1283" t="s">
        <v>6335</v>
      </c>
      <c r="F1295" s="1279"/>
      <c r="G1295" s="1279"/>
      <c r="H1295" s="1279"/>
      <c r="I1295" s="1279"/>
      <c r="J1295" s="1279"/>
      <c r="K1295" s="1279"/>
      <c r="L1295" s="1279"/>
      <c r="M1295" s="1279"/>
      <c r="N1295" s="1279"/>
      <c r="O1295" s="1270"/>
      <c r="P1295" s="1268" t="s">
        <v>40</v>
      </c>
      <c r="Q1295" s="1271"/>
    </row>
    <row r="1296" spans="1:17" ht="11.25" hidden="1" customHeight="1" x14ac:dyDescent="0.35">
      <c r="A1296" s="1284"/>
      <c r="B1296" s="1285"/>
      <c r="C1296" s="1285"/>
      <c r="D1296" s="1285"/>
      <c r="E1296" s="1268" t="s">
        <v>1480</v>
      </c>
      <c r="F1296" s="1286"/>
      <c r="G1296" s="1285"/>
      <c r="H1296" s="1285"/>
      <c r="I1296" s="1285"/>
      <c r="J1296" s="1285"/>
      <c r="K1296" s="1285"/>
      <c r="L1296" s="1285"/>
      <c r="M1296" s="1285"/>
      <c r="N1296" s="1285"/>
      <c r="O1296" s="1287"/>
      <c r="P1296" s="1268" t="s">
        <v>40</v>
      </c>
      <c r="Q1296" s="1271"/>
    </row>
  </sheetData>
  <sheetProtection algorithmName="SHA-512" hashValue="Je/iYcJl5m6Jk5JLemSxqtxstH+SDI7pETnUWfo6i76YnF9Lnw/ZTckO9Fqv0phpx6ri6pBlQ1WG8FyWoQZsLg==" saltValue="Iygza4CuLt2vxpUXiSCKDA==" spinCount="100000" sheet="1" objects="1" scenarios="1" formatCells="0"/>
  <dataConsolidate topLabels="1">
    <dataRefs count="3">
      <dataRef ref="B1:N1236" sheet="Sheet2" r:id="rId1"/>
      <dataRef ref="B1:N1236" sheet="Sheet2" r:id="rId2"/>
      <dataRef ref="B1:N1236" sheet="Sheet2" r:id="rId3"/>
    </dataRefs>
  </dataConsolidate>
  <conditionalFormatting sqref="F824:L824 G831:L831 N831 N824">
    <cfRule type="cellIs" dxfId="3" priority="6" stopIfTrue="1" operator="notEqual">
      <formula>0</formula>
    </cfRule>
  </conditionalFormatting>
  <conditionalFormatting sqref="O663 O630:O639 O641:O650 O652:O661 O497:O498 O503:O504 O455 O314:O315 O493:O494 O13 O19:O21 O39:O41 O29:O31 O44:O45 O54:O55 O64:O65 O74:O75 O84:O85 O94:O95 O104:O105 O114:O115 O124:O125 O134:O135 O144:O145 O154:O155 O164:O165 O174:O175 O184:O185 O194:O195 O204:O205 O214:O215 O224:O225 O234:O235 O244:O245 O254:O255 O264:O265 O274:O275 O284:O285 O294:O295 O34:O35 O24:O25 O49:O51 O59:O61 O69:O71 O79:O81 O89:O91 O99:O101 O109:O111 O119:O121 O129:O131 O139:O141 O149:O151 O159:O161 O169:O171 O179:O181 O189:O191 O199:O201 O209:O211 O219:O221 O229:O231 O239:O241 O249:O251 O259:O261 O269:O271 O279:O281 O289:O291 O299:O301 O309:O311 O304:O305 O443:O452 O457:O466 O471:O482">
    <cfRule type="cellIs" dxfId="2" priority="5" stopIfTrue="1" operator="equal">
      <formula>"  "</formula>
    </cfRule>
  </conditionalFormatting>
  <conditionalFormatting sqref="M824 M831">
    <cfRule type="cellIs" dxfId="1" priority="3" stopIfTrue="1" operator="notEqual">
      <formula>0</formula>
    </cfRule>
  </conditionalFormatting>
  <conditionalFormatting sqref="N284 N154 N164 N174 N184 N194 N204 N214 N224 N234 N244 N254 N264 N274 N294 N304 N150 N160 N170 N180 N190 N200 N210 N220 N230 N240 N250 N260 N270 N280 N290 N300 N310 N314">
    <cfRule type="cellIs" dxfId="0" priority="1" stopIfTrue="1" operator="greaterThanOrEqual">
      <formula>0</formula>
    </cfRule>
  </conditionalFormatting>
  <printOptions horizontalCentered="1" verticalCentered="1"/>
  <pageMargins left="0.35433070866141736" right="0.35433070866141736" top="0.51181102362204722" bottom="0.51181102362204722" header="0.39370078740157483" footer="0.39370078740157483"/>
  <pageSetup paperSize="9" scale="75" orientation="landscape" r:id="rId4"/>
  <headerFooter>
    <oddFooter>&amp;L&amp;8Invest for Excel&amp;C&amp;8&amp;F&amp;R&amp;8&amp;D: &amp;T</oddFooter>
  </headerFooter>
  <drawing r:id="rId5"/>
  <legacyDrawing r:id="rId6"/>
  <mc:AlternateContent xmlns:mc="http://schemas.openxmlformats.org/markup-compatibility/2006">
    <mc:Choice Requires="x14">
      <controls>
        <mc:AlternateContent xmlns:mc="http://schemas.openxmlformats.org/markup-compatibility/2006">
          <mc:Choice Requires="x14">
            <control shapeId="2049" r:id="rId7" name="chkCalcDepr">
              <controlPr defaultSize="0" autoFill="0" autoLine="0" autoPict="0" macro="[0]!ShowHideCalculatedDepreciation">
                <anchor moveWithCells="1">
                  <from>
                    <xdr:col>2</xdr:col>
                    <xdr:colOff>0</xdr:colOff>
                    <xdr:row>14</xdr:row>
                    <xdr:rowOff>165100</xdr:rowOff>
                  </from>
                  <to>
                    <xdr:col>2</xdr:col>
                    <xdr:colOff>1600200</xdr:colOff>
                    <xdr:row>16</xdr:row>
                    <xdr:rowOff>44450</xdr:rowOff>
                  </to>
                </anchor>
              </controlPr>
            </control>
          </mc:Choice>
        </mc:AlternateContent>
        <mc:AlternateContent xmlns:mc="http://schemas.openxmlformats.org/markup-compatibility/2006">
          <mc:Choice Requires="x14">
            <control shapeId="2050" r:id="rId8" name="ddBalDepr008">
              <controlPr defaultSize="0" print="0" autoLine="0" autoPict="0" macro="[0]!BalDeprMethod">
                <anchor moveWithCells="1">
                  <from>
                    <xdr:col>2</xdr:col>
                    <xdr:colOff>850900</xdr:colOff>
                    <xdr:row>748</xdr:row>
                    <xdr:rowOff>6350</xdr:rowOff>
                  </from>
                  <to>
                    <xdr:col>2</xdr:col>
                    <xdr:colOff>1460500</xdr:colOff>
                    <xdr:row>766</xdr:row>
                    <xdr:rowOff>25400</xdr:rowOff>
                  </to>
                </anchor>
              </controlPr>
            </control>
          </mc:Choice>
        </mc:AlternateContent>
        <mc:AlternateContent xmlns:mc="http://schemas.openxmlformats.org/markup-compatibility/2006">
          <mc:Choice Requires="x14">
            <control shapeId="2051" r:id="rId9" name="ddBalDepr012">
              <controlPr defaultSize="0" print="0" autoLine="0" autoPict="0" macro="[0]!BalDeprMethod">
                <anchor moveWithCells="1">
                  <from>
                    <xdr:col>2</xdr:col>
                    <xdr:colOff>933450</xdr:colOff>
                    <xdr:row>765</xdr:row>
                    <xdr:rowOff>0</xdr:rowOff>
                  </from>
                  <to>
                    <xdr:col>3</xdr:col>
                    <xdr:colOff>0</xdr:colOff>
                    <xdr:row>767</xdr:row>
                    <xdr:rowOff>31750</xdr:rowOff>
                  </to>
                </anchor>
              </controlPr>
            </control>
          </mc:Choice>
        </mc:AlternateContent>
        <mc:AlternateContent xmlns:mc="http://schemas.openxmlformats.org/markup-compatibility/2006">
          <mc:Choice Requires="x14">
            <control shapeId="2052" r:id="rId10" name="ddBalDepr004">
              <controlPr defaultSize="0" print="0" autoLine="0" autoPict="0" macro="[0]!BalDeprMethod">
                <anchor moveWithCells="1">
                  <from>
                    <xdr:col>2</xdr:col>
                    <xdr:colOff>850900</xdr:colOff>
                    <xdr:row>727</xdr:row>
                    <xdr:rowOff>0</xdr:rowOff>
                  </from>
                  <to>
                    <xdr:col>2</xdr:col>
                    <xdr:colOff>1460500</xdr:colOff>
                    <xdr:row>749</xdr:row>
                    <xdr:rowOff>25400</xdr:rowOff>
                  </to>
                </anchor>
              </controlPr>
            </control>
          </mc:Choice>
        </mc:AlternateContent>
        <mc:AlternateContent xmlns:mc="http://schemas.openxmlformats.org/markup-compatibility/2006">
          <mc:Choice Requires="x14">
            <control shapeId="2053" r:id="rId11" name="OutlineDD01">
              <controlPr defaultSize="0" print="0" autoLine="0" autoPict="0" macro="[0]!DetailLevelSelected">
                <anchor moveWithCells="1">
                  <from>
                    <xdr:col>3</xdr:col>
                    <xdr:colOff>209550</xdr:colOff>
                    <xdr:row>7</xdr:row>
                    <xdr:rowOff>19050</xdr:rowOff>
                  </from>
                  <to>
                    <xdr:col>3</xdr:col>
                    <xdr:colOff>603250</xdr:colOff>
                    <xdr:row>8</xdr:row>
                    <xdr:rowOff>88900</xdr:rowOff>
                  </to>
                </anchor>
              </controlPr>
            </control>
          </mc:Choice>
        </mc:AlternateContent>
        <mc:AlternateContent xmlns:mc="http://schemas.openxmlformats.org/markup-compatibility/2006">
          <mc:Choice Requires="x14">
            <control shapeId="2054" r:id="rId12" name="OutlineDD02">
              <controlPr defaultSize="0" print="0" autoLine="0" autoPict="0" macro="[0]!DetailLevelSelected">
                <anchor moveWithCells="1">
                  <from>
                    <xdr:col>3</xdr:col>
                    <xdr:colOff>209550</xdr:colOff>
                    <xdr:row>436</xdr:row>
                    <xdr:rowOff>19050</xdr:rowOff>
                  </from>
                  <to>
                    <xdr:col>3</xdr:col>
                    <xdr:colOff>603250</xdr:colOff>
                    <xdr:row>437</xdr:row>
                    <xdr:rowOff>76200</xdr:rowOff>
                  </to>
                </anchor>
              </controlPr>
            </control>
          </mc:Choice>
        </mc:AlternateContent>
        <mc:AlternateContent xmlns:mc="http://schemas.openxmlformats.org/markup-compatibility/2006">
          <mc:Choice Requires="x14">
            <control shapeId="2055" r:id="rId13" name="OutlineDD03">
              <controlPr defaultSize="0" print="0" autoLine="0" autoPict="0" macro="[0]!DetailLevelSelected">
                <anchor moveWithCells="1">
                  <from>
                    <xdr:col>3</xdr:col>
                    <xdr:colOff>209550</xdr:colOff>
                    <xdr:row>534</xdr:row>
                    <xdr:rowOff>19050</xdr:rowOff>
                  </from>
                  <to>
                    <xdr:col>3</xdr:col>
                    <xdr:colOff>603250</xdr:colOff>
                    <xdr:row>535</xdr:row>
                    <xdr:rowOff>76200</xdr:rowOff>
                  </to>
                </anchor>
              </controlPr>
            </control>
          </mc:Choice>
        </mc:AlternateContent>
        <mc:AlternateContent xmlns:mc="http://schemas.openxmlformats.org/markup-compatibility/2006">
          <mc:Choice Requires="x14">
            <control shapeId="2056" r:id="rId14" name="OutlineDD04">
              <controlPr defaultSize="0" print="0" autoLine="0" autoPict="0" macro="[0]!DetailLevelSelected">
                <anchor moveWithCells="1">
                  <from>
                    <xdr:col>3</xdr:col>
                    <xdr:colOff>209550</xdr:colOff>
                    <xdr:row>622</xdr:row>
                    <xdr:rowOff>19050</xdr:rowOff>
                  </from>
                  <to>
                    <xdr:col>3</xdr:col>
                    <xdr:colOff>603250</xdr:colOff>
                    <xdr:row>623</xdr:row>
                    <xdr:rowOff>76200</xdr:rowOff>
                  </to>
                </anchor>
              </controlPr>
            </control>
          </mc:Choice>
        </mc:AlternateContent>
        <mc:AlternateContent xmlns:mc="http://schemas.openxmlformats.org/markup-compatibility/2006">
          <mc:Choice Requires="x14">
            <control shapeId="2057" r:id="rId15" name="OutlineDD05">
              <controlPr defaultSize="0" print="0" autoLine="0" autoPict="0" macro="[0]!DetailLevelSelected">
                <anchor moveWithCells="1">
                  <from>
                    <xdr:col>3</xdr:col>
                    <xdr:colOff>209550</xdr:colOff>
                    <xdr:row>704</xdr:row>
                    <xdr:rowOff>19050</xdr:rowOff>
                  </from>
                  <to>
                    <xdr:col>3</xdr:col>
                    <xdr:colOff>603250</xdr:colOff>
                    <xdr:row>705</xdr:row>
                    <xdr:rowOff>88900</xdr:rowOff>
                  </to>
                </anchor>
              </controlPr>
            </control>
          </mc:Choice>
        </mc:AlternateContent>
        <mc:AlternateContent xmlns:mc="http://schemas.openxmlformats.org/markup-compatibility/2006">
          <mc:Choice Requires="x14">
            <control shapeId="2058" r:id="rId16" name="ddIFRSmethod">
              <controlPr defaultSize="0" autoLine="0" autoPict="0" macro="[0]!NGAAPorIFRSelected">
                <anchor moveWithCells="1">
                  <from>
                    <xdr:col>3</xdr:col>
                    <xdr:colOff>6350</xdr:colOff>
                    <xdr:row>335</xdr:row>
                    <xdr:rowOff>6350</xdr:rowOff>
                  </from>
                  <to>
                    <xdr:col>4</xdr:col>
                    <xdr:colOff>0</xdr:colOff>
                    <xdr:row>437</xdr:row>
                    <xdr:rowOff>0</xdr:rowOff>
                  </to>
                </anchor>
              </controlPr>
            </control>
          </mc:Choice>
        </mc:AlternateContent>
        <mc:AlternateContent xmlns:mc="http://schemas.openxmlformats.org/markup-compatibility/2006">
          <mc:Choice Requires="x14">
            <control shapeId="2059" r:id="rId17" name="ddIFRSAlloc01">
              <controlPr defaultSize="0" autoLine="0" autoPict="0" macro="[0]!AllocateOnAssetSelected">
                <anchor moveWithCells="1">
                  <from>
                    <xdr:col>2</xdr:col>
                    <xdr:colOff>850900</xdr:colOff>
                    <xdr:row>348</xdr:row>
                    <xdr:rowOff>0</xdr:rowOff>
                  </from>
                  <to>
                    <xdr:col>4</xdr:col>
                    <xdr:colOff>0</xdr:colOff>
                    <xdr:row>437</xdr:row>
                    <xdr:rowOff>6350</xdr:rowOff>
                  </to>
                </anchor>
              </controlPr>
            </control>
          </mc:Choice>
        </mc:AlternateContent>
        <mc:AlternateContent xmlns:mc="http://schemas.openxmlformats.org/markup-compatibility/2006">
          <mc:Choice Requires="x14">
            <control shapeId="2060" r:id="rId18" name="ddIFRSDepr01">
              <controlPr defaultSize="0" print="0" autoLine="0" autoPict="0" macro="[0]!IFRSAllocDeprMethodChanged">
                <anchor moveWithCells="1">
                  <from>
                    <xdr:col>2</xdr:col>
                    <xdr:colOff>850900</xdr:colOff>
                    <xdr:row>349</xdr:row>
                    <xdr:rowOff>0</xdr:rowOff>
                  </from>
                  <to>
                    <xdr:col>2</xdr:col>
                    <xdr:colOff>1460500</xdr:colOff>
                    <xdr:row>437</xdr:row>
                    <xdr:rowOff>0</xdr:rowOff>
                  </to>
                </anchor>
              </controlPr>
            </control>
          </mc:Choice>
        </mc:AlternateContent>
        <mc:AlternateContent xmlns:mc="http://schemas.openxmlformats.org/markup-compatibility/2006">
          <mc:Choice Requires="x14">
            <control shapeId="2061" r:id="rId19" name="ddIFRSAlloc02">
              <controlPr defaultSize="0" autoLine="0" autoPict="0" macro="[0]!AllocateOnAssetSelected">
                <anchor moveWithCells="1">
                  <from>
                    <xdr:col>2</xdr:col>
                    <xdr:colOff>850900</xdr:colOff>
                    <xdr:row>351</xdr:row>
                    <xdr:rowOff>0</xdr:rowOff>
                  </from>
                  <to>
                    <xdr:col>4</xdr:col>
                    <xdr:colOff>0</xdr:colOff>
                    <xdr:row>437</xdr:row>
                    <xdr:rowOff>6350</xdr:rowOff>
                  </to>
                </anchor>
              </controlPr>
            </control>
          </mc:Choice>
        </mc:AlternateContent>
        <mc:AlternateContent xmlns:mc="http://schemas.openxmlformats.org/markup-compatibility/2006">
          <mc:Choice Requires="x14">
            <control shapeId="2062" r:id="rId20" name="ddIFRSDepr02">
              <controlPr defaultSize="0" print="0" autoLine="0" autoPict="0" macro="[0]!IFRSAllocDeprMethodChanged">
                <anchor moveWithCells="1">
                  <from>
                    <xdr:col>2</xdr:col>
                    <xdr:colOff>850900</xdr:colOff>
                    <xdr:row>352</xdr:row>
                    <xdr:rowOff>0</xdr:rowOff>
                  </from>
                  <to>
                    <xdr:col>2</xdr:col>
                    <xdr:colOff>1460500</xdr:colOff>
                    <xdr:row>437</xdr:row>
                    <xdr:rowOff>0</xdr:rowOff>
                  </to>
                </anchor>
              </controlPr>
            </control>
          </mc:Choice>
        </mc:AlternateContent>
        <mc:AlternateContent xmlns:mc="http://schemas.openxmlformats.org/markup-compatibility/2006">
          <mc:Choice Requires="x14">
            <control shapeId="2063" r:id="rId21" name="ddIFRSAlloc03">
              <controlPr defaultSize="0" autoLine="0" autoPict="0" macro="[0]!AllocateOnAssetSelected">
                <anchor moveWithCells="1">
                  <from>
                    <xdr:col>2</xdr:col>
                    <xdr:colOff>850900</xdr:colOff>
                    <xdr:row>354</xdr:row>
                    <xdr:rowOff>0</xdr:rowOff>
                  </from>
                  <to>
                    <xdr:col>4</xdr:col>
                    <xdr:colOff>0</xdr:colOff>
                    <xdr:row>437</xdr:row>
                    <xdr:rowOff>6350</xdr:rowOff>
                  </to>
                </anchor>
              </controlPr>
            </control>
          </mc:Choice>
        </mc:AlternateContent>
        <mc:AlternateContent xmlns:mc="http://schemas.openxmlformats.org/markup-compatibility/2006">
          <mc:Choice Requires="x14">
            <control shapeId="2064" r:id="rId22" name="ddIFRSDepr03">
              <controlPr defaultSize="0" print="0" autoLine="0" autoPict="0" macro="[0]!IFRSAllocDeprMethodChanged">
                <anchor moveWithCells="1">
                  <from>
                    <xdr:col>2</xdr:col>
                    <xdr:colOff>850900</xdr:colOff>
                    <xdr:row>355</xdr:row>
                    <xdr:rowOff>0</xdr:rowOff>
                  </from>
                  <to>
                    <xdr:col>2</xdr:col>
                    <xdr:colOff>1460500</xdr:colOff>
                    <xdr:row>437</xdr:row>
                    <xdr:rowOff>0</xdr:rowOff>
                  </to>
                </anchor>
              </controlPr>
            </control>
          </mc:Choice>
        </mc:AlternateContent>
        <mc:AlternateContent xmlns:mc="http://schemas.openxmlformats.org/markup-compatibility/2006">
          <mc:Choice Requires="x14">
            <control shapeId="2065" r:id="rId23" name="ddIFRSAlloc04">
              <controlPr defaultSize="0" autoLine="0" autoPict="0" macro="[0]!AllocateOnAssetSelected">
                <anchor moveWithCells="1">
                  <from>
                    <xdr:col>2</xdr:col>
                    <xdr:colOff>850900</xdr:colOff>
                    <xdr:row>357</xdr:row>
                    <xdr:rowOff>0</xdr:rowOff>
                  </from>
                  <to>
                    <xdr:col>4</xdr:col>
                    <xdr:colOff>0</xdr:colOff>
                    <xdr:row>437</xdr:row>
                    <xdr:rowOff>6350</xdr:rowOff>
                  </to>
                </anchor>
              </controlPr>
            </control>
          </mc:Choice>
        </mc:AlternateContent>
        <mc:AlternateContent xmlns:mc="http://schemas.openxmlformats.org/markup-compatibility/2006">
          <mc:Choice Requires="x14">
            <control shapeId="2066" r:id="rId24" name="ddIFRSDepr04">
              <controlPr defaultSize="0" print="0" autoLine="0" autoPict="0" macro="[0]!IFRSAllocDeprMethodChanged">
                <anchor moveWithCells="1">
                  <from>
                    <xdr:col>2</xdr:col>
                    <xdr:colOff>850900</xdr:colOff>
                    <xdr:row>358</xdr:row>
                    <xdr:rowOff>0</xdr:rowOff>
                  </from>
                  <to>
                    <xdr:col>2</xdr:col>
                    <xdr:colOff>1460500</xdr:colOff>
                    <xdr:row>437</xdr:row>
                    <xdr:rowOff>0</xdr:rowOff>
                  </to>
                </anchor>
              </controlPr>
            </control>
          </mc:Choice>
        </mc:AlternateContent>
        <mc:AlternateContent xmlns:mc="http://schemas.openxmlformats.org/markup-compatibility/2006">
          <mc:Choice Requires="x14">
            <control shapeId="2067" r:id="rId25" name="ddIFRSAlloc05">
              <controlPr defaultSize="0" autoLine="0" autoPict="0" macro="[0]!AllocateOnAssetSelected">
                <anchor moveWithCells="1">
                  <from>
                    <xdr:col>2</xdr:col>
                    <xdr:colOff>850900</xdr:colOff>
                    <xdr:row>360</xdr:row>
                    <xdr:rowOff>0</xdr:rowOff>
                  </from>
                  <to>
                    <xdr:col>4</xdr:col>
                    <xdr:colOff>0</xdr:colOff>
                    <xdr:row>437</xdr:row>
                    <xdr:rowOff>6350</xdr:rowOff>
                  </to>
                </anchor>
              </controlPr>
            </control>
          </mc:Choice>
        </mc:AlternateContent>
        <mc:AlternateContent xmlns:mc="http://schemas.openxmlformats.org/markup-compatibility/2006">
          <mc:Choice Requires="x14">
            <control shapeId="2068" r:id="rId26" name="ddIFRSDepr05">
              <controlPr defaultSize="0" print="0" autoLine="0" autoPict="0" macro="[0]!IFRSAllocDeprMethodChanged">
                <anchor moveWithCells="1">
                  <from>
                    <xdr:col>2</xdr:col>
                    <xdr:colOff>850900</xdr:colOff>
                    <xdr:row>361</xdr:row>
                    <xdr:rowOff>0</xdr:rowOff>
                  </from>
                  <to>
                    <xdr:col>2</xdr:col>
                    <xdr:colOff>1460500</xdr:colOff>
                    <xdr:row>437</xdr:row>
                    <xdr:rowOff>0</xdr:rowOff>
                  </to>
                </anchor>
              </controlPr>
            </control>
          </mc:Choice>
        </mc:AlternateContent>
        <mc:AlternateContent xmlns:mc="http://schemas.openxmlformats.org/markup-compatibility/2006">
          <mc:Choice Requires="x14">
            <control shapeId="2069" r:id="rId27" name="ddIFRSAlloc06">
              <controlPr defaultSize="0" autoLine="0" autoPict="0" macro="[0]!AllocateOnAssetSelected">
                <anchor moveWithCells="1">
                  <from>
                    <xdr:col>2</xdr:col>
                    <xdr:colOff>850900</xdr:colOff>
                    <xdr:row>363</xdr:row>
                    <xdr:rowOff>0</xdr:rowOff>
                  </from>
                  <to>
                    <xdr:col>4</xdr:col>
                    <xdr:colOff>0</xdr:colOff>
                    <xdr:row>437</xdr:row>
                    <xdr:rowOff>6350</xdr:rowOff>
                  </to>
                </anchor>
              </controlPr>
            </control>
          </mc:Choice>
        </mc:AlternateContent>
        <mc:AlternateContent xmlns:mc="http://schemas.openxmlformats.org/markup-compatibility/2006">
          <mc:Choice Requires="x14">
            <control shapeId="2070" r:id="rId28" name="ddIFRSDepr06">
              <controlPr defaultSize="0" print="0" autoLine="0" autoPict="0" macro="[0]!IFRSAllocDeprMethodChanged">
                <anchor moveWithCells="1">
                  <from>
                    <xdr:col>2</xdr:col>
                    <xdr:colOff>850900</xdr:colOff>
                    <xdr:row>364</xdr:row>
                    <xdr:rowOff>0</xdr:rowOff>
                  </from>
                  <to>
                    <xdr:col>2</xdr:col>
                    <xdr:colOff>1460500</xdr:colOff>
                    <xdr:row>437</xdr:row>
                    <xdr:rowOff>0</xdr:rowOff>
                  </to>
                </anchor>
              </controlPr>
            </control>
          </mc:Choice>
        </mc:AlternateContent>
        <mc:AlternateContent xmlns:mc="http://schemas.openxmlformats.org/markup-compatibility/2006">
          <mc:Choice Requires="x14">
            <control shapeId="2071" r:id="rId29" name="ddIFRSAlloc07">
              <controlPr defaultSize="0" autoLine="0" autoPict="0" macro="[0]!AllocateOnAssetSelected">
                <anchor moveWithCells="1">
                  <from>
                    <xdr:col>2</xdr:col>
                    <xdr:colOff>850900</xdr:colOff>
                    <xdr:row>366</xdr:row>
                    <xdr:rowOff>0</xdr:rowOff>
                  </from>
                  <to>
                    <xdr:col>4</xdr:col>
                    <xdr:colOff>0</xdr:colOff>
                    <xdr:row>437</xdr:row>
                    <xdr:rowOff>6350</xdr:rowOff>
                  </to>
                </anchor>
              </controlPr>
            </control>
          </mc:Choice>
        </mc:AlternateContent>
        <mc:AlternateContent xmlns:mc="http://schemas.openxmlformats.org/markup-compatibility/2006">
          <mc:Choice Requires="x14">
            <control shapeId="2072" r:id="rId30" name="ddIFRSDepr07">
              <controlPr defaultSize="0" print="0" autoLine="0" autoPict="0" macro="[0]!IFRSAllocDeprMethodChanged">
                <anchor moveWithCells="1">
                  <from>
                    <xdr:col>2</xdr:col>
                    <xdr:colOff>850900</xdr:colOff>
                    <xdr:row>367</xdr:row>
                    <xdr:rowOff>0</xdr:rowOff>
                  </from>
                  <to>
                    <xdr:col>2</xdr:col>
                    <xdr:colOff>1460500</xdr:colOff>
                    <xdr:row>437</xdr:row>
                    <xdr:rowOff>0</xdr:rowOff>
                  </to>
                </anchor>
              </controlPr>
            </control>
          </mc:Choice>
        </mc:AlternateContent>
        <mc:AlternateContent xmlns:mc="http://schemas.openxmlformats.org/markup-compatibility/2006">
          <mc:Choice Requires="x14">
            <control shapeId="2073" r:id="rId31" name="ddIFRSAlloc08">
              <controlPr defaultSize="0" autoLine="0" autoPict="0" macro="[0]!AllocateOnAssetSelected">
                <anchor moveWithCells="1">
                  <from>
                    <xdr:col>2</xdr:col>
                    <xdr:colOff>850900</xdr:colOff>
                    <xdr:row>369</xdr:row>
                    <xdr:rowOff>0</xdr:rowOff>
                  </from>
                  <to>
                    <xdr:col>4</xdr:col>
                    <xdr:colOff>0</xdr:colOff>
                    <xdr:row>437</xdr:row>
                    <xdr:rowOff>6350</xdr:rowOff>
                  </to>
                </anchor>
              </controlPr>
            </control>
          </mc:Choice>
        </mc:AlternateContent>
        <mc:AlternateContent xmlns:mc="http://schemas.openxmlformats.org/markup-compatibility/2006">
          <mc:Choice Requires="x14">
            <control shapeId="2074" r:id="rId32" name="ddIFRSDepr08">
              <controlPr defaultSize="0" print="0" autoLine="0" autoPict="0" macro="[0]!IFRSAllocDeprMethodChanged">
                <anchor moveWithCells="1">
                  <from>
                    <xdr:col>2</xdr:col>
                    <xdr:colOff>850900</xdr:colOff>
                    <xdr:row>370</xdr:row>
                    <xdr:rowOff>0</xdr:rowOff>
                  </from>
                  <to>
                    <xdr:col>2</xdr:col>
                    <xdr:colOff>1460500</xdr:colOff>
                    <xdr:row>437</xdr:row>
                    <xdr:rowOff>0</xdr:rowOff>
                  </to>
                </anchor>
              </controlPr>
            </control>
          </mc:Choice>
        </mc:AlternateContent>
        <mc:AlternateContent xmlns:mc="http://schemas.openxmlformats.org/markup-compatibility/2006">
          <mc:Choice Requires="x14">
            <control shapeId="2075" r:id="rId33" name="ddIFRSAlloc09">
              <controlPr defaultSize="0" autoLine="0" autoPict="0" macro="[0]!AllocateOnAssetSelected">
                <anchor moveWithCells="1">
                  <from>
                    <xdr:col>2</xdr:col>
                    <xdr:colOff>850900</xdr:colOff>
                    <xdr:row>372</xdr:row>
                    <xdr:rowOff>0</xdr:rowOff>
                  </from>
                  <to>
                    <xdr:col>4</xdr:col>
                    <xdr:colOff>0</xdr:colOff>
                    <xdr:row>437</xdr:row>
                    <xdr:rowOff>6350</xdr:rowOff>
                  </to>
                </anchor>
              </controlPr>
            </control>
          </mc:Choice>
        </mc:AlternateContent>
        <mc:AlternateContent xmlns:mc="http://schemas.openxmlformats.org/markup-compatibility/2006">
          <mc:Choice Requires="x14">
            <control shapeId="2076" r:id="rId34" name="ddIFRSDepr09">
              <controlPr defaultSize="0" print="0" autoLine="0" autoPict="0" macro="[0]!IFRSAllocDeprMethodChanged">
                <anchor moveWithCells="1">
                  <from>
                    <xdr:col>2</xdr:col>
                    <xdr:colOff>850900</xdr:colOff>
                    <xdr:row>373</xdr:row>
                    <xdr:rowOff>0</xdr:rowOff>
                  </from>
                  <to>
                    <xdr:col>2</xdr:col>
                    <xdr:colOff>1460500</xdr:colOff>
                    <xdr:row>437</xdr:row>
                    <xdr:rowOff>0</xdr:rowOff>
                  </to>
                </anchor>
              </controlPr>
            </control>
          </mc:Choice>
        </mc:AlternateContent>
        <mc:AlternateContent xmlns:mc="http://schemas.openxmlformats.org/markup-compatibility/2006">
          <mc:Choice Requires="x14">
            <control shapeId="2077" r:id="rId35" name="ddIFRSAlloc10">
              <controlPr defaultSize="0" autoLine="0" autoPict="0" macro="[0]!AllocateOnAssetSelected">
                <anchor moveWithCells="1">
                  <from>
                    <xdr:col>2</xdr:col>
                    <xdr:colOff>850900</xdr:colOff>
                    <xdr:row>375</xdr:row>
                    <xdr:rowOff>0</xdr:rowOff>
                  </from>
                  <to>
                    <xdr:col>4</xdr:col>
                    <xdr:colOff>0</xdr:colOff>
                    <xdr:row>437</xdr:row>
                    <xdr:rowOff>6350</xdr:rowOff>
                  </to>
                </anchor>
              </controlPr>
            </control>
          </mc:Choice>
        </mc:AlternateContent>
        <mc:AlternateContent xmlns:mc="http://schemas.openxmlformats.org/markup-compatibility/2006">
          <mc:Choice Requires="x14">
            <control shapeId="2078" r:id="rId36" name="ddIFRSDepr10">
              <controlPr defaultSize="0" print="0" autoLine="0" autoPict="0" macro="[0]!IFRSAllocDeprMethodChanged">
                <anchor moveWithCells="1">
                  <from>
                    <xdr:col>2</xdr:col>
                    <xdr:colOff>850900</xdr:colOff>
                    <xdr:row>376</xdr:row>
                    <xdr:rowOff>0</xdr:rowOff>
                  </from>
                  <to>
                    <xdr:col>2</xdr:col>
                    <xdr:colOff>1460500</xdr:colOff>
                    <xdr:row>437</xdr:row>
                    <xdr:rowOff>0</xdr:rowOff>
                  </to>
                </anchor>
              </controlPr>
            </control>
          </mc:Choice>
        </mc:AlternateContent>
        <mc:AlternateContent xmlns:mc="http://schemas.openxmlformats.org/markup-compatibility/2006">
          <mc:Choice Requires="x14">
            <control shapeId="2079" r:id="rId37" name="ddIFRSAlloc11">
              <controlPr defaultSize="0" autoLine="0" autoPict="0" macro="[0]!AllocateOnAssetSelected">
                <anchor moveWithCells="1">
                  <from>
                    <xdr:col>2</xdr:col>
                    <xdr:colOff>850900</xdr:colOff>
                    <xdr:row>378</xdr:row>
                    <xdr:rowOff>0</xdr:rowOff>
                  </from>
                  <to>
                    <xdr:col>4</xdr:col>
                    <xdr:colOff>0</xdr:colOff>
                    <xdr:row>437</xdr:row>
                    <xdr:rowOff>6350</xdr:rowOff>
                  </to>
                </anchor>
              </controlPr>
            </control>
          </mc:Choice>
        </mc:AlternateContent>
        <mc:AlternateContent xmlns:mc="http://schemas.openxmlformats.org/markup-compatibility/2006">
          <mc:Choice Requires="x14">
            <control shapeId="2080" r:id="rId38" name="ddIFRSDepr11">
              <controlPr defaultSize="0" print="0" autoLine="0" autoPict="0" macro="[0]!IFRSAllocDeprMethodChanged">
                <anchor moveWithCells="1">
                  <from>
                    <xdr:col>2</xdr:col>
                    <xdr:colOff>850900</xdr:colOff>
                    <xdr:row>379</xdr:row>
                    <xdr:rowOff>0</xdr:rowOff>
                  </from>
                  <to>
                    <xdr:col>2</xdr:col>
                    <xdr:colOff>1460500</xdr:colOff>
                    <xdr:row>437</xdr:row>
                    <xdr:rowOff>0</xdr:rowOff>
                  </to>
                </anchor>
              </controlPr>
            </control>
          </mc:Choice>
        </mc:AlternateContent>
        <mc:AlternateContent xmlns:mc="http://schemas.openxmlformats.org/markup-compatibility/2006">
          <mc:Choice Requires="x14">
            <control shapeId="2081" r:id="rId39" name="ddIFRSAlloc12">
              <controlPr defaultSize="0" autoLine="0" autoPict="0" macro="[0]!AllocateOnAssetSelected">
                <anchor moveWithCells="1">
                  <from>
                    <xdr:col>2</xdr:col>
                    <xdr:colOff>850900</xdr:colOff>
                    <xdr:row>381</xdr:row>
                    <xdr:rowOff>0</xdr:rowOff>
                  </from>
                  <to>
                    <xdr:col>4</xdr:col>
                    <xdr:colOff>0</xdr:colOff>
                    <xdr:row>437</xdr:row>
                    <xdr:rowOff>6350</xdr:rowOff>
                  </to>
                </anchor>
              </controlPr>
            </control>
          </mc:Choice>
        </mc:AlternateContent>
        <mc:AlternateContent xmlns:mc="http://schemas.openxmlformats.org/markup-compatibility/2006">
          <mc:Choice Requires="x14">
            <control shapeId="2082" r:id="rId40" name="ddIFRSDepr12">
              <controlPr defaultSize="0" print="0" autoLine="0" autoPict="0" macro="[0]!IFRSAllocDeprMethodChanged">
                <anchor moveWithCells="1">
                  <from>
                    <xdr:col>2</xdr:col>
                    <xdr:colOff>850900</xdr:colOff>
                    <xdr:row>382</xdr:row>
                    <xdr:rowOff>0</xdr:rowOff>
                  </from>
                  <to>
                    <xdr:col>2</xdr:col>
                    <xdr:colOff>1460500</xdr:colOff>
                    <xdr:row>437</xdr:row>
                    <xdr:rowOff>0</xdr:rowOff>
                  </to>
                </anchor>
              </controlPr>
            </control>
          </mc:Choice>
        </mc:AlternateContent>
        <mc:AlternateContent xmlns:mc="http://schemas.openxmlformats.org/markup-compatibility/2006">
          <mc:Choice Requires="x14">
            <control shapeId="2083" r:id="rId41" name="ddBalDepr001">
              <controlPr defaultSize="0" print="0" autoLine="0" autoPict="0" macro="[0]!BalDeprMethod">
                <anchor moveWithCells="1">
                  <from>
                    <xdr:col>2</xdr:col>
                    <xdr:colOff>850900</xdr:colOff>
                    <xdr:row>715</xdr:row>
                    <xdr:rowOff>0</xdr:rowOff>
                  </from>
                  <to>
                    <xdr:col>2</xdr:col>
                    <xdr:colOff>1460500</xdr:colOff>
                    <xdr:row>749</xdr:row>
                    <xdr:rowOff>25400</xdr:rowOff>
                  </to>
                </anchor>
              </controlPr>
            </control>
          </mc:Choice>
        </mc:AlternateContent>
        <mc:AlternateContent xmlns:mc="http://schemas.openxmlformats.org/markup-compatibility/2006">
          <mc:Choice Requires="x14">
            <control shapeId="2084" r:id="rId42" name="ddBalDepr002">
              <controlPr defaultSize="0" print="0" autoLine="0" autoPict="0" macro="[0]!BalDeprMethod">
                <anchor moveWithCells="1">
                  <from>
                    <xdr:col>2</xdr:col>
                    <xdr:colOff>850900</xdr:colOff>
                    <xdr:row>719</xdr:row>
                    <xdr:rowOff>0</xdr:rowOff>
                  </from>
                  <to>
                    <xdr:col>2</xdr:col>
                    <xdr:colOff>1460500</xdr:colOff>
                    <xdr:row>749</xdr:row>
                    <xdr:rowOff>25400</xdr:rowOff>
                  </to>
                </anchor>
              </controlPr>
            </control>
          </mc:Choice>
        </mc:AlternateContent>
        <mc:AlternateContent xmlns:mc="http://schemas.openxmlformats.org/markup-compatibility/2006">
          <mc:Choice Requires="x14">
            <control shapeId="2085" r:id="rId43" name="ddBalDepr005">
              <controlPr defaultSize="0" print="0" autoLine="0" autoPict="0" macro="[0]!BalDeprMethod">
                <anchor moveWithCells="1">
                  <from>
                    <xdr:col>2</xdr:col>
                    <xdr:colOff>850900</xdr:colOff>
                    <xdr:row>732</xdr:row>
                    <xdr:rowOff>6350</xdr:rowOff>
                  </from>
                  <to>
                    <xdr:col>2</xdr:col>
                    <xdr:colOff>1460500</xdr:colOff>
                    <xdr:row>766</xdr:row>
                    <xdr:rowOff>25400</xdr:rowOff>
                  </to>
                </anchor>
              </controlPr>
            </control>
          </mc:Choice>
        </mc:AlternateContent>
        <mc:AlternateContent xmlns:mc="http://schemas.openxmlformats.org/markup-compatibility/2006">
          <mc:Choice Requires="x14">
            <control shapeId="2086" r:id="rId44" name="ddBalDepr006">
              <controlPr defaultSize="0" print="0" autoLine="0" autoPict="0" macro="[0]!BalDeprMethod">
                <anchor moveWithCells="1">
                  <from>
                    <xdr:col>2</xdr:col>
                    <xdr:colOff>850900</xdr:colOff>
                    <xdr:row>736</xdr:row>
                    <xdr:rowOff>6350</xdr:rowOff>
                  </from>
                  <to>
                    <xdr:col>2</xdr:col>
                    <xdr:colOff>1460500</xdr:colOff>
                    <xdr:row>766</xdr:row>
                    <xdr:rowOff>25400</xdr:rowOff>
                  </to>
                </anchor>
              </controlPr>
            </control>
          </mc:Choice>
        </mc:AlternateContent>
        <mc:AlternateContent xmlns:mc="http://schemas.openxmlformats.org/markup-compatibility/2006">
          <mc:Choice Requires="x14">
            <control shapeId="2087" r:id="rId45" name="ddBalDepr007">
              <controlPr defaultSize="0" print="0" autoLine="0" autoPict="0" macro="[0]!BalDeprMethod">
                <anchor moveWithCells="1">
                  <from>
                    <xdr:col>2</xdr:col>
                    <xdr:colOff>850900</xdr:colOff>
                    <xdr:row>740</xdr:row>
                    <xdr:rowOff>6350</xdr:rowOff>
                  </from>
                  <to>
                    <xdr:col>2</xdr:col>
                    <xdr:colOff>1460500</xdr:colOff>
                    <xdr:row>766</xdr:row>
                    <xdr:rowOff>25400</xdr:rowOff>
                  </to>
                </anchor>
              </controlPr>
            </control>
          </mc:Choice>
        </mc:AlternateContent>
        <mc:AlternateContent xmlns:mc="http://schemas.openxmlformats.org/markup-compatibility/2006">
          <mc:Choice Requires="x14">
            <control shapeId="2088" r:id="rId46" name="ddBalDepr009">
              <controlPr defaultSize="0" print="0" autoLine="0" autoPict="0" macro="[0]!BalDeprMethod">
                <anchor moveWithCells="1">
                  <from>
                    <xdr:col>2</xdr:col>
                    <xdr:colOff>933450</xdr:colOff>
                    <xdr:row>753</xdr:row>
                    <xdr:rowOff>0</xdr:rowOff>
                  </from>
                  <to>
                    <xdr:col>3</xdr:col>
                    <xdr:colOff>0</xdr:colOff>
                    <xdr:row>767</xdr:row>
                    <xdr:rowOff>31750</xdr:rowOff>
                  </to>
                </anchor>
              </controlPr>
            </control>
          </mc:Choice>
        </mc:AlternateContent>
        <mc:AlternateContent xmlns:mc="http://schemas.openxmlformats.org/markup-compatibility/2006">
          <mc:Choice Requires="x14">
            <control shapeId="2089" r:id="rId47" name="ddBalDepr010">
              <controlPr defaultSize="0" print="0" autoLine="0" autoPict="0" macro="[0]!BalDeprMethod">
                <anchor moveWithCells="1">
                  <from>
                    <xdr:col>2</xdr:col>
                    <xdr:colOff>933450</xdr:colOff>
                    <xdr:row>757</xdr:row>
                    <xdr:rowOff>0</xdr:rowOff>
                  </from>
                  <to>
                    <xdr:col>3</xdr:col>
                    <xdr:colOff>0</xdr:colOff>
                    <xdr:row>767</xdr:row>
                    <xdr:rowOff>31750</xdr:rowOff>
                  </to>
                </anchor>
              </controlPr>
            </control>
          </mc:Choice>
        </mc:AlternateContent>
        <mc:AlternateContent xmlns:mc="http://schemas.openxmlformats.org/markup-compatibility/2006">
          <mc:Choice Requires="x14">
            <control shapeId="2090" r:id="rId48" name="ddBalDepr011">
              <controlPr defaultSize="0" print="0" autoLine="0" autoPict="0" macro="[0]!BalDeprMethod">
                <anchor moveWithCells="1">
                  <from>
                    <xdr:col>2</xdr:col>
                    <xdr:colOff>933450</xdr:colOff>
                    <xdr:row>761</xdr:row>
                    <xdr:rowOff>0</xdr:rowOff>
                  </from>
                  <to>
                    <xdr:col>3</xdr:col>
                    <xdr:colOff>0</xdr:colOff>
                    <xdr:row>767</xdr:row>
                    <xdr:rowOff>31750</xdr:rowOff>
                  </to>
                </anchor>
              </controlPr>
            </control>
          </mc:Choice>
        </mc:AlternateContent>
        <mc:AlternateContent xmlns:mc="http://schemas.openxmlformats.org/markup-compatibility/2006">
          <mc:Choice Requires="x14">
            <control shapeId="2091" r:id="rId49" name="ddBalDepr003">
              <controlPr defaultSize="0" print="0" autoLine="0" autoPict="0" macro="[0]!BalDeprMethod">
                <anchor moveWithCells="1">
                  <from>
                    <xdr:col>2</xdr:col>
                    <xdr:colOff>850900</xdr:colOff>
                    <xdr:row>723</xdr:row>
                    <xdr:rowOff>0</xdr:rowOff>
                  </from>
                  <to>
                    <xdr:col>2</xdr:col>
                    <xdr:colOff>1460500</xdr:colOff>
                    <xdr:row>749</xdr:row>
                    <xdr:rowOff>25400</xdr:rowOff>
                  </to>
                </anchor>
              </controlPr>
            </control>
          </mc:Choice>
        </mc:AlternateContent>
        <mc:AlternateContent xmlns:mc="http://schemas.openxmlformats.org/markup-compatibility/2006">
          <mc:Choice Requires="x14">
            <control shapeId="2092" r:id="rId50" name="OutlineDD06">
              <controlPr defaultSize="0" print="0" autoLine="0" autoPict="0" macro="[0]!DetailLevelSelected">
                <anchor moveWithCells="1">
                  <from>
                    <xdr:col>3</xdr:col>
                    <xdr:colOff>209550</xdr:colOff>
                    <xdr:row>837</xdr:row>
                    <xdr:rowOff>19050</xdr:rowOff>
                  </from>
                  <to>
                    <xdr:col>3</xdr:col>
                    <xdr:colOff>603250</xdr:colOff>
                    <xdr:row>838</xdr:row>
                    <xdr:rowOff>88900</xdr:rowOff>
                  </to>
                </anchor>
              </controlPr>
            </control>
          </mc:Choice>
        </mc:AlternateContent>
        <mc:AlternateContent xmlns:mc="http://schemas.openxmlformats.org/markup-compatibility/2006">
          <mc:Choice Requires="x14">
            <control shapeId="2093" r:id="rId51" name="ddBalDepr013">
              <controlPr defaultSize="0" print="0" autoLine="0" autoPict="0" macro="[0]!BalDeprMethod">
                <anchor moveWithCells="1">
                  <from>
                    <xdr:col>2</xdr:col>
                    <xdr:colOff>850900</xdr:colOff>
                    <xdr:row>744</xdr:row>
                    <xdr:rowOff>6350</xdr:rowOff>
                  </from>
                  <to>
                    <xdr:col>2</xdr:col>
                    <xdr:colOff>1460500</xdr:colOff>
                    <xdr:row>766</xdr:row>
                    <xdr:rowOff>25400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6">
    <pageSetUpPr autoPageBreaks="0" fitToPage="1"/>
  </sheetPr>
  <dimension ref="A1:J69"/>
  <sheetViews>
    <sheetView workbookViewId="0">
      <selection activeCell="C48" sqref="C48"/>
    </sheetView>
  </sheetViews>
  <sheetFormatPr defaultColWidth="9.1796875" defaultRowHeight="14.5" x14ac:dyDescent="0.35"/>
  <cols>
    <col min="1" max="1" width="2.1796875" style="97" customWidth="1"/>
    <col min="2" max="2" width="10.54296875" style="97" customWidth="1"/>
    <col min="3" max="3" width="34.7265625" style="97" customWidth="1"/>
    <col min="4" max="5" width="0.453125" style="97" customWidth="1"/>
    <col min="6" max="6" width="10.7265625" style="97" customWidth="1"/>
    <col min="7" max="7" width="22.1796875" style="97" customWidth="1"/>
    <col min="8" max="8" width="7.81640625" style="97" customWidth="1"/>
    <col min="9" max="9" width="25.7265625" style="97" customWidth="1"/>
    <col min="10" max="10" width="5.7265625" style="97" customWidth="1"/>
    <col min="11" max="16384" width="9.1796875" style="97"/>
  </cols>
  <sheetData>
    <row r="1" spans="1:8" ht="12.75" customHeight="1" x14ac:dyDescent="0.35"/>
    <row r="2" spans="1:8" ht="12.75" customHeight="1" x14ac:dyDescent="0.35"/>
    <row r="3" spans="1:8" ht="12.75" customHeight="1" x14ac:dyDescent="0.35">
      <c r="C3" s="97" t="s">
        <v>2504</v>
      </c>
    </row>
    <row r="4" spans="1:8" ht="12.75" customHeight="1" x14ac:dyDescent="0.35"/>
    <row r="5" spans="1:8" ht="12.75" customHeight="1" x14ac:dyDescent="0.35">
      <c r="B5" s="97" t="s">
        <v>2505</v>
      </c>
      <c r="C5" s="97" t="s">
        <v>2506</v>
      </c>
    </row>
    <row r="6" spans="1:8" ht="12.75" customHeight="1" x14ac:dyDescent="0.35"/>
    <row r="7" spans="1:8" ht="12.75" customHeight="1" x14ac:dyDescent="0.35">
      <c r="B7" s="97" t="s">
        <v>2507</v>
      </c>
      <c r="C7" s="97" t="s">
        <v>2508</v>
      </c>
      <c r="H7" s="97" t="s">
        <v>7</v>
      </c>
    </row>
    <row r="8" spans="1:8" ht="12.75" customHeight="1" x14ac:dyDescent="0.35">
      <c r="C8" s="97" t="s">
        <v>2509</v>
      </c>
    </row>
    <row r="9" spans="1:8" ht="12.75" customHeight="1" x14ac:dyDescent="0.35">
      <c r="B9" s="97" t="s">
        <v>2510</v>
      </c>
      <c r="C9" s="97" t="s">
        <v>2511</v>
      </c>
    </row>
    <row r="10" spans="1:8" ht="12.75" customHeight="1" x14ac:dyDescent="0.35">
      <c r="B10" s="97" t="s">
        <v>2512</v>
      </c>
      <c r="C10" s="97" t="s">
        <v>2513</v>
      </c>
    </row>
    <row r="11" spans="1:8" ht="12.75" customHeight="1" x14ac:dyDescent="0.35"/>
    <row r="12" spans="1:8" ht="12.75" customHeight="1" x14ac:dyDescent="0.35">
      <c r="C12" s="97" t="s">
        <v>2514</v>
      </c>
    </row>
    <row r="13" spans="1:8" ht="12.75" customHeight="1" x14ac:dyDescent="0.35">
      <c r="C13" s="97" t="s">
        <v>2515</v>
      </c>
    </row>
    <row r="14" spans="1:8" ht="12.75" customHeight="1" x14ac:dyDescent="0.35"/>
    <row r="15" spans="1:8" ht="12.75" customHeight="1" x14ac:dyDescent="0.35">
      <c r="F15" s="97" t="s">
        <v>2516</v>
      </c>
    </row>
    <row r="16" spans="1:8" ht="12.75" customHeight="1" x14ac:dyDescent="0.35">
      <c r="A16" s="97">
        <v>6</v>
      </c>
      <c r="C16" s="97" t="s">
        <v>2517</v>
      </c>
      <c r="G16" s="97" t="str">
        <f>IF(BeginEnd=0,"(al principio del período)","(al final del período)")</f>
        <v>(al principio del período)</v>
      </c>
    </row>
    <row r="17" spans="2:7" ht="12.75" customHeight="1" x14ac:dyDescent="0.35">
      <c r="C17" s="97" t="s">
        <v>2518</v>
      </c>
      <c r="G17" s="97" t="str">
        <f>IF(CalcPoint=0,"(al principio del período)","(al final del período)")</f>
        <v>(al principio del período)</v>
      </c>
    </row>
    <row r="18" spans="2:7" ht="12.75" customHeight="1" x14ac:dyDescent="0.35">
      <c r="C18" s="97" t="s">
        <v>2519</v>
      </c>
      <c r="G18" s="97" t="s">
        <v>2520</v>
      </c>
    </row>
    <row r="19" spans="2:7" ht="12.75" customHeight="1" x14ac:dyDescent="0.35"/>
    <row r="20" spans="2:7" ht="12.75" customHeight="1" x14ac:dyDescent="0.35">
      <c r="C20" s="97" t="s">
        <v>2521</v>
      </c>
    </row>
    <row r="21" spans="2:7" ht="12.75" customHeight="1" x14ac:dyDescent="0.35">
      <c r="C21" s="97" t="s">
        <v>2522</v>
      </c>
    </row>
    <row r="22" spans="2:7" ht="12.75" customHeight="1" x14ac:dyDescent="0.35"/>
    <row r="23" spans="2:7" ht="12.75" customHeight="1" x14ac:dyDescent="0.35">
      <c r="C23" s="97" t="s">
        <v>2523</v>
      </c>
      <c r="G23" s="97" t="str">
        <f>IF(J23="","% ( = tasa de rendimiento requerida)","%")</f>
        <v>% ( = tasa de rendimiento requerida)</v>
      </c>
    </row>
    <row r="24" spans="2:7" ht="12.75" customHeight="1" x14ac:dyDescent="0.35">
      <c r="B24" s="97" t="s">
        <v>2524</v>
      </c>
      <c r="C24" s="97" t="s">
        <v>2525</v>
      </c>
    </row>
    <row r="25" spans="2:7" ht="12.75" customHeight="1" x14ac:dyDescent="0.35"/>
    <row r="26" spans="2:7" ht="12.75" customHeight="1" x14ac:dyDescent="0.35">
      <c r="C26" s="97" t="s">
        <v>2526</v>
      </c>
    </row>
    <row r="27" spans="2:7" ht="12.75" customHeight="1" x14ac:dyDescent="0.35">
      <c r="C27" s="97" t="s">
        <v>2525</v>
      </c>
    </row>
    <row r="28" spans="2:7" ht="12.75" customHeight="1" x14ac:dyDescent="0.35"/>
    <row r="29" spans="2:7" ht="12.75" customHeight="1" x14ac:dyDescent="0.35"/>
    <row r="30" spans="2:7" ht="12.75" customHeight="1" x14ac:dyDescent="0.35">
      <c r="C30" s="97" t="s">
        <v>2527</v>
      </c>
    </row>
    <row r="31" spans="2:7" ht="12.75" customHeight="1" x14ac:dyDescent="0.35"/>
    <row r="32" spans="2:7" ht="12.75" customHeight="1" x14ac:dyDescent="0.35"/>
    <row r="33" spans="3:10" ht="12.75" customHeight="1" x14ac:dyDescent="0.35"/>
    <row r="34" spans="3:10" ht="12.75" customHeight="1" x14ac:dyDescent="0.35"/>
    <row r="35" spans="3:10" ht="12.75" customHeight="1" x14ac:dyDescent="0.35"/>
    <row r="36" spans="3:10" ht="12.75" customHeight="1" x14ac:dyDescent="0.35"/>
    <row r="37" spans="3:10" ht="12.75" customHeight="1" x14ac:dyDescent="0.35"/>
    <row r="38" spans="3:10" ht="12.75" customHeight="1" x14ac:dyDescent="0.35"/>
    <row r="39" spans="3:10" ht="12.75" customHeight="1" x14ac:dyDescent="0.35"/>
    <row r="40" spans="3:10" ht="12.75" customHeight="1" x14ac:dyDescent="0.35"/>
    <row r="41" spans="3:10" ht="12.75" customHeight="1" x14ac:dyDescent="0.35"/>
    <row r="42" spans="3:10" ht="12.75" customHeight="1" x14ac:dyDescent="0.35"/>
    <row r="43" spans="3:10" ht="12.75" customHeight="1" x14ac:dyDescent="0.35"/>
    <row r="44" spans="3:10" ht="12.75" customHeight="1" x14ac:dyDescent="0.35"/>
    <row r="45" spans="3:10" ht="12.75" customHeight="1" x14ac:dyDescent="0.35">
      <c r="C45" s="97" t="s">
        <v>2528</v>
      </c>
    </row>
    <row r="46" spans="3:10" ht="12.75" customHeight="1" x14ac:dyDescent="0.35"/>
    <row r="47" spans="3:10" ht="12.75" customHeight="1" x14ac:dyDescent="0.35">
      <c r="C47" s="97" t="s">
        <v>2506</v>
      </c>
      <c r="J47" s="97" t="str">
        <f>"Plazo de cálculo: "&amp;FIXED((InvTime+InvTimeMonths/12+InvTime2+InvTimeMonths2/12),1)&amp;" años"</f>
        <v>Plazo de cálculo: 5.3 años</v>
      </c>
    </row>
    <row r="48" spans="3:10" ht="12.75" customHeight="1" x14ac:dyDescent="0.35"/>
    <row r="49" spans="3:3" ht="12.75" customHeight="1" x14ac:dyDescent="0.35"/>
    <row r="50" spans="3:3" ht="12.75" customHeight="1" x14ac:dyDescent="0.35">
      <c r="C50" s="97" t="s">
        <v>2529</v>
      </c>
    </row>
    <row r="51" spans="3:3" ht="12.75" customHeight="1" x14ac:dyDescent="0.35">
      <c r="C51" s="97" t="s">
        <v>2530</v>
      </c>
    </row>
    <row r="52" spans="3:3" ht="12.75" customHeight="1" x14ac:dyDescent="0.35"/>
    <row r="53" spans="3:3" ht="12.75" customHeight="1" x14ac:dyDescent="0.35"/>
    <row r="54" spans="3:3" ht="12.75" customHeight="1" x14ac:dyDescent="0.35"/>
    <row r="55" spans="3:3" ht="12.75" customHeight="1" x14ac:dyDescent="0.35"/>
    <row r="56" spans="3:3" ht="12.75" customHeight="1" x14ac:dyDescent="0.35">
      <c r="C56" s="97" t="s">
        <v>2531</v>
      </c>
    </row>
    <row r="57" spans="3:3" ht="12.75" customHeight="1" x14ac:dyDescent="0.35"/>
    <row r="58" spans="3:3" ht="12.75" customHeight="1" x14ac:dyDescent="0.35">
      <c r="C58" s="97" t="s">
        <v>2532</v>
      </c>
    </row>
    <row r="59" spans="3:3" ht="12.75" customHeight="1" x14ac:dyDescent="0.35"/>
    <row r="60" spans="3:3" ht="12.75" customHeight="1" x14ac:dyDescent="0.35"/>
    <row r="61" spans="3:3" ht="12.75" customHeight="1" x14ac:dyDescent="0.35"/>
    <row r="69" spans="3:3" x14ac:dyDescent="0.35">
      <c r="C69" s="97" t="s">
        <v>2533</v>
      </c>
    </row>
  </sheetData>
  <printOptions gridLines="1"/>
  <pageMargins left="0.35433070866141736" right="0.35433070866141736" top="0.78740157480314965" bottom="0.78740157480314965" header="0.51181102362204722" footer="0.51181102362204722"/>
  <pageSetup paperSize="9" fitToWidth="2" orientation="portrait" r:id="rId1"/>
  <headerFooter>
    <oddHeader>&amp;C&amp;A</oddHeader>
    <oddFooter>&amp;CPage &amp;P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pageSetUpPr autoPageBreaks="0"/>
  </sheetPr>
  <dimension ref="A1:J69"/>
  <sheetViews>
    <sheetView workbookViewId="0">
      <selection activeCell="G23" sqref="G23"/>
    </sheetView>
  </sheetViews>
  <sheetFormatPr defaultColWidth="9.1796875" defaultRowHeight="14.5" x14ac:dyDescent="0.35"/>
  <cols>
    <col min="1" max="1" width="2.1796875" style="97" customWidth="1"/>
    <col min="2" max="2" width="8.26953125" style="97" customWidth="1"/>
    <col min="3" max="4" width="5.7265625" style="97" customWidth="1"/>
    <col min="5" max="5" width="12.26953125" style="97" customWidth="1"/>
    <col min="6" max="6" width="8.54296875" style="97" customWidth="1"/>
    <col min="7" max="7" width="9.26953125" style="97" customWidth="1"/>
    <col min="8" max="10" width="5.7265625" style="97" customWidth="1"/>
    <col min="11" max="16384" width="9.1796875" style="97"/>
  </cols>
  <sheetData>
    <row r="1" spans="1:10" ht="12.75" customHeight="1" x14ac:dyDescent="0.35">
      <c r="A1"/>
      <c r="B1"/>
      <c r="C1"/>
      <c r="D1"/>
      <c r="E1"/>
      <c r="F1"/>
      <c r="G1"/>
      <c r="H1"/>
      <c r="I1"/>
      <c r="J1"/>
    </row>
    <row r="2" spans="1:10" ht="12.75" customHeight="1" x14ac:dyDescent="0.35">
      <c r="A2"/>
      <c r="B2"/>
      <c r="C2"/>
      <c r="D2"/>
      <c r="E2"/>
      <c r="F2"/>
      <c r="G2"/>
      <c r="H2"/>
      <c r="I2"/>
      <c r="J2"/>
    </row>
    <row r="3" spans="1:10" ht="12.75" customHeight="1" x14ac:dyDescent="0.35">
      <c r="A3"/>
      <c r="B3"/>
      <c r="C3" t="s">
        <v>2534</v>
      </c>
      <c r="D3"/>
      <c r="E3"/>
      <c r="F3"/>
      <c r="G3"/>
      <c r="H3"/>
      <c r="I3"/>
      <c r="J3"/>
    </row>
    <row r="4" spans="1:10" ht="12.75" customHeight="1" x14ac:dyDescent="0.35">
      <c r="A4"/>
      <c r="B4"/>
      <c r="C4"/>
      <c r="D4"/>
      <c r="E4"/>
      <c r="F4"/>
      <c r="G4"/>
      <c r="H4"/>
      <c r="I4"/>
      <c r="J4"/>
    </row>
    <row r="5" spans="1:10" ht="12.75" customHeight="1" x14ac:dyDescent="0.35">
      <c r="A5"/>
      <c r="B5" t="s">
        <v>2535</v>
      </c>
      <c r="C5" t="s">
        <v>2536</v>
      </c>
      <c r="D5"/>
      <c r="E5"/>
      <c r="F5"/>
      <c r="G5"/>
      <c r="H5"/>
      <c r="I5"/>
      <c r="J5"/>
    </row>
    <row r="6" spans="1:10" ht="12.75" customHeight="1" x14ac:dyDescent="0.35">
      <c r="A6"/>
      <c r="B6"/>
      <c r="C6"/>
      <c r="D6"/>
      <c r="E6"/>
      <c r="F6"/>
      <c r="G6"/>
      <c r="H6"/>
      <c r="I6"/>
      <c r="J6"/>
    </row>
    <row r="7" spans="1:10" ht="12.75" customHeight="1" x14ac:dyDescent="0.35">
      <c r="A7"/>
      <c r="B7" t="s">
        <v>2537</v>
      </c>
      <c r="C7" t="s">
        <v>2538</v>
      </c>
      <c r="D7"/>
      <c r="E7"/>
      <c r="F7"/>
      <c r="G7"/>
      <c r="H7" t="s">
        <v>2539</v>
      </c>
      <c r="I7"/>
      <c r="J7"/>
    </row>
    <row r="8" spans="1:10" ht="12.75" customHeight="1" x14ac:dyDescent="0.35">
      <c r="A8"/>
      <c r="B8"/>
      <c r="C8" t="s">
        <v>2540</v>
      </c>
      <c r="D8"/>
      <c r="E8"/>
      <c r="F8"/>
      <c r="G8"/>
      <c r="H8"/>
      <c r="I8"/>
      <c r="J8"/>
    </row>
    <row r="9" spans="1:10" ht="12.75" customHeight="1" x14ac:dyDescent="0.35">
      <c r="A9"/>
      <c r="B9" t="s">
        <v>2541</v>
      </c>
      <c r="C9" t="s">
        <v>2542</v>
      </c>
      <c r="D9"/>
      <c r="E9"/>
      <c r="F9"/>
      <c r="G9"/>
      <c r="H9"/>
      <c r="I9"/>
      <c r="J9"/>
    </row>
    <row r="10" spans="1:10" ht="12.75" customHeight="1" x14ac:dyDescent="0.35">
      <c r="A10"/>
      <c r="B10" t="s">
        <v>2543</v>
      </c>
      <c r="C10" t="s">
        <v>2544</v>
      </c>
      <c r="D10"/>
      <c r="E10"/>
      <c r="F10"/>
      <c r="G10"/>
      <c r="H10"/>
      <c r="I10"/>
      <c r="J10"/>
    </row>
    <row r="11" spans="1:10" ht="12.75" customHeight="1" x14ac:dyDescent="0.35">
      <c r="A11"/>
      <c r="B11"/>
      <c r="C11"/>
      <c r="D11"/>
      <c r="E11"/>
      <c r="F11"/>
      <c r="G11"/>
      <c r="H11"/>
      <c r="I11"/>
      <c r="J11"/>
    </row>
    <row r="12" spans="1:10" ht="12.75" customHeight="1" x14ac:dyDescent="0.35">
      <c r="A12"/>
      <c r="B12"/>
      <c r="C12" t="s">
        <v>2545</v>
      </c>
      <c r="D12"/>
      <c r="E12"/>
      <c r="F12"/>
      <c r="G12"/>
      <c r="H12"/>
      <c r="I12"/>
      <c r="J12"/>
    </row>
    <row r="13" spans="1:10" ht="12.75" customHeight="1" x14ac:dyDescent="0.35">
      <c r="A13"/>
      <c r="B13"/>
      <c r="C13" t="s">
        <v>2546</v>
      </c>
      <c r="D13"/>
      <c r="E13"/>
      <c r="F13"/>
      <c r="G13"/>
      <c r="H13"/>
      <c r="I13"/>
      <c r="J13"/>
    </row>
    <row r="14" spans="1:10" ht="12.75" customHeight="1" x14ac:dyDescent="0.35">
      <c r="A14"/>
      <c r="B14"/>
      <c r="C14"/>
      <c r="D14"/>
      <c r="E14"/>
      <c r="F14"/>
      <c r="G14"/>
      <c r="H14"/>
      <c r="I14"/>
      <c r="J14"/>
    </row>
    <row r="15" spans="1:10" ht="12.75" customHeight="1" x14ac:dyDescent="0.35">
      <c r="A15"/>
      <c r="B15"/>
      <c r="C15"/>
      <c r="D15"/>
      <c r="E15"/>
      <c r="F15" t="s">
        <v>2547</v>
      </c>
      <c r="G15"/>
      <c r="H15"/>
      <c r="I15"/>
      <c r="J15"/>
    </row>
    <row r="16" spans="1:10" ht="12.75" customHeight="1" x14ac:dyDescent="0.35">
      <c r="A16">
        <v>7</v>
      </c>
      <c r="B16"/>
      <c r="C16" t="s">
        <v>2548</v>
      </c>
      <c r="D16"/>
      <c r="E16"/>
      <c r="F16"/>
      <c r="G16" t="str">
        <f>IF(BeginEnd=0,"(в начале периода)","(в конце периода)")</f>
        <v>(в начале периода)</v>
      </c>
      <c r="H16"/>
      <c r="I16"/>
      <c r="J16"/>
    </row>
    <row r="17" spans="1:10" ht="12.75" customHeight="1" x14ac:dyDescent="0.35">
      <c r="A17"/>
      <c r="B17"/>
      <c r="C17" t="s">
        <v>2549</v>
      </c>
      <c r="D17"/>
      <c r="E17"/>
      <c r="F17"/>
      <c r="G17" t="str">
        <f>IF(CalcPoint=0,"(в начале периода)","(в конце периода)")</f>
        <v>(в начале периода)</v>
      </c>
      <c r="H17"/>
      <c r="I17"/>
      <c r="J17"/>
    </row>
    <row r="18" spans="1:10" ht="12.75" customHeight="1" x14ac:dyDescent="0.35">
      <c r="A18"/>
      <c r="B18"/>
      <c r="C18" t="s">
        <v>2550</v>
      </c>
      <c r="D18"/>
      <c r="E18"/>
      <c r="F18"/>
      <c r="G18" t="s">
        <v>2551</v>
      </c>
      <c r="H18"/>
      <c r="I18"/>
      <c r="J18"/>
    </row>
    <row r="19" spans="1:10" ht="12.75" customHeight="1" x14ac:dyDescent="0.35">
      <c r="A19"/>
      <c r="B19"/>
      <c r="C19"/>
      <c r="D19"/>
      <c r="E19"/>
      <c r="F19"/>
      <c r="G19"/>
      <c r="H19"/>
      <c r="I19"/>
      <c r="J19"/>
    </row>
    <row r="20" spans="1:10" ht="12.75" customHeight="1" x14ac:dyDescent="0.35">
      <c r="A20"/>
      <c r="B20"/>
      <c r="C20" t="s">
        <v>2552</v>
      </c>
      <c r="D20"/>
      <c r="E20"/>
      <c r="F20"/>
      <c r="G20"/>
      <c r="H20"/>
      <c r="I20"/>
      <c r="J20"/>
    </row>
    <row r="21" spans="1:10" ht="12.75" customHeight="1" x14ac:dyDescent="0.35">
      <c r="A21"/>
      <c r="B21"/>
      <c r="C21" t="s">
        <v>2553</v>
      </c>
      <c r="D21"/>
      <c r="E21"/>
      <c r="F21"/>
      <c r="G21"/>
      <c r="H21"/>
      <c r="I21"/>
      <c r="J21"/>
    </row>
    <row r="22" spans="1:10" ht="12.75" customHeight="1" x14ac:dyDescent="0.35">
      <c r="A22"/>
      <c r="B22"/>
      <c r="C22"/>
      <c r="D22"/>
      <c r="E22"/>
      <c r="F22"/>
      <c r="G22"/>
      <c r="H22"/>
      <c r="I22"/>
      <c r="J22"/>
    </row>
    <row r="23" spans="1:10" ht="12.75" customHeight="1" x14ac:dyDescent="0.35">
      <c r="A23"/>
      <c r="B23"/>
      <c r="C23" t="s">
        <v>2554</v>
      </c>
      <c r="D23"/>
      <c r="E23"/>
      <c r="F23"/>
      <c r="G23" t="str">
        <f>IF(J23="","% (требуемый уровень доходности)","%")</f>
        <v>% (требуемый уровень доходности)</v>
      </c>
      <c r="H23"/>
      <c r="I23"/>
      <c r="J23"/>
    </row>
    <row r="24" spans="1:10" ht="12.75" customHeight="1" x14ac:dyDescent="0.35">
      <c r="A24"/>
      <c r="B24" t="s">
        <v>2555</v>
      </c>
      <c r="C24" t="s">
        <v>2556</v>
      </c>
      <c r="D24"/>
      <c r="E24"/>
      <c r="F24"/>
      <c r="G24"/>
      <c r="H24"/>
      <c r="I24"/>
      <c r="J24"/>
    </row>
    <row r="25" spans="1:10" ht="12.75" customHeight="1" x14ac:dyDescent="0.35">
      <c r="A25"/>
      <c r="B25"/>
      <c r="C25"/>
      <c r="D25"/>
      <c r="E25"/>
      <c r="F25"/>
      <c r="G25"/>
      <c r="H25"/>
      <c r="I25"/>
      <c r="J25"/>
    </row>
    <row r="26" spans="1:10" ht="12.75" customHeight="1" x14ac:dyDescent="0.35">
      <c r="A26"/>
      <c r="B26"/>
      <c r="C26" t="s">
        <v>2557</v>
      </c>
      <c r="D26"/>
      <c r="E26"/>
      <c r="F26"/>
      <c r="G26"/>
      <c r="H26"/>
      <c r="I26"/>
      <c r="J26"/>
    </row>
    <row r="27" spans="1:10" ht="12.75" customHeight="1" x14ac:dyDescent="0.35">
      <c r="A27"/>
      <c r="B27"/>
      <c r="C27" t="s">
        <v>2556</v>
      </c>
      <c r="D27"/>
      <c r="E27"/>
      <c r="F27"/>
      <c r="G27"/>
      <c r="H27"/>
      <c r="I27"/>
      <c r="J27"/>
    </row>
    <row r="28" spans="1:10" ht="12.75" customHeight="1" x14ac:dyDescent="0.35">
      <c r="A28"/>
      <c r="B28"/>
      <c r="C28"/>
      <c r="D28"/>
      <c r="E28"/>
      <c r="F28"/>
      <c r="G28"/>
      <c r="H28"/>
      <c r="I28"/>
      <c r="J28"/>
    </row>
    <row r="29" spans="1:10" ht="12.75" customHeight="1" x14ac:dyDescent="0.35">
      <c r="A29"/>
      <c r="B29"/>
      <c r="C29"/>
      <c r="D29"/>
      <c r="E29"/>
      <c r="F29"/>
      <c r="G29"/>
      <c r="H29"/>
      <c r="I29"/>
      <c r="J29"/>
    </row>
    <row r="30" spans="1:10" ht="12.75" customHeight="1" x14ac:dyDescent="0.35">
      <c r="A30"/>
      <c r="B30"/>
      <c r="C30" t="s">
        <v>2558</v>
      </c>
      <c r="D30"/>
      <c r="E30"/>
      <c r="F30"/>
      <c r="G30"/>
      <c r="H30"/>
      <c r="I30"/>
      <c r="J30"/>
    </row>
    <row r="31" spans="1:10" ht="12.75" customHeight="1" x14ac:dyDescent="0.35">
      <c r="A31"/>
      <c r="B31"/>
      <c r="C31"/>
      <c r="D31"/>
      <c r="E31"/>
      <c r="F31"/>
      <c r="G31"/>
      <c r="H31"/>
      <c r="I31"/>
      <c r="J31"/>
    </row>
    <row r="32" spans="1:10" ht="12.75" customHeight="1" x14ac:dyDescent="0.35">
      <c r="A32"/>
      <c r="B32"/>
      <c r="C32"/>
      <c r="D32"/>
      <c r="E32"/>
      <c r="F32"/>
      <c r="G32"/>
      <c r="H32"/>
      <c r="I32"/>
      <c r="J32"/>
    </row>
    <row r="33" spans="1:10" ht="12.75" customHeight="1" x14ac:dyDescent="0.35">
      <c r="A33"/>
      <c r="B33"/>
      <c r="C33"/>
      <c r="D33"/>
      <c r="E33"/>
      <c r="F33"/>
      <c r="G33"/>
      <c r="H33"/>
      <c r="I33"/>
      <c r="J33"/>
    </row>
    <row r="34" spans="1:10" ht="12.75" customHeight="1" x14ac:dyDescent="0.35">
      <c r="A34"/>
      <c r="B34"/>
      <c r="C34"/>
      <c r="D34"/>
      <c r="E34"/>
      <c r="F34"/>
      <c r="G34"/>
      <c r="H34"/>
      <c r="I34"/>
      <c r="J34"/>
    </row>
    <row r="35" spans="1:10" ht="12.75" customHeight="1" x14ac:dyDescent="0.35">
      <c r="A35"/>
      <c r="B35"/>
      <c r="C35"/>
      <c r="D35"/>
      <c r="E35"/>
      <c r="F35"/>
      <c r="G35"/>
      <c r="H35"/>
      <c r="I35"/>
      <c r="J35"/>
    </row>
    <row r="36" spans="1:10" ht="12.75" customHeight="1" x14ac:dyDescent="0.35">
      <c r="A36"/>
      <c r="B36"/>
      <c r="C36"/>
      <c r="D36"/>
      <c r="E36"/>
      <c r="F36"/>
      <c r="G36"/>
      <c r="H36"/>
      <c r="I36"/>
      <c r="J36"/>
    </row>
    <row r="37" spans="1:10" ht="12.75" customHeight="1" x14ac:dyDescent="0.35">
      <c r="A37"/>
      <c r="B37"/>
      <c r="C37"/>
      <c r="D37"/>
      <c r="E37"/>
      <c r="F37"/>
      <c r="G37"/>
      <c r="H37"/>
      <c r="I37"/>
      <c r="J37"/>
    </row>
    <row r="38" spans="1:10" ht="12.75" customHeight="1" x14ac:dyDescent="0.35">
      <c r="A38"/>
      <c r="B38"/>
      <c r="C38"/>
      <c r="D38"/>
      <c r="E38"/>
      <c r="F38"/>
      <c r="G38"/>
      <c r="H38"/>
      <c r="I38"/>
      <c r="J38"/>
    </row>
    <row r="39" spans="1:10" ht="12.75" customHeight="1" x14ac:dyDescent="0.35">
      <c r="A39"/>
      <c r="B39"/>
      <c r="C39"/>
      <c r="D39"/>
      <c r="E39"/>
      <c r="F39"/>
      <c r="G39"/>
      <c r="H39"/>
      <c r="I39"/>
      <c r="J39"/>
    </row>
    <row r="40" spans="1:10" ht="12.75" customHeight="1" x14ac:dyDescent="0.35">
      <c r="A40"/>
      <c r="B40"/>
      <c r="C40"/>
      <c r="D40"/>
      <c r="E40"/>
      <c r="F40"/>
      <c r="G40"/>
      <c r="H40"/>
      <c r="I40"/>
      <c r="J40"/>
    </row>
    <row r="41" spans="1:10" ht="12.75" customHeight="1" x14ac:dyDescent="0.35">
      <c r="A41"/>
      <c r="B41"/>
      <c r="C41"/>
      <c r="D41"/>
      <c r="E41"/>
      <c r="F41"/>
      <c r="G41"/>
      <c r="H41"/>
      <c r="I41"/>
      <c r="J41"/>
    </row>
    <row r="42" spans="1:10" ht="12.75" customHeight="1" x14ac:dyDescent="0.35">
      <c r="A42"/>
      <c r="B42"/>
      <c r="C42"/>
      <c r="D42"/>
      <c r="E42"/>
      <c r="F42"/>
      <c r="G42"/>
      <c r="H42"/>
      <c r="I42"/>
      <c r="J42"/>
    </row>
    <row r="43" spans="1:10" ht="12.75" customHeight="1" x14ac:dyDescent="0.35">
      <c r="A43"/>
      <c r="B43"/>
      <c r="C43"/>
      <c r="D43"/>
      <c r="E43"/>
      <c r="F43"/>
      <c r="G43"/>
      <c r="H43"/>
      <c r="I43"/>
      <c r="J43"/>
    </row>
    <row r="44" spans="1:10" ht="12.75" customHeight="1" x14ac:dyDescent="0.35">
      <c r="A44"/>
      <c r="B44"/>
      <c r="C44"/>
      <c r="D44"/>
      <c r="E44"/>
      <c r="F44"/>
      <c r="G44"/>
      <c r="H44"/>
      <c r="I44"/>
      <c r="J44"/>
    </row>
    <row r="45" spans="1:10" ht="12.75" customHeight="1" x14ac:dyDescent="0.35">
      <c r="A45"/>
      <c r="B45"/>
      <c r="C45" t="s">
        <v>2559</v>
      </c>
      <c r="D45"/>
      <c r="E45"/>
      <c r="F45"/>
      <c r="G45"/>
      <c r="H45"/>
      <c r="I45"/>
      <c r="J45"/>
    </row>
    <row r="46" spans="1:10" ht="12.75" customHeight="1" x14ac:dyDescent="0.35">
      <c r="A46"/>
      <c r="B46"/>
      <c r="C46"/>
      <c r="D46"/>
      <c r="E46"/>
      <c r="F46"/>
      <c r="G46"/>
      <c r="H46"/>
      <c r="I46"/>
      <c r="J46"/>
    </row>
    <row r="47" spans="1:10" ht="12.75" customHeight="1" x14ac:dyDescent="0.35">
      <c r="A47"/>
      <c r="B47"/>
      <c r="C47" t="s">
        <v>2536</v>
      </c>
      <c r="D47"/>
      <c r="E47"/>
      <c r="F47"/>
      <c r="G47"/>
      <c r="H47"/>
      <c r="I47"/>
      <c r="J47" t="str">
        <f>"Срок вычисления: "&amp;FIXED((InvTime+InvTimeMonths/12+InvTime2+InvTimeMonths2/12),1)&amp;" "&amp;Result!$H$10</f>
        <v>Срок вычисления: 5.3 years</v>
      </c>
    </row>
    <row r="48" spans="1:10" ht="12.75" customHeight="1" x14ac:dyDescent="0.35">
      <c r="A48"/>
      <c r="B48"/>
      <c r="C48"/>
      <c r="D48"/>
      <c r="E48"/>
      <c r="F48"/>
      <c r="G48"/>
      <c r="H48"/>
      <c r="I48"/>
      <c r="J48"/>
    </row>
    <row r="49" spans="1:10" ht="12.75" customHeight="1" x14ac:dyDescent="0.35">
      <c r="A49"/>
      <c r="B49"/>
      <c r="C49"/>
      <c r="D49"/>
      <c r="E49"/>
      <c r="F49"/>
      <c r="G49"/>
      <c r="H49"/>
      <c r="I49"/>
      <c r="J49"/>
    </row>
    <row r="50" spans="1:10" ht="12.75" customHeight="1" x14ac:dyDescent="0.35">
      <c r="A50"/>
      <c r="B50"/>
      <c r="C50" t="s">
        <v>2560</v>
      </c>
      <c r="D50"/>
      <c r="E50"/>
      <c r="F50"/>
      <c r="G50"/>
      <c r="H50"/>
      <c r="I50"/>
      <c r="J50"/>
    </row>
    <row r="51" spans="1:10" ht="12.75" customHeight="1" x14ac:dyDescent="0.35">
      <c r="A51"/>
      <c r="B51"/>
      <c r="C51" t="s">
        <v>2561</v>
      </c>
      <c r="D51"/>
      <c r="E51"/>
      <c r="F51"/>
      <c r="G51"/>
      <c r="H51"/>
      <c r="I51"/>
      <c r="J51"/>
    </row>
    <row r="52" spans="1:10" ht="12.75" customHeight="1" x14ac:dyDescent="0.35">
      <c r="A52"/>
      <c r="B52"/>
      <c r="C52"/>
      <c r="D52"/>
      <c r="E52"/>
      <c r="F52"/>
      <c r="G52"/>
      <c r="H52"/>
      <c r="I52"/>
      <c r="J52"/>
    </row>
    <row r="53" spans="1:10" ht="12.75" customHeight="1" x14ac:dyDescent="0.35">
      <c r="A53"/>
      <c r="B53"/>
      <c r="C53"/>
      <c r="D53"/>
      <c r="E53"/>
      <c r="F53"/>
      <c r="G53"/>
      <c r="H53"/>
      <c r="I53"/>
      <c r="J53"/>
    </row>
    <row r="54" spans="1:10" ht="12.75" customHeight="1" x14ac:dyDescent="0.35">
      <c r="A54"/>
      <c r="B54"/>
      <c r="D54"/>
      <c r="E54"/>
      <c r="F54"/>
      <c r="G54"/>
      <c r="H54"/>
      <c r="I54"/>
      <c r="J54"/>
    </row>
    <row r="55" spans="1:10" ht="12.75" customHeight="1" x14ac:dyDescent="0.35">
      <c r="A55"/>
      <c r="B55"/>
      <c r="D55"/>
      <c r="E55"/>
      <c r="F55"/>
      <c r="G55"/>
      <c r="H55"/>
      <c r="I55"/>
      <c r="J55"/>
    </row>
    <row r="56" spans="1:10" ht="12.75" customHeight="1" x14ac:dyDescent="0.35">
      <c r="A56"/>
      <c r="B56"/>
      <c r="C56" t="s">
        <v>2562</v>
      </c>
      <c r="D56"/>
      <c r="E56"/>
      <c r="F56"/>
      <c r="G56"/>
      <c r="H56"/>
      <c r="I56"/>
      <c r="J56"/>
    </row>
    <row r="57" spans="1:10" ht="12.75" customHeight="1" x14ac:dyDescent="0.35">
      <c r="A57"/>
      <c r="B57"/>
      <c r="C57"/>
      <c r="D57"/>
      <c r="E57"/>
      <c r="F57"/>
      <c r="G57"/>
      <c r="H57"/>
      <c r="I57"/>
      <c r="J57"/>
    </row>
    <row r="58" spans="1:10" ht="12.75" customHeight="1" x14ac:dyDescent="0.35">
      <c r="A58"/>
      <c r="B58"/>
      <c r="C58" t="s">
        <v>2563</v>
      </c>
      <c r="D58"/>
      <c r="E58"/>
      <c r="F58"/>
      <c r="G58"/>
      <c r="H58"/>
      <c r="I58"/>
      <c r="J58"/>
    </row>
    <row r="59" spans="1:10" ht="12.75" customHeight="1" x14ac:dyDescent="0.35">
      <c r="A59"/>
      <c r="B59"/>
      <c r="C59"/>
      <c r="D59"/>
      <c r="E59"/>
      <c r="F59"/>
      <c r="G59"/>
      <c r="H59"/>
      <c r="I59"/>
      <c r="J59"/>
    </row>
    <row r="60" spans="1:10" ht="12.75" customHeight="1" x14ac:dyDescent="0.35">
      <c r="A60"/>
      <c r="B60"/>
      <c r="C60"/>
      <c r="D60"/>
      <c r="E60"/>
      <c r="F60"/>
      <c r="G60"/>
      <c r="H60"/>
      <c r="I60"/>
      <c r="J60"/>
    </row>
    <row r="61" spans="1:10" ht="12.75" customHeight="1" x14ac:dyDescent="0.35">
      <c r="A61"/>
      <c r="B61"/>
      <c r="C61"/>
      <c r="D61"/>
      <c r="E61"/>
      <c r="F61"/>
      <c r="G61"/>
      <c r="H61"/>
      <c r="I61"/>
      <c r="J61"/>
    </row>
    <row r="62" spans="1:10" ht="12.75" customHeight="1" x14ac:dyDescent="0.35"/>
    <row r="63" spans="1:10" ht="12.75" customHeight="1" x14ac:dyDescent="0.35"/>
    <row r="69" spans="3:3" x14ac:dyDescent="0.35">
      <c r="C69" s="97" t="s">
        <v>2564</v>
      </c>
    </row>
  </sheetData>
  <printOptions gridLines="1"/>
  <pageMargins left="0.75" right="0.75" top="1" bottom="1" header="0.5" footer="0.5"/>
  <pageSetup paperSize="9" orientation="portrait" r:id="rId1"/>
  <headerFooter>
    <oddHeader>&amp;C&amp;A</oddHeader>
    <oddFooter>&amp;CPage &amp;P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8">
    <pageSetUpPr autoPageBreaks="0"/>
  </sheetPr>
  <dimension ref="B1:J69"/>
  <sheetViews>
    <sheetView workbookViewId="0">
      <selection activeCell="C16" sqref="C16"/>
    </sheetView>
  </sheetViews>
  <sheetFormatPr defaultColWidth="9.1796875" defaultRowHeight="14.5" x14ac:dyDescent="0.35"/>
  <cols>
    <col min="1" max="1" width="2.1796875" style="97" customWidth="1"/>
    <col min="2" max="2" width="8.26953125" style="97" customWidth="1"/>
    <col min="3" max="4" width="5.7265625" style="97" customWidth="1"/>
    <col min="5" max="5" width="12.26953125" style="97" customWidth="1"/>
    <col min="6" max="6" width="11.453125" style="97" customWidth="1"/>
    <col min="7" max="7" width="9.26953125" style="97" customWidth="1"/>
    <col min="8" max="10" width="5.7265625" style="97" customWidth="1"/>
    <col min="11" max="16384" width="9.1796875" style="97"/>
  </cols>
  <sheetData>
    <row r="1" spans="2:8" ht="12.75" customHeight="1" x14ac:dyDescent="0.35"/>
    <row r="2" spans="2:8" ht="12.75" customHeight="1" x14ac:dyDescent="0.35"/>
    <row r="3" spans="2:8" ht="12.75" customHeight="1" x14ac:dyDescent="0.35">
      <c r="C3" s="97" t="s">
        <v>5741</v>
      </c>
    </row>
    <row r="4" spans="2:8" ht="12.75" customHeight="1" x14ac:dyDescent="0.35"/>
    <row r="5" spans="2:8" ht="12.75" customHeight="1" x14ac:dyDescent="0.35">
      <c r="B5" s="97" t="s">
        <v>5455</v>
      </c>
      <c r="C5" s="97" t="s">
        <v>5456</v>
      </c>
    </row>
    <row r="6" spans="2:8" ht="12.75" customHeight="1" x14ac:dyDescent="0.35"/>
    <row r="7" spans="2:8" ht="12.75" customHeight="1" x14ac:dyDescent="0.35">
      <c r="B7" s="97" t="s">
        <v>5457</v>
      </c>
      <c r="C7" s="97" t="s">
        <v>5742</v>
      </c>
      <c r="H7" s="97" t="s">
        <v>5655</v>
      </c>
    </row>
    <row r="8" spans="2:8" ht="12.75" customHeight="1" x14ac:dyDescent="0.35">
      <c r="C8" s="97" t="s">
        <v>2540</v>
      </c>
    </row>
    <row r="9" spans="2:8" ht="12.75" customHeight="1" x14ac:dyDescent="0.35">
      <c r="B9" s="97" t="s">
        <v>5458</v>
      </c>
      <c r="C9" s="97" t="s">
        <v>5743</v>
      </c>
    </row>
    <row r="10" spans="2:8" ht="12.75" customHeight="1" x14ac:dyDescent="0.35">
      <c r="B10" s="97" t="s">
        <v>5459</v>
      </c>
      <c r="C10" s="97" t="s">
        <v>5460</v>
      </c>
    </row>
    <row r="11" spans="2:8" ht="12.75" customHeight="1" x14ac:dyDescent="0.35"/>
    <row r="12" spans="2:8" ht="12.75" customHeight="1" x14ac:dyDescent="0.35">
      <c r="C12" s="97" t="s">
        <v>5461</v>
      </c>
    </row>
    <row r="13" spans="2:8" ht="12.75" customHeight="1" x14ac:dyDescent="0.35">
      <c r="C13" s="97" t="s">
        <v>5462</v>
      </c>
    </row>
    <row r="14" spans="2:8" ht="12.75" customHeight="1" x14ac:dyDescent="0.35"/>
    <row r="15" spans="2:8" ht="12.75" customHeight="1" x14ac:dyDescent="0.35">
      <c r="F15" s="97" t="s">
        <v>2547</v>
      </c>
    </row>
    <row r="16" spans="2:8" ht="12.75" customHeight="1" x14ac:dyDescent="0.35">
      <c r="C16" s="97" t="s">
        <v>5744</v>
      </c>
      <c r="G16" s="97" t="str">
        <f>IF(CalcPoint=0,"(в началото на  периода)","(в края на  периода)")</f>
        <v>(в началото на  периода)</v>
      </c>
    </row>
    <row r="17" spans="2:7" ht="12.75" customHeight="1" x14ac:dyDescent="0.35">
      <c r="C17" s="97" t="s">
        <v>5745</v>
      </c>
      <c r="G17" s="97" t="str">
        <f>IF(BeginEnd=0,"(в началото на  периода)","(в края на  периода)")</f>
        <v>(в началото на  периода)</v>
      </c>
    </row>
    <row r="18" spans="2:7" ht="12.75" customHeight="1" x14ac:dyDescent="0.35">
      <c r="C18" s="97" t="s">
        <v>5746</v>
      </c>
      <c r="G18" s="97" t="s">
        <v>5463</v>
      </c>
    </row>
    <row r="19" spans="2:7" ht="12.75" customHeight="1" x14ac:dyDescent="0.35"/>
    <row r="20" spans="2:7" ht="12.75" customHeight="1" x14ac:dyDescent="0.35">
      <c r="C20" s="97" t="s">
        <v>5747</v>
      </c>
    </row>
    <row r="21" spans="2:7" ht="12.75" customHeight="1" x14ac:dyDescent="0.35">
      <c r="C21" s="97" t="s">
        <v>5464</v>
      </c>
    </row>
    <row r="22" spans="2:7" ht="12.75" customHeight="1" x14ac:dyDescent="0.35"/>
    <row r="23" spans="2:7" ht="12.75" customHeight="1" x14ac:dyDescent="0.35">
      <c r="C23" s="97" t="s">
        <v>5748</v>
      </c>
      <c r="G23" s="97" t="str">
        <f>IF(J23="","% (необходимо ниво на доходност)","%")</f>
        <v>% (необходимо ниво на доходност)</v>
      </c>
    </row>
    <row r="24" spans="2:7" ht="12.75" customHeight="1" x14ac:dyDescent="0.35">
      <c r="B24" s="97" t="s">
        <v>5465</v>
      </c>
      <c r="C24" s="97" t="s">
        <v>2556</v>
      </c>
    </row>
    <row r="25" spans="2:7" ht="12.75" customHeight="1" x14ac:dyDescent="0.35"/>
    <row r="26" spans="2:7" ht="12.75" customHeight="1" x14ac:dyDescent="0.35">
      <c r="C26" s="97" t="s">
        <v>5466</v>
      </c>
    </row>
    <row r="27" spans="2:7" ht="12.75" customHeight="1" x14ac:dyDescent="0.35">
      <c r="C27" s="97" t="s">
        <v>2556</v>
      </c>
    </row>
    <row r="28" spans="2:7" ht="12.75" customHeight="1" x14ac:dyDescent="0.35"/>
    <row r="29" spans="2:7" ht="12.75" customHeight="1" x14ac:dyDescent="0.35"/>
    <row r="30" spans="2:7" ht="12.75" customHeight="1" x14ac:dyDescent="0.35">
      <c r="C30" s="97" t="s">
        <v>5467</v>
      </c>
    </row>
    <row r="31" spans="2:7" ht="12.75" customHeight="1" x14ac:dyDescent="0.35"/>
    <row r="32" spans="2:7" ht="12.75" customHeight="1" x14ac:dyDescent="0.35"/>
    <row r="33" spans="3:10" ht="12.75" customHeight="1" x14ac:dyDescent="0.35"/>
    <row r="34" spans="3:10" ht="12.75" customHeight="1" x14ac:dyDescent="0.35"/>
    <row r="35" spans="3:10" ht="12.75" customHeight="1" x14ac:dyDescent="0.35"/>
    <row r="36" spans="3:10" ht="12.75" customHeight="1" x14ac:dyDescent="0.35"/>
    <row r="37" spans="3:10" ht="12.75" customHeight="1" x14ac:dyDescent="0.35"/>
    <row r="38" spans="3:10" ht="12.75" customHeight="1" x14ac:dyDescent="0.35"/>
    <row r="39" spans="3:10" ht="12.75" customHeight="1" x14ac:dyDescent="0.35"/>
    <row r="40" spans="3:10" ht="12.75" customHeight="1" x14ac:dyDescent="0.35"/>
    <row r="41" spans="3:10" ht="12.75" customHeight="1" x14ac:dyDescent="0.35"/>
    <row r="42" spans="3:10" ht="12.75" customHeight="1" x14ac:dyDescent="0.35"/>
    <row r="43" spans="3:10" ht="12.75" customHeight="1" x14ac:dyDescent="0.35"/>
    <row r="44" spans="3:10" ht="12.75" customHeight="1" x14ac:dyDescent="0.35"/>
    <row r="45" spans="3:10" ht="12.75" customHeight="1" x14ac:dyDescent="0.35">
      <c r="C45" s="97" t="s">
        <v>5749</v>
      </c>
    </row>
    <row r="46" spans="3:10" ht="12.75" customHeight="1" x14ac:dyDescent="0.35"/>
    <row r="47" spans="3:10" ht="12.75" customHeight="1" x14ac:dyDescent="0.35">
      <c r="C47" s="97" t="s">
        <v>5456</v>
      </c>
      <c r="J47" s="1363" t="str">
        <f>"Срок на изчислението: "&amp;FIXED((InvTime+InvTimeMonths/12+InvTime2+InvTimeMonths2/12),1)&amp;" години"</f>
        <v>Срок на изчислението: 5.3 години</v>
      </c>
    </row>
    <row r="48" spans="3:10" ht="12.75" customHeight="1" x14ac:dyDescent="0.35"/>
    <row r="49" spans="3:3" ht="12.75" customHeight="1" x14ac:dyDescent="0.35"/>
    <row r="50" spans="3:3" ht="12.75" customHeight="1" x14ac:dyDescent="0.35">
      <c r="C50" s="97" t="s">
        <v>5468</v>
      </c>
    </row>
    <row r="51" spans="3:3" ht="12.75" customHeight="1" x14ac:dyDescent="0.35">
      <c r="C51" s="97" t="s">
        <v>5750</v>
      </c>
    </row>
    <row r="52" spans="3:3" ht="12.75" customHeight="1" x14ac:dyDescent="0.35"/>
    <row r="53" spans="3:3" ht="12.75" customHeight="1" x14ac:dyDescent="0.35"/>
    <row r="54" spans="3:3" ht="12.75" customHeight="1" x14ac:dyDescent="0.35"/>
    <row r="55" spans="3:3" ht="12.75" customHeight="1" x14ac:dyDescent="0.35"/>
    <row r="56" spans="3:3" ht="12.75" customHeight="1" x14ac:dyDescent="0.35">
      <c r="C56" s="97" t="s">
        <v>2562</v>
      </c>
    </row>
    <row r="57" spans="3:3" ht="12.75" customHeight="1" x14ac:dyDescent="0.35"/>
    <row r="58" spans="3:3" ht="12.75" customHeight="1" x14ac:dyDescent="0.35">
      <c r="C58" s="97" t="s">
        <v>5751</v>
      </c>
    </row>
    <row r="59" spans="3:3" ht="12.75" customHeight="1" x14ac:dyDescent="0.35"/>
    <row r="60" spans="3:3" ht="12.75" customHeight="1" x14ac:dyDescent="0.35"/>
    <row r="61" spans="3:3" ht="12.75" customHeight="1" x14ac:dyDescent="0.35"/>
    <row r="69" spans="3:3" x14ac:dyDescent="0.35">
      <c r="C69" s="97" t="s">
        <v>5752</v>
      </c>
    </row>
  </sheetData>
  <printOptions gridLines="1"/>
  <pageMargins left="0.75" right="0.75" top="1" bottom="1" header="0.5" footer="0.5"/>
  <pageSetup paperSize="9" orientation="portrait" r:id="rId1"/>
  <headerFooter>
    <oddHeader>&amp;C&amp;A</oddHeader>
    <oddFooter>&amp;CPage &amp;P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8">
    <pageSetUpPr autoPageBreaks="0"/>
  </sheetPr>
  <dimension ref="A1:D842"/>
  <sheetViews>
    <sheetView workbookViewId="0"/>
  </sheetViews>
  <sheetFormatPr defaultColWidth="9.1796875" defaultRowHeight="14.5" x14ac:dyDescent="0.35"/>
  <cols>
    <col min="1" max="1" width="0.81640625" style="97" customWidth="1"/>
    <col min="2" max="16384" width="9.1796875" style="97"/>
  </cols>
  <sheetData>
    <row r="1" spans="1:4" ht="12.75" customHeight="1" x14ac:dyDescent="0.35">
      <c r="A1" s="28"/>
      <c r="B1" s="28" t="s">
        <v>37</v>
      </c>
      <c r="C1" s="28"/>
      <c r="D1" s="28"/>
    </row>
    <row r="2" spans="1:4" ht="12.75" customHeight="1" x14ac:dyDescent="0.35">
      <c r="A2" s="28"/>
      <c r="B2" s="28" t="s">
        <v>41</v>
      </c>
      <c r="C2" s="28"/>
      <c r="D2" s="28"/>
    </row>
    <row r="3" spans="1:4" ht="12.75" customHeight="1" x14ac:dyDescent="0.35">
      <c r="A3" s="28"/>
      <c r="B3" s="28" t="s">
        <v>43</v>
      </c>
      <c r="C3" s="28"/>
      <c r="D3" s="28"/>
    </row>
    <row r="4" spans="1:4" ht="12.75" customHeight="1" x14ac:dyDescent="0.35">
      <c r="A4" s="28"/>
      <c r="B4" s="28" t="s">
        <v>44</v>
      </c>
      <c r="C4" s="28"/>
      <c r="D4" s="28"/>
    </row>
    <row r="5" spans="1:4" ht="12.75" customHeight="1" x14ac:dyDescent="0.35">
      <c r="A5" s="28"/>
      <c r="B5" s="28" t="s">
        <v>47</v>
      </c>
      <c r="C5" s="28"/>
      <c r="D5" s="28"/>
    </row>
    <row r="6" spans="1:4" ht="12.75" customHeight="1" x14ac:dyDescent="0.35">
      <c r="A6" s="28"/>
      <c r="B6" s="28" t="s">
        <v>2565</v>
      </c>
      <c r="C6" s="28"/>
      <c r="D6" s="28"/>
    </row>
    <row r="7" spans="1:4" ht="12.75" customHeight="1" x14ac:dyDescent="0.35">
      <c r="A7" s="28"/>
      <c r="B7" s="28"/>
      <c r="C7" s="28"/>
      <c r="D7" s="28"/>
    </row>
    <row r="8" spans="1:4" ht="12.75" customHeight="1" x14ac:dyDescent="0.35">
      <c r="A8" s="28"/>
      <c r="B8" s="28"/>
      <c r="C8" s="28"/>
      <c r="D8" s="28"/>
    </row>
    <row r="9" spans="1:4" ht="12.75" customHeight="1" x14ac:dyDescent="0.35">
      <c r="A9" s="28"/>
      <c r="B9" s="28"/>
      <c r="C9" s="28"/>
      <c r="D9" s="28"/>
    </row>
    <row r="10" spans="1:4" ht="12.75" customHeight="1" x14ac:dyDescent="0.35">
      <c r="A10" s="28"/>
      <c r="B10" s="28"/>
      <c r="C10" s="28"/>
      <c r="D10" s="28"/>
    </row>
    <row r="11" spans="1:4" ht="12.75" customHeight="1" x14ac:dyDescent="0.35">
      <c r="A11" s="28"/>
      <c r="B11" s="28" t="s">
        <v>57</v>
      </c>
      <c r="C11" s="28"/>
      <c r="D11" s="28"/>
    </row>
    <row r="12" spans="1:4" ht="12.75" customHeight="1" x14ac:dyDescent="0.35">
      <c r="A12" s="28"/>
      <c r="B12" s="28" t="s">
        <v>59</v>
      </c>
      <c r="C12" s="28"/>
      <c r="D12" s="28"/>
    </row>
    <row r="13" spans="1:4" ht="12.75" customHeight="1" x14ac:dyDescent="0.35">
      <c r="A13" s="28"/>
      <c r="B13" s="28" t="s">
        <v>62</v>
      </c>
      <c r="C13" s="28"/>
      <c r="D13" s="28"/>
    </row>
    <row r="14" spans="1:4" ht="12.75" customHeight="1" x14ac:dyDescent="0.35">
      <c r="A14" s="28"/>
      <c r="B14" s="28"/>
      <c r="C14" s="28"/>
      <c r="D14" s="28"/>
    </row>
    <row r="15" spans="1:4" ht="12.75" customHeight="1" x14ac:dyDescent="0.35">
      <c r="A15" s="28"/>
      <c r="B15" s="28" t="s">
        <v>64</v>
      </c>
      <c r="C15" s="28"/>
      <c r="D15" s="28"/>
    </row>
    <row r="16" spans="1:4" ht="12.75" customHeight="1" x14ac:dyDescent="0.35">
      <c r="A16" s="28"/>
      <c r="B16" s="28"/>
      <c r="C16" s="28"/>
      <c r="D16" s="28"/>
    </row>
    <row r="17" spans="1:4" ht="12.75" customHeight="1" x14ac:dyDescent="0.35">
      <c r="A17" s="28"/>
      <c r="B17" s="28" t="s">
        <v>59</v>
      </c>
      <c r="C17" s="28"/>
      <c r="D17" s="28" t="s">
        <v>69</v>
      </c>
    </row>
    <row r="18" spans="1:4" ht="12.75" customHeight="1" x14ac:dyDescent="0.35">
      <c r="A18" s="28"/>
      <c r="B18" s="28"/>
      <c r="C18" s="28"/>
      <c r="D18" s="28"/>
    </row>
    <row r="19" spans="1:4" ht="12.75" customHeight="1" x14ac:dyDescent="0.35">
      <c r="A19" s="28"/>
      <c r="B19" s="28"/>
      <c r="C19" s="28"/>
      <c r="D19" s="28"/>
    </row>
    <row r="20" spans="1:4" ht="12.75" customHeight="1" x14ac:dyDescent="0.35">
      <c r="A20" s="28"/>
      <c r="B20" s="53"/>
      <c r="C20" s="28"/>
      <c r="D20" s="28"/>
    </row>
    <row r="21" spans="1:4" ht="12.75" customHeight="1" x14ac:dyDescent="0.35">
      <c r="A21" s="28"/>
      <c r="B21" s="28"/>
      <c r="C21" s="28" t="s">
        <v>77</v>
      </c>
      <c r="D21" s="28"/>
    </row>
    <row r="22" spans="1:4" ht="12.75" customHeight="1" x14ac:dyDescent="0.35">
      <c r="A22" s="28"/>
      <c r="B22" s="28"/>
      <c r="C22" s="28"/>
      <c r="D22" s="28"/>
    </row>
    <row r="23" spans="1:4" ht="12.75" customHeight="1" x14ac:dyDescent="0.35">
      <c r="A23" s="28"/>
      <c r="B23" s="28"/>
      <c r="C23" s="28"/>
      <c r="D23" s="28"/>
    </row>
    <row r="24" spans="1:4" ht="12.75" customHeight="1" x14ac:dyDescent="0.35">
      <c r="A24" s="28"/>
      <c r="B24" s="53"/>
      <c r="C24" s="28"/>
      <c r="D24" s="28"/>
    </row>
    <row r="25" spans="1:4" ht="12.75" customHeight="1" x14ac:dyDescent="0.35">
      <c r="A25" s="28"/>
      <c r="B25" s="28"/>
      <c r="C25" s="104" t="s">
        <v>83</v>
      </c>
      <c r="D25" s="28"/>
    </row>
    <row r="26" spans="1:4" ht="12.75" customHeight="1" x14ac:dyDescent="0.35">
      <c r="A26" s="28"/>
      <c r="B26" s="28"/>
      <c r="C26" s="28"/>
      <c r="D26" s="28"/>
    </row>
    <row r="27" spans="1:4" ht="12.75" customHeight="1" x14ac:dyDescent="0.35">
      <c r="A27" s="28"/>
      <c r="B27" s="28"/>
      <c r="C27" s="28"/>
      <c r="D27" s="28"/>
    </row>
    <row r="28" spans="1:4" ht="12.75" customHeight="1" x14ac:dyDescent="0.35">
      <c r="A28" s="28"/>
      <c r="B28" s="28"/>
      <c r="C28" s="28"/>
      <c r="D28" s="28"/>
    </row>
    <row r="29" spans="1:4" ht="12.75" customHeight="1" x14ac:dyDescent="0.35">
      <c r="A29" s="28"/>
      <c r="B29" s="28"/>
      <c r="C29" s="28"/>
      <c r="D29" s="28"/>
    </row>
    <row r="30" spans="1:4" ht="12.75" customHeight="1" x14ac:dyDescent="0.35">
      <c r="A30" s="28"/>
      <c r="B30" s="28"/>
      <c r="C30" s="28"/>
      <c r="D30" s="28"/>
    </row>
    <row r="31" spans="1:4" ht="12.75" customHeight="1" x14ac:dyDescent="0.35">
      <c r="A31" s="28"/>
      <c r="B31" s="28"/>
      <c r="C31" s="28" t="s">
        <v>77</v>
      </c>
      <c r="D31" s="28"/>
    </row>
    <row r="32" spans="1:4" ht="12.75" customHeight="1" x14ac:dyDescent="0.35">
      <c r="A32" s="28"/>
      <c r="B32" s="28"/>
      <c r="C32" s="28"/>
      <c r="D32" s="28"/>
    </row>
    <row r="33" spans="1:4" ht="12.75" customHeight="1" x14ac:dyDescent="0.35">
      <c r="A33" s="28"/>
      <c r="B33" s="28"/>
      <c r="C33" s="28"/>
      <c r="D33" s="28"/>
    </row>
    <row r="34" spans="1:4" ht="12.75" customHeight="1" x14ac:dyDescent="0.35">
      <c r="A34" s="28"/>
      <c r="B34" s="53"/>
      <c r="C34" s="28"/>
      <c r="D34" s="28"/>
    </row>
    <row r="35" spans="1:4" ht="12.75" customHeight="1" x14ac:dyDescent="0.35">
      <c r="A35" s="28"/>
      <c r="B35" s="28"/>
      <c r="C35" s="104" t="s">
        <v>83</v>
      </c>
      <c r="D35" s="28"/>
    </row>
    <row r="36" spans="1:4" ht="12.75" customHeight="1" x14ac:dyDescent="0.35">
      <c r="A36" s="28"/>
      <c r="B36" s="28"/>
      <c r="C36" s="28"/>
      <c r="D36" s="28"/>
    </row>
    <row r="37" spans="1:4" ht="12.75" customHeight="1" x14ac:dyDescent="0.35">
      <c r="A37" s="28"/>
      <c r="B37" s="28"/>
      <c r="C37" s="28"/>
      <c r="D37" s="28"/>
    </row>
    <row r="38" spans="1:4" ht="12.75" customHeight="1" x14ac:dyDescent="0.35">
      <c r="A38" s="28"/>
      <c r="B38" s="28"/>
      <c r="C38" s="28"/>
      <c r="D38" s="28"/>
    </row>
    <row r="39" spans="1:4" ht="12.75" customHeight="1" x14ac:dyDescent="0.35">
      <c r="A39" s="28"/>
      <c r="B39" s="28"/>
      <c r="C39" s="28"/>
      <c r="D39" s="28"/>
    </row>
    <row r="40" spans="1:4" ht="12.75" customHeight="1" x14ac:dyDescent="0.35">
      <c r="A40" s="28"/>
      <c r="B40" s="28"/>
      <c r="C40" s="28"/>
      <c r="D40" s="28"/>
    </row>
    <row r="41" spans="1:4" ht="12.75" customHeight="1" x14ac:dyDescent="0.35">
      <c r="A41" s="28"/>
      <c r="B41" s="28"/>
      <c r="C41" s="28" t="s">
        <v>77</v>
      </c>
      <c r="D41" s="28"/>
    </row>
    <row r="42" spans="1:4" ht="12.75" customHeight="1" x14ac:dyDescent="0.35">
      <c r="A42" s="28"/>
      <c r="B42" s="28"/>
      <c r="C42" s="28"/>
      <c r="D42" s="28"/>
    </row>
    <row r="43" spans="1:4" ht="12.75" customHeight="1" x14ac:dyDescent="0.35">
      <c r="A43" s="28"/>
      <c r="B43" s="28"/>
      <c r="C43" s="28"/>
      <c r="D43" s="28"/>
    </row>
    <row r="44" spans="1:4" ht="12.75" customHeight="1" x14ac:dyDescent="0.35">
      <c r="A44" s="28"/>
      <c r="B44" s="53"/>
      <c r="C44" s="28"/>
      <c r="D44" s="28"/>
    </row>
    <row r="45" spans="1:4" ht="12.75" customHeight="1" x14ac:dyDescent="0.35">
      <c r="A45" s="28"/>
      <c r="B45" s="28"/>
      <c r="C45" s="104" t="s">
        <v>83</v>
      </c>
      <c r="D45" s="28"/>
    </row>
    <row r="46" spans="1:4" ht="12.75" customHeight="1" x14ac:dyDescent="0.35">
      <c r="A46" s="28"/>
      <c r="B46" s="28"/>
      <c r="C46" s="28"/>
      <c r="D46" s="28"/>
    </row>
    <row r="47" spans="1:4" ht="12.75" customHeight="1" x14ac:dyDescent="0.35">
      <c r="A47" s="28"/>
      <c r="B47" s="28"/>
      <c r="C47" s="28"/>
      <c r="D47" s="28"/>
    </row>
    <row r="48" spans="1:4" ht="12.75" customHeight="1" x14ac:dyDescent="0.35">
      <c r="A48" s="28"/>
      <c r="B48" s="28"/>
      <c r="C48" s="28"/>
      <c r="D48" s="28"/>
    </row>
    <row r="49" spans="1:4" ht="12.75" customHeight="1" x14ac:dyDescent="0.35">
      <c r="A49" s="28"/>
      <c r="B49" s="28"/>
      <c r="C49" s="28"/>
      <c r="D49" s="28"/>
    </row>
    <row r="50" spans="1:4" ht="12.75" customHeight="1" x14ac:dyDescent="0.35">
      <c r="A50" s="28"/>
      <c r="B50" s="28"/>
      <c r="C50" s="28"/>
      <c r="D50" s="28"/>
    </row>
    <row r="51" spans="1:4" ht="12.75" customHeight="1" x14ac:dyDescent="0.35">
      <c r="A51" s="28"/>
      <c r="B51" s="28"/>
      <c r="C51" s="28" t="s">
        <v>77</v>
      </c>
      <c r="D51" s="28"/>
    </row>
    <row r="52" spans="1:4" ht="12.75" customHeight="1" x14ac:dyDescent="0.35">
      <c r="A52" s="28"/>
      <c r="B52" s="28"/>
      <c r="C52" s="28"/>
      <c r="D52" s="28"/>
    </row>
    <row r="53" spans="1:4" ht="12.75" customHeight="1" x14ac:dyDescent="0.35">
      <c r="A53" s="28"/>
      <c r="B53" s="28"/>
      <c r="C53" s="28"/>
      <c r="D53" s="28"/>
    </row>
    <row r="54" spans="1:4" ht="12.75" customHeight="1" x14ac:dyDescent="0.35">
      <c r="A54" s="28"/>
      <c r="B54" s="53"/>
      <c r="C54" s="28"/>
      <c r="D54" s="28"/>
    </row>
    <row r="55" spans="1:4" ht="12.75" customHeight="1" x14ac:dyDescent="0.35">
      <c r="A55" s="28"/>
      <c r="B55" s="28"/>
      <c r="C55" s="104" t="s">
        <v>83</v>
      </c>
      <c r="D55" s="28"/>
    </row>
    <row r="56" spans="1:4" ht="12.75" customHeight="1" x14ac:dyDescent="0.35">
      <c r="A56" s="28"/>
      <c r="B56" s="28"/>
      <c r="C56" s="28"/>
      <c r="D56" s="28"/>
    </row>
    <row r="57" spans="1:4" ht="12.75" customHeight="1" x14ac:dyDescent="0.35">
      <c r="A57" s="28"/>
      <c r="B57" s="28"/>
      <c r="C57" s="28"/>
      <c r="D57" s="28"/>
    </row>
    <row r="58" spans="1:4" ht="12.75" customHeight="1" x14ac:dyDescent="0.35">
      <c r="A58" s="28"/>
      <c r="B58" s="28"/>
      <c r="C58" s="28"/>
      <c r="D58" s="28"/>
    </row>
    <row r="59" spans="1:4" ht="12.75" customHeight="1" x14ac:dyDescent="0.35">
      <c r="A59" s="28"/>
      <c r="B59" s="28"/>
      <c r="C59" s="28"/>
      <c r="D59" s="28"/>
    </row>
    <row r="60" spans="1:4" ht="12.75" customHeight="1" x14ac:dyDescent="0.35">
      <c r="A60" s="28"/>
      <c r="B60" s="28"/>
      <c r="C60" s="28"/>
      <c r="D60" s="28"/>
    </row>
    <row r="61" spans="1:4" ht="12.75" customHeight="1" x14ac:dyDescent="0.35">
      <c r="A61" s="28"/>
      <c r="B61" s="28"/>
      <c r="C61" s="28" t="s">
        <v>77</v>
      </c>
      <c r="D61" s="28"/>
    </row>
    <row r="62" spans="1:4" ht="12.75" customHeight="1" x14ac:dyDescent="0.35">
      <c r="A62" s="28"/>
      <c r="B62" s="28"/>
      <c r="C62" s="28"/>
      <c r="D62" s="28"/>
    </row>
    <row r="63" spans="1:4" ht="12.75" customHeight="1" x14ac:dyDescent="0.35">
      <c r="A63" s="28"/>
      <c r="B63" s="28"/>
      <c r="C63" s="28"/>
      <c r="D63" s="28"/>
    </row>
    <row r="64" spans="1:4" ht="12.75" customHeight="1" x14ac:dyDescent="0.35">
      <c r="A64" s="28"/>
      <c r="B64" s="53"/>
      <c r="C64" s="28"/>
      <c r="D64" s="28"/>
    </row>
    <row r="65" spans="1:4" ht="12.75" customHeight="1" x14ac:dyDescent="0.35">
      <c r="A65" s="28"/>
      <c r="B65" s="28"/>
      <c r="C65" s="104" t="s">
        <v>83</v>
      </c>
      <c r="D65" s="28"/>
    </row>
    <row r="66" spans="1:4" ht="12.75" customHeight="1" x14ac:dyDescent="0.35">
      <c r="A66" s="28"/>
      <c r="B66" s="28"/>
      <c r="C66" s="28"/>
      <c r="D66" s="28"/>
    </row>
    <row r="67" spans="1:4" ht="12.75" customHeight="1" x14ac:dyDescent="0.35">
      <c r="A67" s="28"/>
      <c r="B67" s="28"/>
      <c r="C67" s="28"/>
      <c r="D67" s="28"/>
    </row>
    <row r="68" spans="1:4" ht="12.75" customHeight="1" x14ac:dyDescent="0.35">
      <c r="A68" s="28"/>
      <c r="B68" s="28"/>
      <c r="C68" s="28"/>
      <c r="D68" s="28"/>
    </row>
    <row r="69" spans="1:4" ht="12.75" customHeight="1" x14ac:dyDescent="0.35">
      <c r="A69" s="28"/>
      <c r="B69" s="28"/>
      <c r="C69" s="28"/>
      <c r="D69" s="28"/>
    </row>
    <row r="70" spans="1:4" ht="12.75" customHeight="1" x14ac:dyDescent="0.35">
      <c r="A70" s="28"/>
      <c r="B70" s="28"/>
      <c r="C70" s="28"/>
      <c r="D70" s="28"/>
    </row>
    <row r="71" spans="1:4" ht="12.75" customHeight="1" x14ac:dyDescent="0.35">
      <c r="A71" s="28"/>
      <c r="B71" s="28"/>
      <c r="C71" s="28" t="s">
        <v>77</v>
      </c>
      <c r="D71" s="28"/>
    </row>
    <row r="72" spans="1:4" ht="12.75" customHeight="1" x14ac:dyDescent="0.35">
      <c r="A72" s="28"/>
      <c r="B72" s="28"/>
      <c r="C72" s="28"/>
      <c r="D72" s="28"/>
    </row>
    <row r="73" spans="1:4" ht="12.75" customHeight="1" x14ac:dyDescent="0.35">
      <c r="A73" s="28"/>
      <c r="B73" s="28"/>
      <c r="C73" s="28"/>
      <c r="D73" s="28"/>
    </row>
    <row r="74" spans="1:4" ht="12.75" customHeight="1" x14ac:dyDescent="0.35">
      <c r="A74" s="28"/>
      <c r="B74" s="53"/>
      <c r="C74" s="28"/>
      <c r="D74" s="28"/>
    </row>
    <row r="75" spans="1:4" ht="12.75" customHeight="1" x14ac:dyDescent="0.35">
      <c r="A75" s="28"/>
      <c r="B75" s="28"/>
      <c r="C75" s="104" t="s">
        <v>83</v>
      </c>
      <c r="D75" s="28"/>
    </row>
    <row r="76" spans="1:4" ht="12.75" customHeight="1" x14ac:dyDescent="0.35">
      <c r="A76" s="28"/>
      <c r="B76" s="28"/>
      <c r="C76" s="28"/>
      <c r="D76" s="28"/>
    </row>
    <row r="77" spans="1:4" ht="12.75" customHeight="1" x14ac:dyDescent="0.35">
      <c r="A77" s="28"/>
      <c r="B77" s="28"/>
      <c r="C77" s="28"/>
      <c r="D77" s="28"/>
    </row>
    <row r="78" spans="1:4" ht="12.75" customHeight="1" x14ac:dyDescent="0.35">
      <c r="A78" s="28"/>
      <c r="B78" s="28"/>
      <c r="C78" s="28"/>
      <c r="D78" s="28"/>
    </row>
    <row r="79" spans="1:4" ht="12.75" customHeight="1" x14ac:dyDescent="0.35">
      <c r="A79" s="28"/>
      <c r="B79" s="28"/>
      <c r="C79" s="28"/>
      <c r="D79" s="28"/>
    </row>
    <row r="80" spans="1:4" ht="12.75" customHeight="1" x14ac:dyDescent="0.35">
      <c r="A80" s="28"/>
      <c r="B80" s="28"/>
      <c r="C80" s="28"/>
      <c r="D80" s="28"/>
    </row>
    <row r="81" spans="1:4" ht="12.75" customHeight="1" x14ac:dyDescent="0.35">
      <c r="A81" s="28"/>
      <c r="B81" s="28"/>
      <c r="C81" s="28" t="s">
        <v>77</v>
      </c>
      <c r="D81" s="28"/>
    </row>
    <row r="82" spans="1:4" ht="12.75" customHeight="1" x14ac:dyDescent="0.35">
      <c r="A82" s="28"/>
      <c r="B82" s="28"/>
      <c r="C82" s="28"/>
      <c r="D82" s="28"/>
    </row>
    <row r="83" spans="1:4" ht="12.75" customHeight="1" x14ac:dyDescent="0.35">
      <c r="A83" s="28"/>
      <c r="B83" s="28"/>
      <c r="C83" s="28"/>
      <c r="D83" s="28"/>
    </row>
    <row r="84" spans="1:4" ht="12.75" customHeight="1" x14ac:dyDescent="0.35">
      <c r="A84" s="28"/>
      <c r="B84" s="53"/>
      <c r="C84" s="28"/>
      <c r="D84" s="28"/>
    </row>
    <row r="85" spans="1:4" ht="12.75" customHeight="1" x14ac:dyDescent="0.35">
      <c r="A85" s="28"/>
      <c r="B85" s="28"/>
      <c r="C85" s="104" t="s">
        <v>83</v>
      </c>
      <c r="D85" s="28"/>
    </row>
    <row r="86" spans="1:4" ht="12.75" customHeight="1" x14ac:dyDescent="0.35">
      <c r="A86" s="28"/>
      <c r="B86" s="28"/>
      <c r="C86" s="28"/>
      <c r="D86" s="28"/>
    </row>
    <row r="87" spans="1:4" ht="12.75" customHeight="1" x14ac:dyDescent="0.35">
      <c r="A87" s="28"/>
      <c r="B87" s="28"/>
      <c r="C87" s="28"/>
      <c r="D87" s="28"/>
    </row>
    <row r="88" spans="1:4" ht="12.75" customHeight="1" x14ac:dyDescent="0.35">
      <c r="A88" s="28"/>
      <c r="B88" s="28"/>
      <c r="C88" s="28"/>
      <c r="D88" s="28"/>
    </row>
    <row r="89" spans="1:4" ht="12.75" customHeight="1" x14ac:dyDescent="0.35">
      <c r="A89" s="28"/>
      <c r="B89" s="28"/>
      <c r="C89" s="28"/>
      <c r="D89" s="28"/>
    </row>
    <row r="90" spans="1:4" ht="12.75" customHeight="1" x14ac:dyDescent="0.35">
      <c r="A90" s="28"/>
      <c r="B90" s="28"/>
      <c r="C90" s="28"/>
      <c r="D90" s="28"/>
    </row>
    <row r="91" spans="1:4" ht="12.75" customHeight="1" x14ac:dyDescent="0.35">
      <c r="A91" s="28"/>
      <c r="B91" s="28"/>
      <c r="C91" s="28" t="s">
        <v>77</v>
      </c>
      <c r="D91" s="28"/>
    </row>
    <row r="92" spans="1:4" ht="12.75" customHeight="1" x14ac:dyDescent="0.35">
      <c r="A92" s="28"/>
      <c r="B92" s="28"/>
      <c r="C92" s="28"/>
      <c r="D92" s="28"/>
    </row>
    <row r="93" spans="1:4" ht="12.75" customHeight="1" x14ac:dyDescent="0.35">
      <c r="A93" s="28"/>
      <c r="B93" s="28"/>
      <c r="C93" s="28"/>
      <c r="D93" s="28"/>
    </row>
    <row r="94" spans="1:4" ht="12.75" customHeight="1" x14ac:dyDescent="0.35">
      <c r="A94" s="28"/>
      <c r="B94" s="53"/>
      <c r="C94" s="28"/>
      <c r="D94" s="28"/>
    </row>
    <row r="95" spans="1:4" ht="12.75" customHeight="1" x14ac:dyDescent="0.35">
      <c r="A95" s="28"/>
      <c r="B95" s="28"/>
      <c r="C95" s="104" t="s">
        <v>83</v>
      </c>
      <c r="D95" s="28"/>
    </row>
    <row r="96" spans="1:4" ht="12.75" customHeight="1" x14ac:dyDescent="0.35">
      <c r="A96" s="28"/>
      <c r="B96" s="28"/>
      <c r="C96" s="28"/>
      <c r="D96" s="28"/>
    </row>
    <row r="97" spans="1:4" ht="12.75" customHeight="1" x14ac:dyDescent="0.35">
      <c r="A97" s="28"/>
      <c r="B97" s="28"/>
      <c r="C97" s="28"/>
      <c r="D97" s="28"/>
    </row>
    <row r="98" spans="1:4" ht="12.75" customHeight="1" x14ac:dyDescent="0.35">
      <c r="A98" s="28"/>
      <c r="B98" s="28"/>
      <c r="C98" s="28"/>
      <c r="D98" s="28"/>
    </row>
    <row r="99" spans="1:4" ht="12.75" customHeight="1" x14ac:dyDescent="0.35">
      <c r="A99" s="28"/>
      <c r="B99" s="28"/>
      <c r="C99" s="28"/>
      <c r="D99" s="28"/>
    </row>
    <row r="100" spans="1:4" ht="12.75" customHeight="1" x14ac:dyDescent="0.35">
      <c r="A100" s="28"/>
      <c r="B100" s="28"/>
      <c r="C100" s="28"/>
      <c r="D100" s="28"/>
    </row>
    <row r="101" spans="1:4" ht="12.75" customHeight="1" x14ac:dyDescent="0.35">
      <c r="A101" s="28"/>
      <c r="B101" s="28"/>
      <c r="C101" s="28" t="s">
        <v>77</v>
      </c>
      <c r="D101" s="28"/>
    </row>
    <row r="102" spans="1:4" ht="12.75" customHeight="1" x14ac:dyDescent="0.35">
      <c r="A102" s="28"/>
      <c r="B102" s="28"/>
      <c r="C102" s="28"/>
      <c r="D102" s="28"/>
    </row>
    <row r="103" spans="1:4" ht="12.75" customHeight="1" x14ac:dyDescent="0.35">
      <c r="A103" s="28"/>
      <c r="B103" s="28"/>
      <c r="C103" s="28"/>
      <c r="D103" s="28"/>
    </row>
    <row r="104" spans="1:4" ht="12.75" customHeight="1" x14ac:dyDescent="0.35">
      <c r="A104" s="28"/>
      <c r="B104" s="53"/>
      <c r="C104" s="28"/>
      <c r="D104" s="28"/>
    </row>
    <row r="105" spans="1:4" ht="12.75" customHeight="1" x14ac:dyDescent="0.35">
      <c r="A105" s="28"/>
      <c r="B105" s="28"/>
      <c r="C105" s="104" t="s">
        <v>83</v>
      </c>
      <c r="D105" s="28"/>
    </row>
    <row r="106" spans="1:4" ht="12.75" customHeight="1" x14ac:dyDescent="0.35">
      <c r="A106" s="28"/>
      <c r="B106" s="28"/>
      <c r="C106" s="28"/>
      <c r="D106" s="28"/>
    </row>
    <row r="107" spans="1:4" ht="12.75" customHeight="1" x14ac:dyDescent="0.35">
      <c r="A107" s="28"/>
      <c r="B107" s="28"/>
      <c r="C107" s="28"/>
      <c r="D107" s="28"/>
    </row>
    <row r="108" spans="1:4" ht="12.75" customHeight="1" x14ac:dyDescent="0.35">
      <c r="A108" s="28"/>
      <c r="B108" s="28"/>
      <c r="C108" s="28"/>
      <c r="D108" s="28"/>
    </row>
    <row r="109" spans="1:4" ht="12.75" customHeight="1" x14ac:dyDescent="0.35">
      <c r="A109" s="28"/>
      <c r="B109" s="28"/>
      <c r="C109" s="28"/>
      <c r="D109" s="28"/>
    </row>
    <row r="110" spans="1:4" ht="12.75" customHeight="1" x14ac:dyDescent="0.35">
      <c r="A110" s="28"/>
      <c r="B110" s="28"/>
      <c r="C110" s="28"/>
      <c r="D110" s="28"/>
    </row>
    <row r="111" spans="1:4" ht="12.75" customHeight="1" x14ac:dyDescent="0.35">
      <c r="A111" s="28"/>
      <c r="B111" s="28"/>
      <c r="C111" s="28" t="s">
        <v>77</v>
      </c>
      <c r="D111" s="28"/>
    </row>
    <row r="112" spans="1:4" ht="12.75" customHeight="1" x14ac:dyDescent="0.35">
      <c r="A112" s="28"/>
      <c r="B112" s="28"/>
      <c r="C112" s="28"/>
      <c r="D112" s="28"/>
    </row>
    <row r="113" spans="1:4" ht="12.75" customHeight="1" x14ac:dyDescent="0.35">
      <c r="A113" s="28"/>
      <c r="B113" s="28"/>
      <c r="C113" s="28"/>
      <c r="D113" s="28"/>
    </row>
    <row r="114" spans="1:4" ht="12.75" customHeight="1" x14ac:dyDescent="0.35">
      <c r="A114" s="28"/>
      <c r="B114" s="53"/>
      <c r="C114" s="28"/>
      <c r="D114" s="28"/>
    </row>
    <row r="115" spans="1:4" ht="12.75" customHeight="1" x14ac:dyDescent="0.35">
      <c r="A115" s="28"/>
      <c r="B115" s="28"/>
      <c r="C115" s="104" t="s">
        <v>83</v>
      </c>
      <c r="D115" s="28"/>
    </row>
    <row r="116" spans="1:4" ht="12.75" customHeight="1" x14ac:dyDescent="0.35">
      <c r="A116" s="28"/>
      <c r="B116" s="28"/>
      <c r="C116" s="28"/>
      <c r="D116" s="28"/>
    </row>
    <row r="117" spans="1:4" ht="12.75" customHeight="1" x14ac:dyDescent="0.35">
      <c r="A117" s="28"/>
      <c r="B117" s="28"/>
      <c r="C117" s="28"/>
      <c r="D117" s="28"/>
    </row>
    <row r="118" spans="1:4" ht="12.75" customHeight="1" x14ac:dyDescent="0.35">
      <c r="A118" s="28"/>
      <c r="B118" s="28"/>
      <c r="C118" s="28"/>
      <c r="D118" s="28"/>
    </row>
    <row r="119" spans="1:4" ht="12.75" customHeight="1" x14ac:dyDescent="0.35">
      <c r="A119" s="28"/>
      <c r="B119" s="28"/>
      <c r="C119" s="28"/>
      <c r="D119" s="28"/>
    </row>
    <row r="120" spans="1:4" ht="12.75" customHeight="1" x14ac:dyDescent="0.35">
      <c r="A120" s="28"/>
      <c r="B120" s="28"/>
      <c r="C120" s="28"/>
      <c r="D120" s="28"/>
    </row>
    <row r="121" spans="1:4" ht="12.75" customHeight="1" x14ac:dyDescent="0.35">
      <c r="A121" s="28"/>
      <c r="B121" s="28"/>
      <c r="C121" s="28" t="s">
        <v>77</v>
      </c>
      <c r="D121" s="28"/>
    </row>
    <row r="122" spans="1:4" ht="12.75" customHeight="1" x14ac:dyDescent="0.35">
      <c r="A122" s="28"/>
      <c r="B122" s="28"/>
      <c r="C122" s="28"/>
      <c r="D122" s="28"/>
    </row>
    <row r="123" spans="1:4" ht="12.75" customHeight="1" x14ac:dyDescent="0.35">
      <c r="A123" s="28"/>
      <c r="B123" s="28"/>
      <c r="C123" s="28"/>
      <c r="D123" s="28"/>
    </row>
    <row r="124" spans="1:4" ht="12.75" customHeight="1" x14ac:dyDescent="0.35">
      <c r="A124" s="28"/>
      <c r="B124" s="53"/>
      <c r="C124" s="28"/>
      <c r="D124" s="28"/>
    </row>
    <row r="125" spans="1:4" ht="12.75" customHeight="1" x14ac:dyDescent="0.35">
      <c r="A125" s="28"/>
      <c r="B125" s="28"/>
      <c r="C125" s="104" t="s">
        <v>83</v>
      </c>
      <c r="D125" s="28"/>
    </row>
    <row r="126" spans="1:4" ht="12.75" customHeight="1" x14ac:dyDescent="0.35">
      <c r="A126" s="28"/>
      <c r="B126" s="28"/>
      <c r="C126" s="28"/>
      <c r="D126" s="28"/>
    </row>
    <row r="127" spans="1:4" ht="12.75" customHeight="1" x14ac:dyDescent="0.35">
      <c r="A127" s="28"/>
      <c r="B127" s="28"/>
      <c r="C127" s="28"/>
      <c r="D127" s="28"/>
    </row>
    <row r="128" spans="1:4" ht="12.75" customHeight="1" x14ac:dyDescent="0.35">
      <c r="A128" s="28"/>
      <c r="B128" s="28"/>
      <c r="C128" s="28"/>
      <c r="D128" s="28"/>
    </row>
    <row r="129" spans="1:4" ht="12.75" customHeight="1" x14ac:dyDescent="0.35">
      <c r="A129" s="28"/>
      <c r="B129" s="28"/>
      <c r="C129" s="28"/>
      <c r="D129" s="28"/>
    </row>
    <row r="130" spans="1:4" ht="12.75" customHeight="1" x14ac:dyDescent="0.35">
      <c r="A130" s="28"/>
      <c r="B130" s="28"/>
      <c r="C130" s="28"/>
      <c r="D130" s="28"/>
    </row>
    <row r="131" spans="1:4" ht="12.75" customHeight="1" x14ac:dyDescent="0.35">
      <c r="A131" s="28"/>
      <c r="B131" s="28"/>
      <c r="C131" s="28" t="s">
        <v>77</v>
      </c>
      <c r="D131" s="28"/>
    </row>
    <row r="132" spans="1:4" ht="12.75" customHeight="1" x14ac:dyDescent="0.35">
      <c r="A132" s="28"/>
      <c r="B132" s="28"/>
      <c r="C132" s="28"/>
      <c r="D132" s="28"/>
    </row>
    <row r="133" spans="1:4" ht="12.75" customHeight="1" x14ac:dyDescent="0.35">
      <c r="A133" s="28"/>
      <c r="B133" s="28"/>
      <c r="C133" s="28"/>
      <c r="D133" s="28"/>
    </row>
    <row r="134" spans="1:4" ht="12.75" customHeight="1" x14ac:dyDescent="0.35">
      <c r="A134" s="28"/>
      <c r="B134" s="53"/>
      <c r="C134" s="28"/>
      <c r="D134" s="28"/>
    </row>
    <row r="135" spans="1:4" ht="12.75" customHeight="1" x14ac:dyDescent="0.35">
      <c r="A135" s="28"/>
      <c r="B135" s="28"/>
      <c r="C135" s="104" t="s">
        <v>83</v>
      </c>
      <c r="D135" s="28"/>
    </row>
    <row r="136" spans="1:4" ht="12.75" customHeight="1" x14ac:dyDescent="0.35">
      <c r="A136" s="28"/>
      <c r="B136" s="28"/>
      <c r="C136" s="28"/>
      <c r="D136" s="28"/>
    </row>
    <row r="137" spans="1:4" ht="12.75" customHeight="1" x14ac:dyDescent="0.35">
      <c r="A137" s="28"/>
      <c r="B137" s="28"/>
      <c r="C137" s="28"/>
      <c r="D137" s="28"/>
    </row>
    <row r="138" spans="1:4" ht="12.75" customHeight="1" x14ac:dyDescent="0.35">
      <c r="A138" s="28"/>
      <c r="B138" s="28"/>
      <c r="C138" s="28"/>
      <c r="D138" s="28"/>
    </row>
    <row r="139" spans="1:4" ht="12.75" customHeight="1" x14ac:dyDescent="0.35">
      <c r="A139" s="28"/>
      <c r="B139" s="28"/>
      <c r="C139" s="28"/>
      <c r="D139" s="28"/>
    </row>
    <row r="140" spans="1:4" ht="12.75" customHeight="1" x14ac:dyDescent="0.35">
      <c r="A140" s="28"/>
      <c r="B140" s="28"/>
      <c r="C140" s="28"/>
      <c r="D140" s="28"/>
    </row>
    <row r="141" spans="1:4" ht="12.75" customHeight="1" x14ac:dyDescent="0.35">
      <c r="A141" s="28"/>
      <c r="B141" s="28"/>
      <c r="C141" s="28" t="s">
        <v>77</v>
      </c>
      <c r="D141" s="28"/>
    </row>
    <row r="142" spans="1:4" ht="12.75" customHeight="1" x14ac:dyDescent="0.35">
      <c r="A142" s="28"/>
      <c r="B142" s="28"/>
      <c r="C142" s="28"/>
      <c r="D142" s="28"/>
    </row>
    <row r="143" spans="1:4" ht="12.75" customHeight="1" x14ac:dyDescent="0.35">
      <c r="A143" s="28"/>
      <c r="B143" s="28"/>
      <c r="C143" s="28"/>
      <c r="D143" s="28"/>
    </row>
    <row r="144" spans="1:4" ht="12.75" customHeight="1" x14ac:dyDescent="0.35">
      <c r="A144" s="28"/>
      <c r="B144" s="53"/>
      <c r="C144" s="28"/>
      <c r="D144" s="28"/>
    </row>
    <row r="145" spans="1:4" ht="12.75" customHeight="1" x14ac:dyDescent="0.35">
      <c r="A145" s="28"/>
      <c r="B145" s="28"/>
      <c r="C145" s="104" t="s">
        <v>83</v>
      </c>
      <c r="D145" s="28"/>
    </row>
    <row r="146" spans="1:4" ht="12.75" customHeight="1" x14ac:dyDescent="0.35">
      <c r="A146" s="28"/>
      <c r="B146" s="28"/>
      <c r="C146" s="28"/>
      <c r="D146" s="28"/>
    </row>
    <row r="147" spans="1:4" ht="12.75" customHeight="1" x14ac:dyDescent="0.35">
      <c r="A147" s="28"/>
      <c r="B147" s="28"/>
      <c r="C147" s="28"/>
      <c r="D147" s="28"/>
    </row>
    <row r="148" spans="1:4" ht="12.75" customHeight="1" x14ac:dyDescent="0.35">
      <c r="A148" s="28"/>
      <c r="B148" s="28"/>
      <c r="C148" s="28"/>
      <c r="D148" s="28"/>
    </row>
    <row r="149" spans="1:4" ht="12.75" customHeight="1" x14ac:dyDescent="0.35">
      <c r="A149" s="28"/>
      <c r="B149" s="28"/>
      <c r="C149" s="28"/>
      <c r="D149" s="28"/>
    </row>
    <row r="150" spans="1:4" ht="12.75" customHeight="1" x14ac:dyDescent="0.35">
      <c r="A150" s="28"/>
      <c r="B150" s="28" t="s">
        <v>75</v>
      </c>
      <c r="C150" s="28"/>
      <c r="D150" s="28"/>
    </row>
    <row r="151" spans="1:4" ht="12.75" customHeight="1" x14ac:dyDescent="0.35">
      <c r="A151" s="28"/>
      <c r="B151" s="28"/>
      <c r="C151" s="28" t="s">
        <v>77</v>
      </c>
      <c r="D151" s="28"/>
    </row>
    <row r="152" spans="1:4" ht="12.75" customHeight="1" x14ac:dyDescent="0.35">
      <c r="A152" s="28"/>
      <c r="B152" s="28"/>
      <c r="C152" s="28"/>
      <c r="D152" s="28"/>
    </row>
    <row r="153" spans="1:4" ht="12.75" customHeight="1" x14ac:dyDescent="0.35">
      <c r="A153" s="28"/>
      <c r="B153" s="28"/>
      <c r="C153" s="28"/>
      <c r="D153" s="28"/>
    </row>
    <row r="154" spans="1:4" ht="12.75" customHeight="1" x14ac:dyDescent="0.35">
      <c r="A154" s="28"/>
      <c r="B154" s="53" t="s">
        <v>75</v>
      </c>
      <c r="C154" s="28"/>
      <c r="D154" s="28"/>
    </row>
    <row r="155" spans="1:4" ht="12.75" customHeight="1" x14ac:dyDescent="0.35">
      <c r="A155" s="28"/>
      <c r="B155" s="28"/>
      <c r="C155" s="104" t="s">
        <v>83</v>
      </c>
      <c r="D155" s="28"/>
    </row>
    <row r="156" spans="1:4" ht="12.75" customHeight="1" x14ac:dyDescent="0.35">
      <c r="A156" s="28"/>
      <c r="B156" s="28"/>
      <c r="C156" s="28"/>
      <c r="D156" s="28"/>
    </row>
    <row r="157" spans="1:4" ht="12.75" customHeight="1" x14ac:dyDescent="0.35">
      <c r="A157" s="28"/>
      <c r="B157" s="28"/>
      <c r="C157" s="28"/>
      <c r="D157" s="28"/>
    </row>
    <row r="158" spans="1:4" ht="12.75" customHeight="1" x14ac:dyDescent="0.35">
      <c r="A158" s="28"/>
      <c r="B158" s="28"/>
      <c r="C158" s="28"/>
      <c r="D158" s="28"/>
    </row>
    <row r="159" spans="1:4" ht="12.75" customHeight="1" x14ac:dyDescent="0.35">
      <c r="A159" s="28"/>
      <c r="B159" s="28"/>
      <c r="C159" s="28"/>
      <c r="D159" s="28"/>
    </row>
    <row r="160" spans="1:4" ht="12.75" customHeight="1" x14ac:dyDescent="0.35">
      <c r="A160" s="28"/>
      <c r="B160" s="28" t="s">
        <v>75</v>
      </c>
      <c r="C160" s="28"/>
      <c r="D160" s="28"/>
    </row>
    <row r="161" spans="1:4" ht="12.75" customHeight="1" x14ac:dyDescent="0.35">
      <c r="A161" s="28"/>
      <c r="B161" s="28"/>
      <c r="C161" s="28" t="s">
        <v>77</v>
      </c>
      <c r="D161" s="28"/>
    </row>
    <row r="162" spans="1:4" ht="12.75" customHeight="1" x14ac:dyDescent="0.35">
      <c r="A162" s="28"/>
      <c r="B162" s="28"/>
      <c r="C162" s="28"/>
      <c r="D162" s="28"/>
    </row>
    <row r="163" spans="1:4" ht="12.75" customHeight="1" x14ac:dyDescent="0.35">
      <c r="A163" s="28"/>
      <c r="B163" s="28"/>
      <c r="C163" s="28"/>
      <c r="D163" s="28"/>
    </row>
    <row r="164" spans="1:4" ht="12.75" customHeight="1" x14ac:dyDescent="0.35">
      <c r="A164" s="28"/>
      <c r="B164" s="53" t="s">
        <v>75</v>
      </c>
      <c r="C164" s="28"/>
      <c r="D164" s="28"/>
    </row>
    <row r="165" spans="1:4" ht="12.75" customHeight="1" x14ac:dyDescent="0.35">
      <c r="A165" s="28"/>
      <c r="B165" s="28"/>
      <c r="C165" s="104" t="s">
        <v>83</v>
      </c>
      <c r="D165" s="28"/>
    </row>
    <row r="166" spans="1:4" ht="12.75" customHeight="1" x14ac:dyDescent="0.35">
      <c r="A166" s="28"/>
      <c r="B166" s="28"/>
      <c r="C166" s="28"/>
      <c r="D166" s="28"/>
    </row>
    <row r="167" spans="1:4" ht="12.75" customHeight="1" x14ac:dyDescent="0.35">
      <c r="A167" s="28"/>
      <c r="B167" s="28"/>
      <c r="C167" s="28"/>
      <c r="D167" s="28"/>
    </row>
    <row r="168" spans="1:4" ht="12.75" customHeight="1" x14ac:dyDescent="0.35">
      <c r="A168" s="28"/>
      <c r="B168" s="28"/>
      <c r="C168" s="28"/>
      <c r="D168" s="28"/>
    </row>
    <row r="169" spans="1:4" ht="12.75" customHeight="1" x14ac:dyDescent="0.35">
      <c r="A169" s="28"/>
      <c r="B169" s="28"/>
      <c r="C169" s="28"/>
      <c r="D169" s="28"/>
    </row>
    <row r="170" spans="1:4" ht="12.75" customHeight="1" x14ac:dyDescent="0.35">
      <c r="A170" s="28"/>
      <c r="B170" s="28" t="s">
        <v>75</v>
      </c>
      <c r="C170" s="28"/>
      <c r="D170" s="28"/>
    </row>
    <row r="171" spans="1:4" ht="12.75" customHeight="1" x14ac:dyDescent="0.35">
      <c r="A171" s="28"/>
      <c r="B171" s="28"/>
      <c r="C171" s="28" t="s">
        <v>77</v>
      </c>
      <c r="D171" s="28"/>
    </row>
    <row r="172" spans="1:4" ht="12.75" customHeight="1" x14ac:dyDescent="0.35">
      <c r="A172" s="28"/>
      <c r="B172" s="28"/>
      <c r="C172" s="28"/>
      <c r="D172" s="28"/>
    </row>
    <row r="173" spans="1:4" ht="12.75" customHeight="1" x14ac:dyDescent="0.35">
      <c r="A173" s="28"/>
      <c r="B173" s="28"/>
      <c r="C173" s="28"/>
      <c r="D173" s="28"/>
    </row>
    <row r="174" spans="1:4" ht="12.75" customHeight="1" x14ac:dyDescent="0.35">
      <c r="A174" s="28"/>
      <c r="B174" s="53" t="s">
        <v>75</v>
      </c>
      <c r="C174" s="28"/>
      <c r="D174" s="28"/>
    </row>
    <row r="175" spans="1:4" ht="12.75" customHeight="1" x14ac:dyDescent="0.35">
      <c r="A175" s="28"/>
      <c r="B175" s="28"/>
      <c r="C175" s="104" t="s">
        <v>83</v>
      </c>
      <c r="D175" s="28"/>
    </row>
    <row r="176" spans="1:4" ht="12.75" customHeight="1" x14ac:dyDescent="0.35">
      <c r="A176" s="28"/>
      <c r="B176" s="28"/>
      <c r="C176" s="28"/>
      <c r="D176" s="28"/>
    </row>
    <row r="177" spans="1:4" ht="12.75" customHeight="1" x14ac:dyDescent="0.35">
      <c r="A177" s="28"/>
      <c r="B177" s="28"/>
      <c r="C177" s="28"/>
      <c r="D177" s="28"/>
    </row>
    <row r="178" spans="1:4" ht="12.75" customHeight="1" x14ac:dyDescent="0.35">
      <c r="A178" s="28"/>
      <c r="B178" s="28"/>
      <c r="C178" s="28"/>
      <c r="D178" s="28"/>
    </row>
    <row r="179" spans="1:4" ht="12.75" customHeight="1" x14ac:dyDescent="0.35">
      <c r="A179" s="28"/>
      <c r="B179" s="28"/>
      <c r="C179" s="28"/>
      <c r="D179" s="28"/>
    </row>
    <row r="180" spans="1:4" ht="12.75" customHeight="1" x14ac:dyDescent="0.35">
      <c r="A180" s="28"/>
      <c r="B180" s="28" t="s">
        <v>75</v>
      </c>
      <c r="C180" s="28"/>
      <c r="D180" s="28"/>
    </row>
    <row r="181" spans="1:4" ht="12.75" customHeight="1" x14ac:dyDescent="0.35">
      <c r="A181" s="28"/>
      <c r="B181" s="28"/>
      <c r="C181" s="28" t="s">
        <v>77</v>
      </c>
      <c r="D181" s="28"/>
    </row>
    <row r="182" spans="1:4" ht="12.75" customHeight="1" x14ac:dyDescent="0.35">
      <c r="A182" s="28"/>
      <c r="B182" s="28"/>
      <c r="C182" s="28"/>
      <c r="D182" s="28"/>
    </row>
    <row r="183" spans="1:4" ht="12.75" customHeight="1" x14ac:dyDescent="0.35">
      <c r="A183" s="28"/>
      <c r="B183" s="28"/>
      <c r="C183" s="28"/>
      <c r="D183" s="28"/>
    </row>
    <row r="184" spans="1:4" ht="12.75" customHeight="1" x14ac:dyDescent="0.35">
      <c r="A184" s="28"/>
      <c r="B184" s="53" t="s">
        <v>75</v>
      </c>
      <c r="C184" s="28"/>
      <c r="D184" s="28"/>
    </row>
    <row r="185" spans="1:4" ht="12.75" customHeight="1" x14ac:dyDescent="0.35">
      <c r="A185" s="28"/>
      <c r="B185" s="28"/>
      <c r="C185" s="104" t="s">
        <v>83</v>
      </c>
      <c r="D185" s="28"/>
    </row>
    <row r="186" spans="1:4" ht="12.75" customHeight="1" x14ac:dyDescent="0.35">
      <c r="A186" s="28"/>
      <c r="B186" s="28"/>
      <c r="C186" s="28"/>
      <c r="D186" s="28"/>
    </row>
    <row r="187" spans="1:4" ht="12.75" customHeight="1" x14ac:dyDescent="0.35">
      <c r="A187" s="28"/>
      <c r="B187" s="28"/>
      <c r="C187" s="28"/>
      <c r="D187" s="28"/>
    </row>
    <row r="188" spans="1:4" ht="12.75" customHeight="1" x14ac:dyDescent="0.35">
      <c r="A188" s="28"/>
      <c r="B188" s="28"/>
      <c r="C188" s="28"/>
      <c r="D188" s="28"/>
    </row>
    <row r="189" spans="1:4" ht="12.75" customHeight="1" x14ac:dyDescent="0.35">
      <c r="A189" s="28"/>
      <c r="B189" s="28"/>
      <c r="C189" s="28"/>
      <c r="D189" s="28"/>
    </row>
    <row r="190" spans="1:4" ht="12.75" customHeight="1" x14ac:dyDescent="0.35">
      <c r="A190" s="28"/>
      <c r="B190" s="28" t="s">
        <v>75</v>
      </c>
      <c r="C190" s="28"/>
      <c r="D190" s="28"/>
    </row>
    <row r="191" spans="1:4" ht="12.75" customHeight="1" x14ac:dyDescent="0.35">
      <c r="A191" s="28"/>
      <c r="B191" s="28"/>
      <c r="C191" s="28" t="s">
        <v>77</v>
      </c>
      <c r="D191" s="28"/>
    </row>
    <row r="192" spans="1:4" ht="12.75" customHeight="1" x14ac:dyDescent="0.35">
      <c r="A192" s="28"/>
      <c r="B192" s="28"/>
      <c r="C192" s="28"/>
      <c r="D192" s="28"/>
    </row>
    <row r="193" spans="1:4" ht="12.75" customHeight="1" x14ac:dyDescent="0.35">
      <c r="A193" s="28"/>
      <c r="B193" s="28"/>
      <c r="C193" s="28"/>
      <c r="D193" s="28"/>
    </row>
    <row r="194" spans="1:4" ht="12.75" customHeight="1" x14ac:dyDescent="0.35">
      <c r="A194" s="28"/>
      <c r="B194" s="53" t="s">
        <v>75</v>
      </c>
      <c r="C194" s="28"/>
      <c r="D194" s="28"/>
    </row>
    <row r="195" spans="1:4" ht="12.75" customHeight="1" x14ac:dyDescent="0.35">
      <c r="A195" s="28"/>
      <c r="B195" s="28"/>
      <c r="C195" s="104" t="s">
        <v>83</v>
      </c>
      <c r="D195" s="28"/>
    </row>
    <row r="196" spans="1:4" ht="12.75" customHeight="1" x14ac:dyDescent="0.35">
      <c r="A196" s="28"/>
      <c r="B196" s="28"/>
      <c r="C196" s="28"/>
      <c r="D196" s="28"/>
    </row>
    <row r="197" spans="1:4" ht="12.75" customHeight="1" x14ac:dyDescent="0.35">
      <c r="A197" s="28"/>
      <c r="B197" s="28"/>
      <c r="C197" s="28"/>
      <c r="D197" s="28"/>
    </row>
    <row r="198" spans="1:4" ht="12.75" customHeight="1" x14ac:dyDescent="0.35">
      <c r="A198" s="28"/>
      <c r="B198" s="28"/>
      <c r="C198" s="28"/>
      <c r="D198" s="28"/>
    </row>
    <row r="199" spans="1:4" ht="12.75" customHeight="1" x14ac:dyDescent="0.35">
      <c r="A199" s="28"/>
      <c r="B199" s="28"/>
      <c r="C199" s="28"/>
      <c r="D199" s="28"/>
    </row>
    <row r="200" spans="1:4" ht="12.75" customHeight="1" x14ac:dyDescent="0.35">
      <c r="A200" s="28"/>
      <c r="B200" s="28" t="s">
        <v>75</v>
      </c>
      <c r="C200" s="28"/>
      <c r="D200" s="28"/>
    </row>
    <row r="201" spans="1:4" ht="12.75" customHeight="1" x14ac:dyDescent="0.35">
      <c r="A201" s="28"/>
      <c r="B201" s="28"/>
      <c r="C201" s="28" t="s">
        <v>77</v>
      </c>
      <c r="D201" s="28"/>
    </row>
    <row r="202" spans="1:4" ht="12.75" customHeight="1" x14ac:dyDescent="0.35">
      <c r="A202" s="28"/>
      <c r="B202" s="28"/>
      <c r="C202" s="28"/>
      <c r="D202" s="28"/>
    </row>
    <row r="203" spans="1:4" ht="12.75" customHeight="1" x14ac:dyDescent="0.35">
      <c r="A203" s="28"/>
      <c r="B203" s="28"/>
      <c r="C203" s="28"/>
      <c r="D203" s="28"/>
    </row>
    <row r="204" spans="1:4" ht="12.75" customHeight="1" x14ac:dyDescent="0.35">
      <c r="A204" s="28"/>
      <c r="B204" s="53" t="s">
        <v>75</v>
      </c>
      <c r="C204" s="28"/>
      <c r="D204" s="28"/>
    </row>
    <row r="205" spans="1:4" ht="12.75" customHeight="1" x14ac:dyDescent="0.35">
      <c r="A205" s="28"/>
      <c r="B205" s="28"/>
      <c r="C205" s="104" t="s">
        <v>83</v>
      </c>
      <c r="D205" s="28"/>
    </row>
    <row r="206" spans="1:4" ht="12.75" customHeight="1" x14ac:dyDescent="0.35">
      <c r="A206" s="28"/>
      <c r="B206" s="28"/>
      <c r="C206" s="28"/>
      <c r="D206" s="28"/>
    </row>
    <row r="207" spans="1:4" ht="12.75" customHeight="1" x14ac:dyDescent="0.35">
      <c r="A207" s="28"/>
      <c r="B207" s="28"/>
      <c r="C207" s="28"/>
      <c r="D207" s="28"/>
    </row>
    <row r="208" spans="1:4" ht="12.75" customHeight="1" x14ac:dyDescent="0.35">
      <c r="A208" s="28"/>
      <c r="B208" s="28"/>
      <c r="C208" s="28"/>
      <c r="D208" s="28"/>
    </row>
    <row r="209" spans="1:4" ht="12.75" customHeight="1" x14ac:dyDescent="0.35">
      <c r="A209" s="28"/>
      <c r="B209" s="28"/>
      <c r="C209" s="28"/>
      <c r="D209" s="28"/>
    </row>
    <row r="210" spans="1:4" ht="12.75" customHeight="1" x14ac:dyDescent="0.35">
      <c r="A210" s="28"/>
      <c r="B210" s="28" t="s">
        <v>75</v>
      </c>
      <c r="C210" s="28"/>
      <c r="D210" s="28"/>
    </row>
    <row r="211" spans="1:4" ht="12.75" customHeight="1" x14ac:dyDescent="0.35">
      <c r="A211" s="28"/>
      <c r="B211" s="28"/>
      <c r="C211" s="28" t="s">
        <v>77</v>
      </c>
      <c r="D211" s="28"/>
    </row>
    <row r="212" spans="1:4" ht="12.75" customHeight="1" x14ac:dyDescent="0.35">
      <c r="A212" s="28"/>
      <c r="B212" s="28"/>
      <c r="C212" s="28"/>
      <c r="D212" s="28"/>
    </row>
    <row r="213" spans="1:4" ht="12.75" customHeight="1" x14ac:dyDescent="0.35">
      <c r="A213" s="28"/>
      <c r="B213" s="28"/>
      <c r="C213" s="28"/>
      <c r="D213" s="28"/>
    </row>
    <row r="214" spans="1:4" ht="12.75" customHeight="1" x14ac:dyDescent="0.35">
      <c r="A214" s="28"/>
      <c r="B214" s="53" t="s">
        <v>75</v>
      </c>
      <c r="C214" s="28"/>
      <c r="D214" s="28"/>
    </row>
    <row r="215" spans="1:4" ht="12.75" customHeight="1" x14ac:dyDescent="0.35">
      <c r="A215" s="28"/>
      <c r="B215" s="28"/>
      <c r="C215" s="104" t="s">
        <v>83</v>
      </c>
      <c r="D215" s="28"/>
    </row>
    <row r="216" spans="1:4" ht="12.75" customHeight="1" x14ac:dyDescent="0.35">
      <c r="A216" s="28"/>
      <c r="B216" s="28"/>
      <c r="C216" s="28"/>
      <c r="D216" s="28"/>
    </row>
    <row r="217" spans="1:4" ht="12.75" customHeight="1" x14ac:dyDescent="0.35">
      <c r="A217" s="28"/>
      <c r="B217" s="28"/>
      <c r="C217" s="28"/>
      <c r="D217" s="28"/>
    </row>
    <row r="218" spans="1:4" ht="12.75" customHeight="1" x14ac:dyDescent="0.35">
      <c r="A218" s="28"/>
      <c r="B218" s="28"/>
      <c r="C218" s="28"/>
      <c r="D218" s="28"/>
    </row>
    <row r="219" spans="1:4" ht="12.75" customHeight="1" x14ac:dyDescent="0.35">
      <c r="A219" s="28"/>
      <c r="B219" s="28"/>
      <c r="C219" s="28"/>
      <c r="D219" s="28"/>
    </row>
    <row r="220" spans="1:4" ht="12.75" customHeight="1" x14ac:dyDescent="0.35">
      <c r="A220" s="28"/>
      <c r="B220" s="28" t="s">
        <v>75</v>
      </c>
      <c r="C220" s="28"/>
      <c r="D220" s="28"/>
    </row>
    <row r="221" spans="1:4" ht="12.75" customHeight="1" x14ac:dyDescent="0.35">
      <c r="A221" s="28"/>
      <c r="B221" s="28"/>
      <c r="C221" s="28" t="s">
        <v>77</v>
      </c>
      <c r="D221" s="28"/>
    </row>
    <row r="222" spans="1:4" ht="12.75" customHeight="1" x14ac:dyDescent="0.35">
      <c r="A222" s="28"/>
      <c r="B222" s="28"/>
      <c r="C222" s="28"/>
      <c r="D222" s="28"/>
    </row>
    <row r="223" spans="1:4" ht="12.75" customHeight="1" x14ac:dyDescent="0.35">
      <c r="A223" s="28"/>
      <c r="B223" s="28"/>
      <c r="C223" s="28"/>
      <c r="D223" s="28"/>
    </row>
    <row r="224" spans="1:4" ht="12.75" customHeight="1" x14ac:dyDescent="0.35">
      <c r="A224" s="28"/>
      <c r="B224" s="53" t="s">
        <v>75</v>
      </c>
      <c r="C224" s="28"/>
      <c r="D224" s="28"/>
    </row>
    <row r="225" spans="1:4" ht="12.75" customHeight="1" x14ac:dyDescent="0.35">
      <c r="A225" s="28"/>
      <c r="B225" s="28"/>
      <c r="C225" s="104" t="s">
        <v>83</v>
      </c>
      <c r="D225" s="28"/>
    </row>
    <row r="226" spans="1:4" ht="12.75" customHeight="1" x14ac:dyDescent="0.35">
      <c r="A226" s="28"/>
      <c r="B226" s="28"/>
      <c r="C226" s="28"/>
      <c r="D226" s="28"/>
    </row>
    <row r="227" spans="1:4" ht="12.75" customHeight="1" x14ac:dyDescent="0.35">
      <c r="A227" s="28"/>
      <c r="B227" s="28"/>
      <c r="C227" s="28"/>
      <c r="D227" s="28"/>
    </row>
    <row r="228" spans="1:4" ht="12.75" customHeight="1" x14ac:dyDescent="0.35">
      <c r="A228" s="28"/>
      <c r="B228" s="28"/>
      <c r="C228" s="28"/>
      <c r="D228" s="28"/>
    </row>
    <row r="229" spans="1:4" ht="12.75" customHeight="1" x14ac:dyDescent="0.35">
      <c r="A229" s="28"/>
      <c r="B229" s="28"/>
      <c r="D229" s="28"/>
    </row>
    <row r="230" spans="1:4" ht="12.75" customHeight="1" x14ac:dyDescent="0.35">
      <c r="A230" s="28"/>
      <c r="B230" s="28" t="s">
        <v>75</v>
      </c>
      <c r="C230" s="28"/>
      <c r="D230" s="28"/>
    </row>
    <row r="231" spans="1:4" ht="12.75" customHeight="1" x14ac:dyDescent="0.35">
      <c r="A231" s="28"/>
      <c r="B231" s="28"/>
      <c r="C231" s="28" t="s">
        <v>77</v>
      </c>
      <c r="D231" s="28"/>
    </row>
    <row r="232" spans="1:4" ht="12.75" customHeight="1" x14ac:dyDescent="0.35">
      <c r="A232" s="28"/>
      <c r="B232" s="28"/>
      <c r="C232" s="28"/>
      <c r="D232" s="28"/>
    </row>
    <row r="233" spans="1:4" ht="12.75" customHeight="1" x14ac:dyDescent="0.35">
      <c r="A233" s="28"/>
      <c r="B233" s="28"/>
      <c r="C233" s="28"/>
      <c r="D233" s="28"/>
    </row>
    <row r="234" spans="1:4" ht="12.75" customHeight="1" x14ac:dyDescent="0.35">
      <c r="A234" s="28"/>
      <c r="B234" s="53" t="s">
        <v>75</v>
      </c>
      <c r="C234" s="28"/>
      <c r="D234" s="28"/>
    </row>
    <row r="235" spans="1:4" ht="12.75" customHeight="1" x14ac:dyDescent="0.35">
      <c r="A235" s="28"/>
      <c r="B235" s="28"/>
      <c r="C235" s="104" t="s">
        <v>83</v>
      </c>
      <c r="D235" s="28"/>
    </row>
    <row r="236" spans="1:4" ht="12.75" customHeight="1" x14ac:dyDescent="0.35">
      <c r="A236" s="28"/>
      <c r="B236" s="28"/>
      <c r="C236" s="28"/>
      <c r="D236" s="28"/>
    </row>
    <row r="237" spans="1:4" ht="12.75" customHeight="1" x14ac:dyDescent="0.35">
      <c r="A237" s="28"/>
      <c r="B237" s="28"/>
      <c r="C237" s="28"/>
      <c r="D237" s="28"/>
    </row>
    <row r="238" spans="1:4" ht="12.75" customHeight="1" x14ac:dyDescent="0.35">
      <c r="A238" s="28"/>
      <c r="B238" s="28"/>
      <c r="C238" s="28"/>
      <c r="D238" s="28"/>
    </row>
    <row r="239" spans="1:4" ht="12.75" customHeight="1" x14ac:dyDescent="0.35">
      <c r="A239" s="28"/>
      <c r="B239" s="28"/>
      <c r="C239" s="28"/>
      <c r="D239" s="28"/>
    </row>
    <row r="240" spans="1:4" ht="12.75" customHeight="1" x14ac:dyDescent="0.35">
      <c r="A240" s="28"/>
      <c r="B240" s="28" t="s">
        <v>75</v>
      </c>
      <c r="C240" s="28"/>
      <c r="D240" s="28"/>
    </row>
    <row r="241" spans="1:4" ht="12.75" customHeight="1" x14ac:dyDescent="0.35">
      <c r="A241" s="28"/>
      <c r="B241" s="28"/>
      <c r="C241" s="28" t="s">
        <v>77</v>
      </c>
      <c r="D241" s="28"/>
    </row>
    <row r="242" spans="1:4" ht="12.75" customHeight="1" x14ac:dyDescent="0.35">
      <c r="A242" s="28"/>
      <c r="B242" s="28"/>
      <c r="C242" s="28"/>
      <c r="D242" s="28"/>
    </row>
    <row r="243" spans="1:4" ht="12.75" customHeight="1" x14ac:dyDescent="0.35">
      <c r="A243" s="28"/>
      <c r="B243" s="28"/>
      <c r="C243" s="28"/>
      <c r="D243" s="28"/>
    </row>
    <row r="244" spans="1:4" ht="12.75" customHeight="1" x14ac:dyDescent="0.35">
      <c r="A244" s="28"/>
      <c r="B244" s="53" t="s">
        <v>75</v>
      </c>
      <c r="C244" s="28"/>
      <c r="D244" s="28"/>
    </row>
    <row r="245" spans="1:4" ht="12.75" customHeight="1" x14ac:dyDescent="0.35">
      <c r="A245" s="28"/>
      <c r="B245" s="28"/>
      <c r="C245" s="104" t="s">
        <v>83</v>
      </c>
      <c r="D245" s="28"/>
    </row>
    <row r="246" spans="1:4" ht="12.75" customHeight="1" x14ac:dyDescent="0.35">
      <c r="A246" s="28"/>
      <c r="B246" s="28"/>
      <c r="C246" s="28"/>
      <c r="D246" s="28"/>
    </row>
    <row r="247" spans="1:4" ht="12.75" customHeight="1" x14ac:dyDescent="0.35">
      <c r="A247" s="28"/>
      <c r="B247" s="28"/>
      <c r="C247" s="28"/>
      <c r="D247" s="28"/>
    </row>
    <row r="248" spans="1:4" ht="12.75" customHeight="1" x14ac:dyDescent="0.35">
      <c r="A248" s="28"/>
      <c r="B248" s="28"/>
      <c r="C248" s="28"/>
      <c r="D248" s="28"/>
    </row>
    <row r="249" spans="1:4" ht="12.75" customHeight="1" x14ac:dyDescent="0.35">
      <c r="A249" s="28"/>
      <c r="B249" s="28"/>
      <c r="C249" s="28"/>
      <c r="D249" s="28"/>
    </row>
    <row r="250" spans="1:4" ht="12.75" customHeight="1" x14ac:dyDescent="0.35">
      <c r="A250" s="28"/>
      <c r="B250" s="28" t="s">
        <v>75</v>
      </c>
      <c r="C250" s="28"/>
      <c r="D250" s="28"/>
    </row>
    <row r="251" spans="1:4" ht="12.75" customHeight="1" x14ac:dyDescent="0.35">
      <c r="A251" s="28"/>
      <c r="B251" s="28"/>
      <c r="C251" s="28" t="s">
        <v>77</v>
      </c>
      <c r="D251" s="28"/>
    </row>
    <row r="252" spans="1:4" ht="12.75" customHeight="1" x14ac:dyDescent="0.35">
      <c r="A252" s="28"/>
      <c r="B252" s="28"/>
      <c r="C252" s="28"/>
      <c r="D252" s="28"/>
    </row>
    <row r="253" spans="1:4" ht="12.75" customHeight="1" x14ac:dyDescent="0.35">
      <c r="A253" s="28"/>
      <c r="B253" s="28"/>
      <c r="C253" s="28"/>
      <c r="D253" s="28"/>
    </row>
    <row r="254" spans="1:4" ht="12.75" customHeight="1" x14ac:dyDescent="0.35">
      <c r="A254" s="28"/>
      <c r="B254" s="53" t="s">
        <v>75</v>
      </c>
      <c r="C254" s="28"/>
      <c r="D254" s="28"/>
    </row>
    <row r="255" spans="1:4" ht="12.75" customHeight="1" x14ac:dyDescent="0.35">
      <c r="A255" s="28"/>
      <c r="B255" s="28"/>
      <c r="C255" s="104" t="s">
        <v>83</v>
      </c>
      <c r="D255" s="28"/>
    </row>
    <row r="256" spans="1:4" ht="12.75" customHeight="1" x14ac:dyDescent="0.35">
      <c r="A256" s="28"/>
      <c r="B256" s="28"/>
      <c r="C256" s="28"/>
      <c r="D256" s="28"/>
    </row>
    <row r="257" spans="1:4" ht="12.75" customHeight="1" x14ac:dyDescent="0.35">
      <c r="A257" s="28"/>
      <c r="B257" s="28"/>
      <c r="C257" s="28"/>
      <c r="D257" s="28"/>
    </row>
    <row r="258" spans="1:4" ht="12.75" customHeight="1" x14ac:dyDescent="0.35">
      <c r="A258" s="28"/>
      <c r="B258" s="28"/>
      <c r="C258" s="28"/>
      <c r="D258" s="28"/>
    </row>
    <row r="259" spans="1:4" ht="12.75" customHeight="1" x14ac:dyDescent="0.35">
      <c r="A259" s="28"/>
      <c r="B259" s="28"/>
      <c r="C259" s="28"/>
      <c r="D259" s="28"/>
    </row>
    <row r="260" spans="1:4" ht="12.75" customHeight="1" x14ac:dyDescent="0.35">
      <c r="A260" s="28"/>
      <c r="B260" s="28" t="s">
        <v>75</v>
      </c>
      <c r="C260" s="28"/>
      <c r="D260" s="28"/>
    </row>
    <row r="261" spans="1:4" ht="12.75" customHeight="1" x14ac:dyDescent="0.35">
      <c r="A261" s="28"/>
      <c r="B261" s="28"/>
      <c r="C261" s="28" t="s">
        <v>77</v>
      </c>
      <c r="D261" s="28"/>
    </row>
    <row r="262" spans="1:4" ht="12.75" customHeight="1" x14ac:dyDescent="0.35">
      <c r="A262" s="28"/>
      <c r="B262" s="28"/>
      <c r="C262" s="28"/>
      <c r="D262" s="28"/>
    </row>
    <row r="263" spans="1:4" ht="12.75" customHeight="1" x14ac:dyDescent="0.35">
      <c r="A263" s="28"/>
      <c r="B263" s="28"/>
      <c r="C263" s="28"/>
      <c r="D263" s="28"/>
    </row>
    <row r="264" spans="1:4" ht="12.75" customHeight="1" x14ac:dyDescent="0.35">
      <c r="A264" s="28"/>
      <c r="B264" s="53" t="s">
        <v>75</v>
      </c>
      <c r="C264" s="28"/>
      <c r="D264" s="28"/>
    </row>
    <row r="265" spans="1:4" ht="12.75" customHeight="1" x14ac:dyDescent="0.35">
      <c r="A265" s="28"/>
      <c r="B265" s="28"/>
      <c r="C265" s="104" t="s">
        <v>83</v>
      </c>
      <c r="D265" s="28"/>
    </row>
    <row r="266" spans="1:4" ht="12.75" customHeight="1" x14ac:dyDescent="0.35">
      <c r="A266" s="28"/>
      <c r="B266" s="28"/>
      <c r="C266" s="28"/>
      <c r="D266" s="28"/>
    </row>
    <row r="267" spans="1:4" ht="12.75" customHeight="1" x14ac:dyDescent="0.35">
      <c r="A267" s="28"/>
      <c r="B267" s="28"/>
      <c r="C267" s="28"/>
      <c r="D267" s="28"/>
    </row>
    <row r="268" spans="1:4" ht="12.75" customHeight="1" x14ac:dyDescent="0.35">
      <c r="A268" s="28"/>
      <c r="B268" s="28"/>
      <c r="C268" s="28"/>
      <c r="D268" s="28"/>
    </row>
    <row r="269" spans="1:4" ht="12.75" customHeight="1" x14ac:dyDescent="0.35">
      <c r="A269" s="28"/>
      <c r="B269" s="28"/>
      <c r="C269" s="28"/>
      <c r="D269" s="28"/>
    </row>
    <row r="270" spans="1:4" ht="12.75" customHeight="1" x14ac:dyDescent="0.35">
      <c r="A270" s="28"/>
      <c r="B270" s="28" t="s">
        <v>75</v>
      </c>
      <c r="C270" s="28"/>
      <c r="D270" s="28"/>
    </row>
    <row r="271" spans="1:4" ht="12.75" customHeight="1" x14ac:dyDescent="0.35">
      <c r="A271" s="28"/>
      <c r="B271" s="28"/>
      <c r="C271" s="28" t="s">
        <v>77</v>
      </c>
      <c r="D271" s="28"/>
    </row>
    <row r="272" spans="1:4" ht="12.75" customHeight="1" x14ac:dyDescent="0.35">
      <c r="A272" s="28"/>
      <c r="B272" s="28"/>
      <c r="C272" s="28"/>
      <c r="D272" s="28"/>
    </row>
    <row r="273" spans="1:4" ht="12.75" customHeight="1" x14ac:dyDescent="0.35">
      <c r="A273" s="28"/>
      <c r="B273" s="28"/>
      <c r="C273" s="28"/>
      <c r="D273" s="28"/>
    </row>
    <row r="274" spans="1:4" ht="12.75" customHeight="1" x14ac:dyDescent="0.35">
      <c r="A274" s="28"/>
      <c r="B274" s="53" t="s">
        <v>75</v>
      </c>
      <c r="C274" s="28"/>
      <c r="D274" s="28"/>
    </row>
    <row r="275" spans="1:4" ht="12.75" customHeight="1" x14ac:dyDescent="0.35">
      <c r="A275" s="28"/>
      <c r="B275" s="28"/>
      <c r="C275" s="104" t="s">
        <v>83</v>
      </c>
      <c r="D275" s="28"/>
    </row>
    <row r="276" spans="1:4" ht="12.75" customHeight="1" x14ac:dyDescent="0.35">
      <c r="A276" s="28"/>
      <c r="B276" s="28"/>
      <c r="C276" s="28"/>
      <c r="D276" s="28"/>
    </row>
    <row r="277" spans="1:4" ht="12.75" customHeight="1" x14ac:dyDescent="0.35">
      <c r="A277" s="28"/>
      <c r="B277" s="28"/>
      <c r="C277" s="28"/>
      <c r="D277" s="28"/>
    </row>
    <row r="278" spans="1:4" ht="12.75" customHeight="1" x14ac:dyDescent="0.35">
      <c r="A278" s="28"/>
      <c r="B278" s="28"/>
      <c r="C278" s="28"/>
      <c r="D278" s="28"/>
    </row>
    <row r="279" spans="1:4" ht="12.75" customHeight="1" x14ac:dyDescent="0.35">
      <c r="A279" s="28"/>
      <c r="B279" s="28"/>
      <c r="C279" s="28"/>
      <c r="D279" s="28"/>
    </row>
    <row r="280" spans="1:4" ht="12.75" customHeight="1" x14ac:dyDescent="0.35">
      <c r="A280" s="28"/>
      <c r="B280" s="28" t="s">
        <v>75</v>
      </c>
      <c r="C280" s="28"/>
      <c r="D280" s="28"/>
    </row>
    <row r="281" spans="1:4" ht="12.75" customHeight="1" x14ac:dyDescent="0.35">
      <c r="A281" s="28"/>
      <c r="B281" s="28"/>
      <c r="C281" s="28" t="s">
        <v>77</v>
      </c>
      <c r="D281" s="28"/>
    </row>
    <row r="282" spans="1:4" ht="12.75" customHeight="1" x14ac:dyDescent="0.35">
      <c r="A282" s="28"/>
      <c r="B282" s="28"/>
      <c r="C282" s="28"/>
      <c r="D282" s="28"/>
    </row>
    <row r="283" spans="1:4" ht="12.75" customHeight="1" x14ac:dyDescent="0.35">
      <c r="A283" s="28"/>
      <c r="B283" s="28"/>
      <c r="C283" s="28"/>
      <c r="D283" s="28"/>
    </row>
    <row r="284" spans="1:4" ht="12.75" customHeight="1" x14ac:dyDescent="0.35">
      <c r="A284" s="28"/>
      <c r="B284" s="53" t="s">
        <v>75</v>
      </c>
      <c r="C284" s="28"/>
      <c r="D284" s="28"/>
    </row>
    <row r="285" spans="1:4" ht="12.75" customHeight="1" x14ac:dyDescent="0.35">
      <c r="A285" s="28"/>
      <c r="B285" s="28"/>
      <c r="C285" s="104" t="s">
        <v>83</v>
      </c>
      <c r="D285" s="28"/>
    </row>
    <row r="286" spans="1:4" ht="12.75" customHeight="1" x14ac:dyDescent="0.35">
      <c r="A286" s="28"/>
      <c r="B286" s="28"/>
      <c r="C286" s="28"/>
      <c r="D286" s="28"/>
    </row>
    <row r="287" spans="1:4" ht="12.75" customHeight="1" x14ac:dyDescent="0.35">
      <c r="A287" s="28"/>
      <c r="B287" s="28"/>
      <c r="C287" s="28"/>
      <c r="D287" s="28"/>
    </row>
    <row r="288" spans="1:4" ht="12.75" customHeight="1" x14ac:dyDescent="0.35">
      <c r="A288" s="28"/>
      <c r="B288" s="28"/>
      <c r="C288" s="28"/>
      <c r="D288" s="28"/>
    </row>
    <row r="289" spans="1:4" ht="12.75" customHeight="1" x14ac:dyDescent="0.35">
      <c r="A289" s="28"/>
      <c r="B289" s="28"/>
      <c r="C289" s="28"/>
      <c r="D289" s="28"/>
    </row>
    <row r="290" spans="1:4" ht="12.75" customHeight="1" x14ac:dyDescent="0.35">
      <c r="A290" s="28"/>
      <c r="B290" s="28" t="s">
        <v>75</v>
      </c>
      <c r="C290" s="28"/>
      <c r="D290" s="28"/>
    </row>
    <row r="291" spans="1:4" ht="12.75" customHeight="1" x14ac:dyDescent="0.35">
      <c r="A291" s="28"/>
      <c r="B291" s="28"/>
      <c r="C291" s="28" t="s">
        <v>77</v>
      </c>
      <c r="D291" s="28"/>
    </row>
    <row r="292" spans="1:4" ht="12.75" customHeight="1" x14ac:dyDescent="0.35">
      <c r="A292" s="28"/>
      <c r="B292" s="28"/>
      <c r="C292" s="28"/>
      <c r="D292" s="28"/>
    </row>
    <row r="293" spans="1:4" ht="12.75" customHeight="1" x14ac:dyDescent="0.35">
      <c r="A293" s="28"/>
      <c r="B293" s="28"/>
      <c r="C293" s="28"/>
      <c r="D293" s="28"/>
    </row>
    <row r="294" spans="1:4" ht="12.75" customHeight="1" x14ac:dyDescent="0.35">
      <c r="A294" s="28"/>
      <c r="B294" s="53" t="s">
        <v>75</v>
      </c>
      <c r="C294" s="28"/>
      <c r="D294" s="28"/>
    </row>
    <row r="295" spans="1:4" ht="12.75" customHeight="1" x14ac:dyDescent="0.35">
      <c r="A295" s="28"/>
      <c r="B295" s="28"/>
      <c r="C295" s="104" t="s">
        <v>83</v>
      </c>
      <c r="D295" s="28"/>
    </row>
    <row r="296" spans="1:4" ht="12.75" customHeight="1" x14ac:dyDescent="0.35">
      <c r="A296" s="28"/>
      <c r="B296" s="28"/>
      <c r="C296" s="28"/>
      <c r="D296" s="28"/>
    </row>
    <row r="297" spans="1:4" ht="12.75" customHeight="1" x14ac:dyDescent="0.35">
      <c r="A297" s="28"/>
      <c r="B297" s="28"/>
      <c r="C297" s="28"/>
      <c r="D297" s="28"/>
    </row>
    <row r="298" spans="1:4" ht="12.75" customHeight="1" x14ac:dyDescent="0.35">
      <c r="A298" s="28"/>
      <c r="B298" s="28"/>
      <c r="C298" s="28"/>
      <c r="D298" s="28"/>
    </row>
    <row r="299" spans="1:4" ht="12.75" customHeight="1" x14ac:dyDescent="0.35">
      <c r="A299" s="28"/>
      <c r="B299" s="28"/>
      <c r="C299" s="28"/>
      <c r="D299" s="28"/>
    </row>
    <row r="300" spans="1:4" ht="12.75" customHeight="1" x14ac:dyDescent="0.35">
      <c r="A300" s="28"/>
      <c r="B300" s="28" t="s">
        <v>75</v>
      </c>
      <c r="C300" s="28"/>
      <c r="D300" s="28"/>
    </row>
    <row r="301" spans="1:4" ht="12.75" customHeight="1" x14ac:dyDescent="0.35">
      <c r="A301" s="28"/>
      <c r="B301" s="28"/>
      <c r="C301" s="28" t="s">
        <v>77</v>
      </c>
      <c r="D301" s="28"/>
    </row>
    <row r="302" spans="1:4" ht="12.75" customHeight="1" x14ac:dyDescent="0.35">
      <c r="A302" s="28"/>
      <c r="B302" s="28"/>
      <c r="C302" s="28"/>
      <c r="D302" s="28"/>
    </row>
    <row r="303" spans="1:4" ht="12.75" customHeight="1" x14ac:dyDescent="0.35">
      <c r="A303" s="28"/>
      <c r="B303" s="28"/>
      <c r="C303" s="28"/>
      <c r="D303" s="28"/>
    </row>
    <row r="304" spans="1:4" ht="12.75" customHeight="1" x14ac:dyDescent="0.35">
      <c r="A304" s="28"/>
      <c r="B304" s="53" t="s">
        <v>75</v>
      </c>
      <c r="C304" s="28"/>
      <c r="D304" s="28"/>
    </row>
    <row r="305" spans="1:4" ht="12.75" customHeight="1" x14ac:dyDescent="0.35">
      <c r="A305" s="28"/>
      <c r="B305" s="28"/>
      <c r="C305" s="104" t="s">
        <v>83</v>
      </c>
      <c r="D305" s="28"/>
    </row>
    <row r="306" spans="1:4" ht="12.75" customHeight="1" x14ac:dyDescent="0.35">
      <c r="A306" s="28"/>
      <c r="B306" s="28"/>
      <c r="C306" s="28"/>
      <c r="D306" s="28"/>
    </row>
    <row r="307" spans="1:4" ht="12.75" customHeight="1" x14ac:dyDescent="0.35">
      <c r="A307" s="28"/>
      <c r="B307" s="28"/>
      <c r="C307" s="28"/>
      <c r="D307" s="28"/>
    </row>
    <row r="308" spans="1:4" ht="12.75" customHeight="1" x14ac:dyDescent="0.35">
      <c r="A308" s="28"/>
      <c r="B308" s="28"/>
      <c r="C308" s="28"/>
      <c r="D308" s="28"/>
    </row>
    <row r="309" spans="1:4" ht="12.75" customHeight="1" x14ac:dyDescent="0.35">
      <c r="A309" s="28"/>
      <c r="B309" s="28"/>
      <c r="C309" s="28"/>
      <c r="D309" s="28"/>
    </row>
    <row r="310" spans="1:4" ht="12.75" customHeight="1" x14ac:dyDescent="0.35">
      <c r="A310" s="28"/>
      <c r="B310" s="28" t="s">
        <v>75</v>
      </c>
      <c r="C310" s="28"/>
      <c r="D310" s="28"/>
    </row>
    <row r="311" spans="1:4" ht="12.75" customHeight="1" x14ac:dyDescent="0.35">
      <c r="A311" s="28"/>
      <c r="B311" s="28"/>
      <c r="C311" s="28" t="s">
        <v>77</v>
      </c>
      <c r="D311" s="28"/>
    </row>
    <row r="312" spans="1:4" ht="12.75" customHeight="1" x14ac:dyDescent="0.35">
      <c r="A312" s="28"/>
      <c r="B312" s="28"/>
      <c r="C312" s="28"/>
      <c r="D312" s="28"/>
    </row>
    <row r="313" spans="1:4" ht="12.75" customHeight="1" x14ac:dyDescent="0.35">
      <c r="A313" s="28"/>
      <c r="B313" s="28"/>
      <c r="C313" s="28"/>
      <c r="D313" s="28"/>
    </row>
    <row r="314" spans="1:4" ht="12.75" customHeight="1" x14ac:dyDescent="0.35">
      <c r="A314" s="28"/>
      <c r="B314" s="53" t="s">
        <v>75</v>
      </c>
      <c r="C314" s="28"/>
      <c r="D314" s="28"/>
    </row>
    <row r="315" spans="1:4" ht="12.75" customHeight="1" x14ac:dyDescent="0.35">
      <c r="A315" s="28"/>
      <c r="B315" s="28"/>
      <c r="C315" s="104" t="s">
        <v>83</v>
      </c>
      <c r="D315" s="28"/>
    </row>
    <row r="316" spans="1:4" ht="12.75" customHeight="1" x14ac:dyDescent="0.35">
      <c r="A316" s="28"/>
      <c r="B316" s="28"/>
      <c r="C316" s="28"/>
      <c r="D316" s="28"/>
    </row>
    <row r="317" spans="1:4" ht="12.75" customHeight="1" x14ac:dyDescent="0.35">
      <c r="A317" s="28"/>
      <c r="B317" s="28"/>
      <c r="C317" s="28"/>
      <c r="D317" s="28"/>
    </row>
    <row r="318" spans="1:4" ht="12.75" customHeight="1" x14ac:dyDescent="0.35">
      <c r="A318" s="28"/>
      <c r="B318" s="28" t="s">
        <v>390</v>
      </c>
      <c r="C318" s="28"/>
      <c r="D318" s="28"/>
    </row>
    <row r="319" spans="1:4" ht="12.75" customHeight="1" x14ac:dyDescent="0.35">
      <c r="A319" s="28"/>
      <c r="B319" s="28" t="s">
        <v>393</v>
      </c>
      <c r="C319" s="28"/>
      <c r="D319" s="28"/>
    </row>
    <row r="320" spans="1:4" ht="12.75" customHeight="1" x14ac:dyDescent="0.35">
      <c r="A320" s="28"/>
      <c r="B320" s="28" t="s">
        <v>395</v>
      </c>
      <c r="C320" s="28"/>
      <c r="D320" s="28"/>
    </row>
    <row r="321" spans="1:4" ht="12.75" customHeight="1" x14ac:dyDescent="0.35">
      <c r="A321" s="28"/>
      <c r="B321" s="28" t="s">
        <v>397</v>
      </c>
      <c r="C321" s="28"/>
      <c r="D321" s="28"/>
    </row>
    <row r="322" spans="1:4" ht="12.75" customHeight="1" x14ac:dyDescent="0.35">
      <c r="A322" s="28"/>
      <c r="B322" s="28" t="s">
        <v>77</v>
      </c>
      <c r="C322" s="28"/>
      <c r="D322" s="28"/>
    </row>
    <row r="323" spans="1:4" ht="12.75" customHeight="1" x14ac:dyDescent="0.35">
      <c r="A323" s="28"/>
      <c r="B323" s="28" t="s">
        <v>400</v>
      </c>
      <c r="C323" s="28"/>
      <c r="D323" s="28"/>
    </row>
    <row r="324" spans="1:4" ht="12.75" customHeight="1" x14ac:dyDescent="0.35">
      <c r="A324" s="28"/>
      <c r="B324" s="28" t="s">
        <v>393</v>
      </c>
      <c r="C324" s="28"/>
      <c r="D324" s="28"/>
    </row>
    <row r="325" spans="1:4" ht="12.75" customHeight="1" x14ac:dyDescent="0.35">
      <c r="A325" s="28"/>
      <c r="B325" s="28" t="s">
        <v>67</v>
      </c>
      <c r="C325" s="28"/>
      <c r="D325" s="28"/>
    </row>
    <row r="326" spans="1:4" ht="12.75" customHeight="1" x14ac:dyDescent="0.35">
      <c r="A326" s="28"/>
      <c r="B326" s="28" t="s">
        <v>397</v>
      </c>
      <c r="C326" s="28"/>
      <c r="D326" s="28"/>
    </row>
    <row r="327" spans="1:4" ht="12.75" customHeight="1" x14ac:dyDescent="0.35">
      <c r="A327" s="28"/>
      <c r="B327" s="28" t="s">
        <v>83</v>
      </c>
      <c r="C327" s="28"/>
      <c r="D327" s="28"/>
    </row>
    <row r="328" spans="1:4" ht="12.75" customHeight="1" x14ac:dyDescent="0.35">
      <c r="A328" s="28"/>
      <c r="B328" s="28"/>
      <c r="C328" s="28"/>
      <c r="D328" s="28"/>
    </row>
    <row r="329" spans="1:4" ht="12.75" customHeight="1" x14ac:dyDescent="0.35">
      <c r="A329" s="28"/>
      <c r="B329" s="28" t="s">
        <v>407</v>
      </c>
      <c r="C329" s="28"/>
      <c r="D329" s="28"/>
    </row>
    <row r="330" spans="1:4" ht="12.75" customHeight="1" x14ac:dyDescent="0.35">
      <c r="A330" s="28"/>
      <c r="B330" s="28" t="s">
        <v>409</v>
      </c>
      <c r="C330" s="28"/>
      <c r="D330" s="28"/>
    </row>
    <row r="331" spans="1:4" ht="12.75" customHeight="1" x14ac:dyDescent="0.35">
      <c r="A331" s="28"/>
      <c r="B331" s="28" t="s">
        <v>412</v>
      </c>
      <c r="C331" s="28"/>
      <c r="D331" s="28"/>
    </row>
    <row r="332" spans="1:4" ht="12.75" customHeight="1" x14ac:dyDescent="0.35">
      <c r="A332" s="28"/>
      <c r="B332" s="28" t="s">
        <v>414</v>
      </c>
      <c r="C332" s="28"/>
      <c r="D332" s="28"/>
    </row>
    <row r="333" spans="1:4" ht="12.75" customHeight="1" x14ac:dyDescent="0.35">
      <c r="A333" s="28"/>
      <c r="B333" s="28" t="s">
        <v>416</v>
      </c>
      <c r="C333" s="28"/>
      <c r="D333" s="28"/>
    </row>
    <row r="334" spans="1:4" ht="12.75" customHeight="1" x14ac:dyDescent="0.35">
      <c r="A334" s="28"/>
      <c r="B334" s="28"/>
      <c r="C334" s="28"/>
      <c r="D334" s="28"/>
    </row>
    <row r="335" spans="1:4" ht="12.75" customHeight="1" x14ac:dyDescent="0.35">
      <c r="A335" s="28"/>
      <c r="B335" s="28" t="s">
        <v>418</v>
      </c>
      <c r="C335" s="28"/>
      <c r="D335" s="28" t="s">
        <v>419</v>
      </c>
    </row>
    <row r="336" spans="1:4" ht="12.75" customHeight="1" x14ac:dyDescent="0.35">
      <c r="A336" s="28"/>
      <c r="B336" s="28" t="s">
        <v>421</v>
      </c>
      <c r="C336" s="28"/>
      <c r="D336" s="28"/>
    </row>
    <row r="337" spans="1:4" ht="12.75" customHeight="1" x14ac:dyDescent="0.35">
      <c r="A337" s="28"/>
      <c r="B337" s="28" t="s">
        <v>423</v>
      </c>
      <c r="C337" s="28"/>
      <c r="D337" s="28"/>
    </row>
    <row r="338" spans="1:4" ht="12.75" customHeight="1" x14ac:dyDescent="0.35">
      <c r="A338" s="28"/>
      <c r="B338" s="28" t="s">
        <v>425</v>
      </c>
      <c r="C338" s="28"/>
      <c r="D338" s="28"/>
    </row>
    <row r="339" spans="1:4" ht="12.75" customHeight="1" x14ac:dyDescent="0.35">
      <c r="A339" s="28"/>
      <c r="B339" s="28" t="s">
        <v>428</v>
      </c>
      <c r="C339" s="28"/>
      <c r="D339" s="28"/>
    </row>
    <row r="340" spans="1:4" ht="12.75" customHeight="1" x14ac:dyDescent="0.35">
      <c r="A340" s="28"/>
      <c r="B340" s="28" t="s">
        <v>430</v>
      </c>
      <c r="C340" s="28"/>
      <c r="D340" s="28"/>
    </row>
    <row r="341" spans="1:4" ht="12.75" customHeight="1" x14ac:dyDescent="0.35">
      <c r="A341" s="28"/>
      <c r="B341" s="28" t="s">
        <v>432</v>
      </c>
      <c r="C341" s="28"/>
      <c r="D341" s="28"/>
    </row>
    <row r="342" spans="1:4" ht="12.75" customHeight="1" x14ac:dyDescent="0.35">
      <c r="A342" s="28"/>
      <c r="B342" s="28" t="s">
        <v>434</v>
      </c>
      <c r="C342" s="28"/>
      <c r="D342" s="28"/>
    </row>
    <row r="343" spans="1:4" ht="12.75" customHeight="1" x14ac:dyDescent="0.35">
      <c r="A343" s="28"/>
      <c r="B343" s="28" t="s">
        <v>436</v>
      </c>
      <c r="C343" s="28"/>
      <c r="D343" s="28"/>
    </row>
    <row r="344" spans="1:4" ht="12.75" customHeight="1" x14ac:dyDescent="0.35">
      <c r="A344" s="28"/>
      <c r="B344" s="28" t="s">
        <v>438</v>
      </c>
      <c r="C344" s="28"/>
      <c r="D344" s="28"/>
    </row>
    <row r="345" spans="1:4" ht="12.75" customHeight="1" x14ac:dyDescent="0.35">
      <c r="A345" s="28"/>
      <c r="B345" s="28" t="s">
        <v>440</v>
      </c>
      <c r="C345" s="28"/>
      <c r="D345" s="28"/>
    </row>
    <row r="346" spans="1:4" ht="12.75" customHeight="1" x14ac:dyDescent="0.35">
      <c r="A346" s="28"/>
      <c r="B346" s="28" t="s">
        <v>442</v>
      </c>
      <c r="C346" s="28"/>
      <c r="D346" s="28"/>
    </row>
    <row r="347" spans="1:4" ht="12.75" customHeight="1" x14ac:dyDescent="0.35">
      <c r="A347" s="28"/>
      <c r="B347" s="28"/>
      <c r="C347" s="28" t="s">
        <v>445</v>
      </c>
      <c r="D347" s="28"/>
    </row>
    <row r="348" spans="1:4" ht="12.75" customHeight="1" x14ac:dyDescent="0.35">
      <c r="A348" s="28"/>
      <c r="B348" s="28"/>
      <c r="C348" s="28"/>
      <c r="D348" s="28"/>
    </row>
    <row r="349" spans="1:4" ht="12.75" customHeight="1" x14ac:dyDescent="0.35">
      <c r="A349" s="28"/>
      <c r="B349" s="28"/>
      <c r="C349" s="28" t="s">
        <v>449</v>
      </c>
      <c r="D349" s="28"/>
    </row>
    <row r="350" spans="1:4" ht="12.75" customHeight="1" x14ac:dyDescent="0.35">
      <c r="A350" s="28"/>
      <c r="B350" s="28"/>
      <c r="C350" s="28" t="s">
        <v>395</v>
      </c>
      <c r="D350" s="28"/>
    </row>
    <row r="351" spans="1:4" ht="12.75" customHeight="1" x14ac:dyDescent="0.35">
      <c r="A351" s="28"/>
      <c r="B351" s="28"/>
      <c r="C351" s="28" t="s">
        <v>452</v>
      </c>
      <c r="D351" s="28"/>
    </row>
    <row r="352" spans="1:4" ht="12.75" customHeight="1" x14ac:dyDescent="0.35">
      <c r="A352" s="28"/>
      <c r="B352" s="28"/>
      <c r="C352" s="28"/>
      <c r="D352" s="28"/>
    </row>
    <row r="353" spans="1:4" ht="12.75" customHeight="1" x14ac:dyDescent="0.35">
      <c r="A353" s="28"/>
      <c r="B353" s="28"/>
      <c r="C353" s="28"/>
      <c r="D353" s="28"/>
    </row>
    <row r="354" spans="1:4" ht="12.75" customHeight="1" x14ac:dyDescent="0.35">
      <c r="A354" s="28"/>
      <c r="B354" s="28"/>
      <c r="C354" s="28"/>
      <c r="D354" s="28"/>
    </row>
    <row r="355" spans="1:4" ht="12.75" customHeight="1" x14ac:dyDescent="0.35">
      <c r="A355" s="28"/>
      <c r="B355" s="28"/>
      <c r="C355" s="28"/>
      <c r="D355" s="28"/>
    </row>
    <row r="356" spans="1:4" ht="12.75" customHeight="1" x14ac:dyDescent="0.35">
      <c r="A356" s="28"/>
      <c r="B356" s="28"/>
      <c r="C356" s="28"/>
      <c r="D356" s="28"/>
    </row>
    <row r="357" spans="1:4" ht="12.75" customHeight="1" x14ac:dyDescent="0.35">
      <c r="A357" s="28"/>
      <c r="B357" s="28"/>
      <c r="C357" s="28"/>
      <c r="D357" s="28"/>
    </row>
    <row r="358" spans="1:4" ht="12.75" customHeight="1" x14ac:dyDescent="0.35">
      <c r="A358" s="28"/>
      <c r="B358" s="28"/>
      <c r="C358" s="28"/>
      <c r="D358" s="28"/>
    </row>
    <row r="359" spans="1:4" ht="12.75" customHeight="1" x14ac:dyDescent="0.35">
      <c r="A359" s="28"/>
      <c r="B359" s="28"/>
      <c r="C359" s="28"/>
      <c r="D359" s="28"/>
    </row>
    <row r="360" spans="1:4" ht="12.75" customHeight="1" x14ac:dyDescent="0.35">
      <c r="A360" s="28"/>
      <c r="B360" s="28"/>
      <c r="C360" s="28"/>
      <c r="D360" s="28"/>
    </row>
    <row r="361" spans="1:4" ht="12.75" customHeight="1" x14ac:dyDescent="0.35">
      <c r="A361" s="28"/>
      <c r="B361" s="28"/>
      <c r="C361" s="28"/>
      <c r="D361" s="28"/>
    </row>
    <row r="362" spans="1:4" ht="12.75" customHeight="1" x14ac:dyDescent="0.35">
      <c r="A362" s="28"/>
      <c r="B362" s="28"/>
      <c r="C362" s="28"/>
      <c r="D362" s="28"/>
    </row>
    <row r="363" spans="1:4" ht="12.75" customHeight="1" x14ac:dyDescent="0.35">
      <c r="A363" s="28"/>
      <c r="B363" s="28"/>
      <c r="C363" s="28"/>
      <c r="D363" s="28"/>
    </row>
    <row r="364" spans="1:4" ht="12.75" customHeight="1" x14ac:dyDescent="0.35">
      <c r="A364" s="28"/>
      <c r="B364" s="28"/>
      <c r="C364" s="28"/>
      <c r="D364" s="28"/>
    </row>
    <row r="365" spans="1:4" ht="12.75" customHeight="1" x14ac:dyDescent="0.35">
      <c r="A365" s="28"/>
      <c r="B365" s="28"/>
      <c r="C365" s="28"/>
      <c r="D365" s="28"/>
    </row>
    <row r="366" spans="1:4" ht="12.75" customHeight="1" x14ac:dyDescent="0.35">
      <c r="A366" s="28"/>
      <c r="B366" s="28"/>
      <c r="C366" s="28"/>
      <c r="D366" s="28"/>
    </row>
    <row r="367" spans="1:4" ht="12.75" customHeight="1" x14ac:dyDescent="0.35">
      <c r="A367" s="28"/>
      <c r="B367" s="28"/>
      <c r="C367" s="28"/>
      <c r="D367" s="28"/>
    </row>
    <row r="368" spans="1:4" ht="12.75" customHeight="1" x14ac:dyDescent="0.35">
      <c r="A368" s="28"/>
      <c r="B368" s="28"/>
      <c r="C368" s="28"/>
      <c r="D368" s="28"/>
    </row>
    <row r="369" spans="1:4" ht="12.75" customHeight="1" x14ac:dyDescent="0.35">
      <c r="A369" s="28"/>
      <c r="B369" s="28"/>
      <c r="C369" s="28"/>
      <c r="D369" s="28"/>
    </row>
    <row r="370" spans="1:4" ht="12.75" customHeight="1" x14ac:dyDescent="0.35">
      <c r="A370" s="28"/>
      <c r="B370" s="28"/>
      <c r="C370" s="28"/>
      <c r="D370" s="28"/>
    </row>
    <row r="371" spans="1:4" ht="12.75" customHeight="1" x14ac:dyDescent="0.35">
      <c r="A371" s="28"/>
      <c r="B371" s="28"/>
      <c r="C371" s="28"/>
      <c r="D371" s="28"/>
    </row>
    <row r="372" spans="1:4" ht="12.75" customHeight="1" x14ac:dyDescent="0.35">
      <c r="A372" s="28"/>
      <c r="B372" s="28"/>
      <c r="C372" s="28"/>
      <c r="D372" s="28"/>
    </row>
    <row r="373" spans="1:4" ht="12.75" customHeight="1" x14ac:dyDescent="0.35">
      <c r="A373" s="28"/>
      <c r="B373" s="28"/>
      <c r="C373" s="28"/>
      <c r="D373" s="28"/>
    </row>
    <row r="374" spans="1:4" ht="12.75" customHeight="1" x14ac:dyDescent="0.35">
      <c r="A374" s="28"/>
      <c r="B374" s="28"/>
      <c r="C374" s="28"/>
      <c r="D374" s="28"/>
    </row>
    <row r="375" spans="1:4" ht="12.75" customHeight="1" x14ac:dyDescent="0.35">
      <c r="A375" s="28"/>
      <c r="B375" s="28"/>
      <c r="C375" s="28"/>
      <c r="D375" s="28"/>
    </row>
    <row r="376" spans="1:4" ht="12.75" customHeight="1" x14ac:dyDescent="0.35">
      <c r="A376" s="28"/>
      <c r="B376" s="28"/>
      <c r="C376" s="28"/>
      <c r="D376" s="28"/>
    </row>
    <row r="377" spans="1:4" ht="12.75" customHeight="1" x14ac:dyDescent="0.35">
      <c r="A377" s="28"/>
      <c r="B377" s="28"/>
      <c r="C377" s="28"/>
      <c r="D377" s="28"/>
    </row>
    <row r="378" spans="1:4" ht="12.75" customHeight="1" x14ac:dyDescent="0.35">
      <c r="A378" s="28"/>
      <c r="B378" s="28"/>
      <c r="C378" s="28"/>
      <c r="D378" s="28"/>
    </row>
    <row r="379" spans="1:4" ht="12.75" customHeight="1" x14ac:dyDescent="0.35">
      <c r="A379" s="28"/>
      <c r="B379" s="28"/>
      <c r="C379" s="28"/>
      <c r="D379" s="28"/>
    </row>
    <row r="380" spans="1:4" ht="12.75" customHeight="1" x14ac:dyDescent="0.35">
      <c r="A380" s="28"/>
      <c r="B380" s="28"/>
      <c r="C380" s="28"/>
      <c r="D380" s="28"/>
    </row>
    <row r="381" spans="1:4" ht="12.75" customHeight="1" x14ac:dyDescent="0.35">
      <c r="A381" s="28"/>
      <c r="B381" s="28"/>
      <c r="C381" s="28"/>
      <c r="D381" s="28"/>
    </row>
    <row r="382" spans="1:4" ht="12.75" customHeight="1" x14ac:dyDescent="0.35">
      <c r="A382" s="28"/>
      <c r="B382" s="28"/>
      <c r="C382" s="28"/>
      <c r="D382" s="28"/>
    </row>
    <row r="383" spans="1:4" ht="12.75" customHeight="1" x14ac:dyDescent="0.35">
      <c r="A383" s="28"/>
      <c r="B383" s="28"/>
      <c r="C383" s="28"/>
      <c r="D383" s="28"/>
    </row>
    <row r="384" spans="1:4" ht="12.75" customHeight="1" x14ac:dyDescent="0.35">
      <c r="A384" s="28"/>
      <c r="B384" s="28"/>
      <c r="C384" s="28"/>
      <c r="D384" s="28"/>
    </row>
    <row r="385" spans="1:4" ht="12.75" customHeight="1" x14ac:dyDescent="0.35">
      <c r="A385" s="28"/>
      <c r="B385" s="28"/>
      <c r="C385" s="28" t="s">
        <v>489</v>
      </c>
      <c r="D385" s="28"/>
    </row>
    <row r="386" spans="1:4" ht="12.75" customHeight="1" x14ac:dyDescent="0.35">
      <c r="A386" s="28"/>
      <c r="B386" s="28"/>
      <c r="C386" s="28"/>
      <c r="D386" s="28"/>
    </row>
    <row r="387" spans="1:4" ht="12.75" customHeight="1" x14ac:dyDescent="0.35">
      <c r="A387" s="28"/>
      <c r="B387" s="28"/>
      <c r="C387" s="28"/>
      <c r="D387" s="28"/>
    </row>
    <row r="388" spans="1:4" ht="12.75" customHeight="1" x14ac:dyDescent="0.35">
      <c r="A388" s="28"/>
      <c r="B388" s="28"/>
      <c r="C388" s="28"/>
      <c r="D388" s="28"/>
    </row>
    <row r="389" spans="1:4" ht="12.75" customHeight="1" x14ac:dyDescent="0.35">
      <c r="A389" s="28"/>
      <c r="B389" s="28"/>
      <c r="C389" s="28"/>
      <c r="D389" s="28"/>
    </row>
    <row r="390" spans="1:4" ht="12.75" customHeight="1" x14ac:dyDescent="0.35">
      <c r="A390" s="28"/>
      <c r="B390" s="28"/>
      <c r="C390" s="28"/>
      <c r="D390" s="28"/>
    </row>
    <row r="391" spans="1:4" ht="12.75" customHeight="1" x14ac:dyDescent="0.35">
      <c r="A391" s="28"/>
      <c r="B391" s="28"/>
      <c r="C391" s="28"/>
      <c r="D391" s="28"/>
    </row>
    <row r="392" spans="1:4" ht="12.75" customHeight="1" x14ac:dyDescent="0.35">
      <c r="A392" s="28"/>
      <c r="B392" s="28"/>
      <c r="C392" s="28"/>
      <c r="D392" s="28"/>
    </row>
    <row r="393" spans="1:4" ht="12.75" customHeight="1" x14ac:dyDescent="0.35">
      <c r="A393" s="28"/>
      <c r="B393" s="28"/>
      <c r="C393" s="28"/>
      <c r="D393" s="28"/>
    </row>
    <row r="394" spans="1:4" ht="12.75" customHeight="1" x14ac:dyDescent="0.35">
      <c r="A394" s="28"/>
      <c r="B394" s="28"/>
      <c r="C394" s="28"/>
      <c r="D394" s="28"/>
    </row>
    <row r="395" spans="1:4" ht="12.75" customHeight="1" x14ac:dyDescent="0.35">
      <c r="A395" s="28"/>
      <c r="B395" s="28"/>
      <c r="C395" s="28"/>
      <c r="D395" s="28"/>
    </row>
    <row r="396" spans="1:4" ht="12.75" customHeight="1" x14ac:dyDescent="0.35">
      <c r="A396" s="28"/>
      <c r="B396" s="28"/>
      <c r="C396" s="28"/>
      <c r="D396" s="28"/>
    </row>
    <row r="397" spans="1:4" ht="12.75" customHeight="1" x14ac:dyDescent="0.35">
      <c r="A397" s="28"/>
      <c r="B397" s="28"/>
      <c r="C397" s="28"/>
      <c r="D397" s="28"/>
    </row>
    <row r="398" spans="1:4" ht="12.75" customHeight="1" x14ac:dyDescent="0.35">
      <c r="A398" s="28"/>
      <c r="B398" s="28"/>
      <c r="C398" s="28"/>
      <c r="D398" s="28"/>
    </row>
    <row r="399" spans="1:4" ht="12.75" customHeight="1" x14ac:dyDescent="0.35">
      <c r="A399" s="28"/>
      <c r="B399" s="28"/>
      <c r="C399" s="28"/>
      <c r="D399" s="28"/>
    </row>
    <row r="400" spans="1:4" ht="12.75" customHeight="1" x14ac:dyDescent="0.35">
      <c r="A400" s="28"/>
      <c r="B400" s="28"/>
      <c r="C400" s="28"/>
      <c r="D400" s="28"/>
    </row>
    <row r="401" spans="1:4" ht="12.75" customHeight="1" x14ac:dyDescent="0.35">
      <c r="A401" s="28"/>
      <c r="B401" s="28"/>
      <c r="C401" s="28"/>
      <c r="D401" s="28"/>
    </row>
    <row r="402" spans="1:4" ht="12.75" customHeight="1" x14ac:dyDescent="0.35">
      <c r="A402" s="28"/>
      <c r="B402" s="28"/>
      <c r="C402" s="28"/>
      <c r="D402" s="28"/>
    </row>
    <row r="403" spans="1:4" ht="12.75" customHeight="1" x14ac:dyDescent="0.35">
      <c r="A403" s="28"/>
      <c r="B403" s="28"/>
      <c r="C403" s="28"/>
      <c r="D403" s="28"/>
    </row>
    <row r="404" spans="1:4" ht="12.75" customHeight="1" x14ac:dyDescent="0.35">
      <c r="A404" s="28"/>
      <c r="B404" s="28"/>
      <c r="C404" s="28"/>
      <c r="D404" s="28"/>
    </row>
    <row r="405" spans="1:4" ht="12.75" customHeight="1" x14ac:dyDescent="0.35">
      <c r="A405" s="28"/>
      <c r="B405" s="28"/>
      <c r="C405" s="28"/>
      <c r="D405" s="28"/>
    </row>
    <row r="406" spans="1:4" ht="12.75" customHeight="1" x14ac:dyDescent="0.35">
      <c r="A406" s="28"/>
      <c r="B406" s="28"/>
      <c r="C406" s="28"/>
      <c r="D406" s="28"/>
    </row>
    <row r="407" spans="1:4" ht="12.75" customHeight="1" x14ac:dyDescent="0.35">
      <c r="A407" s="28"/>
      <c r="B407" s="28"/>
      <c r="C407" s="28"/>
      <c r="D407" s="28"/>
    </row>
    <row r="408" spans="1:4" ht="12.75" customHeight="1" x14ac:dyDescent="0.35">
      <c r="A408" s="28"/>
      <c r="B408" s="28"/>
      <c r="C408" s="28"/>
      <c r="D408" s="28"/>
    </row>
    <row r="409" spans="1:4" ht="12.75" customHeight="1" x14ac:dyDescent="0.35">
      <c r="A409" s="28"/>
      <c r="B409" s="28"/>
      <c r="C409" s="28"/>
      <c r="D409" s="28"/>
    </row>
    <row r="410" spans="1:4" ht="12.75" customHeight="1" x14ac:dyDescent="0.35">
      <c r="A410" s="28"/>
      <c r="B410" s="28"/>
      <c r="C410" s="28"/>
      <c r="D410" s="28"/>
    </row>
    <row r="411" spans="1:4" ht="12.75" customHeight="1" x14ac:dyDescent="0.35">
      <c r="A411" s="28"/>
      <c r="B411" s="28"/>
      <c r="C411" s="28"/>
      <c r="D411" s="28"/>
    </row>
    <row r="412" spans="1:4" ht="12.75" customHeight="1" x14ac:dyDescent="0.35">
      <c r="A412" s="28"/>
      <c r="B412" s="28"/>
      <c r="C412" s="28"/>
      <c r="D412" s="28"/>
    </row>
    <row r="413" spans="1:4" ht="12.75" customHeight="1" x14ac:dyDescent="0.35">
      <c r="A413" s="28"/>
      <c r="B413" s="28"/>
      <c r="C413" s="28"/>
      <c r="D413" s="28"/>
    </row>
    <row r="414" spans="1:4" ht="12.75" customHeight="1" x14ac:dyDescent="0.35">
      <c r="A414" s="28"/>
      <c r="B414" s="28"/>
      <c r="C414" s="28"/>
      <c r="D414" s="28"/>
    </row>
    <row r="415" spans="1:4" ht="12.75" customHeight="1" x14ac:dyDescent="0.35">
      <c r="A415" s="28"/>
      <c r="B415" s="28"/>
      <c r="C415" s="28"/>
      <c r="D415" s="28"/>
    </row>
    <row r="416" spans="1:4" ht="12.75" customHeight="1" x14ac:dyDescent="0.35">
      <c r="A416" s="28"/>
      <c r="B416" s="28"/>
      <c r="C416" s="28"/>
      <c r="D416" s="28"/>
    </row>
    <row r="417" spans="1:4" ht="12.75" customHeight="1" x14ac:dyDescent="0.35">
      <c r="A417" s="28"/>
      <c r="B417" s="28"/>
      <c r="C417" s="28"/>
      <c r="D417" s="28"/>
    </row>
    <row r="418" spans="1:4" ht="12.75" customHeight="1" x14ac:dyDescent="0.35">
      <c r="A418" s="28"/>
      <c r="B418" s="28"/>
      <c r="C418" s="28"/>
      <c r="D418" s="28"/>
    </row>
    <row r="419" spans="1:4" ht="12.75" customHeight="1" x14ac:dyDescent="0.35">
      <c r="A419" s="28"/>
      <c r="B419" s="28"/>
      <c r="C419" s="28"/>
      <c r="D419" s="28"/>
    </row>
    <row r="420" spans="1:4" ht="12.75" customHeight="1" x14ac:dyDescent="0.35">
      <c r="A420" s="28"/>
      <c r="B420" s="28"/>
      <c r="C420" s="28"/>
      <c r="D420" s="28"/>
    </row>
    <row r="421" spans="1:4" ht="12.75" customHeight="1" x14ac:dyDescent="0.35">
      <c r="A421" s="28"/>
      <c r="B421" s="28"/>
      <c r="C421" s="28"/>
      <c r="D421" s="28"/>
    </row>
    <row r="422" spans="1:4" ht="12.75" customHeight="1" x14ac:dyDescent="0.35">
      <c r="A422" s="28"/>
      <c r="B422" s="28"/>
      <c r="C422" s="28" t="s">
        <v>527</v>
      </c>
      <c r="D422" s="28"/>
    </row>
    <row r="423" spans="1:4" ht="12.75" customHeight="1" x14ac:dyDescent="0.35">
      <c r="A423" s="28"/>
      <c r="B423" s="28" t="s">
        <v>529</v>
      </c>
      <c r="C423" s="28"/>
      <c r="D423" s="28"/>
    </row>
    <row r="424" spans="1:4" ht="12.75" customHeight="1" x14ac:dyDescent="0.35">
      <c r="A424" s="28"/>
      <c r="B424" s="28" t="s">
        <v>531</v>
      </c>
      <c r="C424" s="28"/>
      <c r="D424" s="28"/>
    </row>
    <row r="425" spans="1:4" ht="12.75" customHeight="1" x14ac:dyDescent="0.35">
      <c r="A425" s="28"/>
      <c r="B425" s="28" t="s">
        <v>395</v>
      </c>
      <c r="C425" s="28"/>
      <c r="D425" s="28"/>
    </row>
    <row r="426" spans="1:4" ht="12.75" customHeight="1" x14ac:dyDescent="0.35">
      <c r="A426" s="28"/>
      <c r="B426" s="28" t="s">
        <v>2566</v>
      </c>
      <c r="C426" s="28"/>
      <c r="D426" s="28"/>
    </row>
    <row r="427" spans="1:4" ht="12.75" customHeight="1" x14ac:dyDescent="0.35">
      <c r="A427" s="28"/>
      <c r="B427" s="28" t="s">
        <v>536</v>
      </c>
      <c r="C427" s="28"/>
      <c r="D427" s="28"/>
    </row>
    <row r="428" spans="1:4" ht="12.75" customHeight="1" x14ac:dyDescent="0.35">
      <c r="A428" s="28"/>
      <c r="B428" s="28" t="s">
        <v>538</v>
      </c>
      <c r="C428" s="28"/>
      <c r="D428" s="28"/>
    </row>
    <row r="429" spans="1:4" ht="12.75" customHeight="1" x14ac:dyDescent="0.35">
      <c r="A429" s="28"/>
      <c r="B429" s="28" t="s">
        <v>540</v>
      </c>
      <c r="C429" s="28"/>
      <c r="D429" s="28"/>
    </row>
    <row r="430" spans="1:4" ht="12.75" customHeight="1" x14ac:dyDescent="0.35">
      <c r="A430" s="28"/>
      <c r="B430" s="28" t="s">
        <v>542</v>
      </c>
      <c r="C430" s="28"/>
      <c r="D430" s="28"/>
    </row>
    <row r="431" spans="1:4" ht="12.75" customHeight="1" x14ac:dyDescent="0.35">
      <c r="A431" s="28"/>
      <c r="B431" s="28" t="s">
        <v>544</v>
      </c>
      <c r="C431" s="28"/>
      <c r="D431" s="28"/>
    </row>
    <row r="432" spans="1:4" ht="12.75" customHeight="1" x14ac:dyDescent="0.35">
      <c r="A432" s="28"/>
      <c r="B432" s="28" t="s">
        <v>546</v>
      </c>
      <c r="C432" s="28"/>
      <c r="D432" s="28"/>
    </row>
    <row r="433" spans="1:4" ht="12.75" customHeight="1" x14ac:dyDescent="0.35">
      <c r="A433" s="28"/>
      <c r="B433" s="28"/>
      <c r="C433" s="28"/>
      <c r="D433" s="28"/>
    </row>
    <row r="434" spans="1:4" ht="12.75" customHeight="1" x14ac:dyDescent="0.35">
      <c r="A434" s="28"/>
      <c r="B434" s="28"/>
      <c r="C434" s="28"/>
      <c r="D434" s="28"/>
    </row>
    <row r="435" spans="1:4" ht="12.75" customHeight="1" x14ac:dyDescent="0.35">
      <c r="A435" s="28"/>
      <c r="B435" s="28"/>
      <c r="C435" s="28"/>
      <c r="D435" s="28"/>
    </row>
    <row r="436" spans="1:4" ht="12.75" customHeight="1" x14ac:dyDescent="0.35">
      <c r="A436" s="28"/>
      <c r="B436" s="28"/>
      <c r="C436" s="28"/>
      <c r="D436" s="28"/>
    </row>
    <row r="437" spans="1:4" ht="12.75" customHeight="1" x14ac:dyDescent="0.35">
      <c r="A437" s="28"/>
      <c r="B437" s="28"/>
      <c r="C437" s="28"/>
      <c r="D437" s="28"/>
    </row>
    <row r="438" spans="1:4" ht="12.75" customHeight="1" x14ac:dyDescent="0.35">
      <c r="A438" s="28"/>
      <c r="B438" s="28"/>
      <c r="C438" s="28"/>
      <c r="D438" s="28"/>
    </row>
    <row r="439" spans="1:4" ht="12.75" customHeight="1" x14ac:dyDescent="0.35">
      <c r="A439" s="28"/>
      <c r="B439" s="28" t="s">
        <v>554</v>
      </c>
      <c r="C439" s="28"/>
      <c r="D439" s="28"/>
    </row>
    <row r="440" spans="1:4" ht="12.75" customHeight="1" x14ac:dyDescent="0.35">
      <c r="A440" s="28"/>
      <c r="B440" s="28"/>
      <c r="C440" s="28"/>
      <c r="D440" s="28"/>
    </row>
    <row r="441" spans="1:4" ht="12.75" customHeight="1" x14ac:dyDescent="0.35">
      <c r="A441" s="28"/>
      <c r="B441" s="28" t="s">
        <v>59</v>
      </c>
      <c r="C441" s="28"/>
      <c r="D441" s="28"/>
    </row>
    <row r="442" spans="1:4" ht="12.75" customHeight="1" x14ac:dyDescent="0.35">
      <c r="A442" s="28"/>
      <c r="B442" s="28" t="s">
        <v>558</v>
      </c>
      <c r="C442" s="28"/>
      <c r="D442" s="28"/>
    </row>
    <row r="443" spans="1:4" ht="12.75" customHeight="1" x14ac:dyDescent="0.35">
      <c r="A443" s="28"/>
      <c r="B443" s="28"/>
      <c r="C443" s="28"/>
      <c r="D443" s="28"/>
    </row>
    <row r="444" spans="1:4" ht="12.75" customHeight="1" x14ac:dyDescent="0.35">
      <c r="A444" s="28"/>
      <c r="B444" s="28"/>
      <c r="C444" s="28"/>
      <c r="D444" s="28"/>
    </row>
    <row r="445" spans="1:4" ht="12.75" customHeight="1" x14ac:dyDescent="0.35">
      <c r="A445" s="28"/>
      <c r="B445" s="28"/>
      <c r="C445" s="28"/>
      <c r="D445" s="28"/>
    </row>
    <row r="446" spans="1:4" ht="12.75" customHeight="1" x14ac:dyDescent="0.35">
      <c r="A446" s="28"/>
      <c r="B446" s="28"/>
      <c r="C446" s="28"/>
      <c r="D446" s="28"/>
    </row>
    <row r="447" spans="1:4" ht="12.75" customHeight="1" x14ac:dyDescent="0.35">
      <c r="A447" s="28"/>
      <c r="B447" s="28"/>
      <c r="C447" s="28"/>
      <c r="D447" s="28"/>
    </row>
    <row r="448" spans="1:4" ht="12.75" customHeight="1" x14ac:dyDescent="0.35">
      <c r="A448" s="28"/>
      <c r="B448" s="28"/>
      <c r="C448" s="28"/>
      <c r="D448" s="28"/>
    </row>
    <row r="449" spans="1:4" ht="12.75" customHeight="1" x14ac:dyDescent="0.35">
      <c r="A449" s="28"/>
      <c r="B449" s="28"/>
      <c r="C449" s="28"/>
      <c r="D449" s="28"/>
    </row>
    <row r="450" spans="1:4" ht="12.75" customHeight="1" x14ac:dyDescent="0.35">
      <c r="A450" s="28"/>
      <c r="B450" s="28"/>
      <c r="C450" s="28"/>
      <c r="D450" s="28"/>
    </row>
    <row r="451" spans="1:4" ht="12.75" customHeight="1" x14ac:dyDescent="0.35">
      <c r="A451" s="28"/>
      <c r="B451" s="28"/>
      <c r="C451" s="28"/>
      <c r="D451" s="28"/>
    </row>
    <row r="452" spans="1:4" ht="12.75" customHeight="1" x14ac:dyDescent="0.35">
      <c r="A452" s="28"/>
      <c r="B452" s="28"/>
      <c r="C452" s="28"/>
      <c r="D452" s="28"/>
    </row>
    <row r="453" spans="1:4" ht="12.75" customHeight="1" x14ac:dyDescent="0.35">
      <c r="A453" s="28"/>
      <c r="B453" s="28" t="s">
        <v>565</v>
      </c>
      <c r="C453" s="28"/>
      <c r="D453" s="28"/>
    </row>
    <row r="454" spans="1:4" ht="12.75" customHeight="1" x14ac:dyDescent="0.35">
      <c r="A454" s="28"/>
      <c r="B454" s="28" t="s">
        <v>5289</v>
      </c>
      <c r="C454" s="28"/>
      <c r="D454" s="28"/>
    </row>
    <row r="455" spans="1:4" ht="12.75" customHeight="1" x14ac:dyDescent="0.35">
      <c r="A455" s="28"/>
      <c r="B455" s="1312" t="str">
        <f>IF(PrintMode=0,"      ","")&amp;"Other operating income"</f>
        <v xml:space="preserve">      Other operating income</v>
      </c>
      <c r="C455" s="28"/>
      <c r="D455" s="28"/>
    </row>
    <row r="456" spans="1:4" ht="12.75" customHeight="1" x14ac:dyDescent="0.35">
      <c r="A456" s="28"/>
      <c r="B456" s="28" t="s">
        <v>569</v>
      </c>
      <c r="C456" s="28"/>
      <c r="D456" s="28"/>
    </row>
    <row r="457" spans="1:4" ht="12.75" customHeight="1" x14ac:dyDescent="0.35">
      <c r="A457" s="28"/>
      <c r="B457" s="28"/>
      <c r="C457" s="28" t="s">
        <v>571</v>
      </c>
      <c r="D457" s="28"/>
    </row>
    <row r="458" spans="1:4" ht="12.75" customHeight="1" x14ac:dyDescent="0.35">
      <c r="A458" s="28"/>
      <c r="B458" s="28"/>
      <c r="C458" s="28" t="s">
        <v>573</v>
      </c>
      <c r="D458" s="28"/>
    </row>
    <row r="459" spans="1:4" ht="12.75" customHeight="1" x14ac:dyDescent="0.35">
      <c r="A459" s="28"/>
      <c r="B459" s="28"/>
      <c r="C459" s="28" t="s">
        <v>575</v>
      </c>
      <c r="D459" s="28"/>
    </row>
    <row r="460" spans="1:4" ht="12.75" customHeight="1" x14ac:dyDescent="0.35">
      <c r="A460" s="28"/>
      <c r="B460" s="28"/>
      <c r="C460" s="28" t="s">
        <v>577</v>
      </c>
      <c r="D460" s="28"/>
    </row>
    <row r="461" spans="1:4" ht="12.75" customHeight="1" x14ac:dyDescent="0.35">
      <c r="A461" s="28"/>
      <c r="B461" s="28"/>
      <c r="C461" s="28"/>
      <c r="D461" s="28"/>
    </row>
    <row r="462" spans="1:4" ht="12.75" customHeight="1" x14ac:dyDescent="0.35">
      <c r="A462" s="28"/>
      <c r="B462" s="28"/>
      <c r="C462" s="28"/>
      <c r="D462" s="28"/>
    </row>
    <row r="463" spans="1:4" ht="12.75" customHeight="1" x14ac:dyDescent="0.35">
      <c r="A463" s="28"/>
      <c r="B463" s="28"/>
      <c r="C463" s="28"/>
      <c r="D463" s="28"/>
    </row>
    <row r="464" spans="1:4" ht="12.75" customHeight="1" x14ac:dyDescent="0.35">
      <c r="A464" s="28"/>
      <c r="B464" s="28"/>
      <c r="C464" s="28"/>
      <c r="D464" s="28"/>
    </row>
    <row r="465" spans="1:4" ht="12.75" customHeight="1" x14ac:dyDescent="0.35">
      <c r="A465" s="28"/>
      <c r="B465" s="28"/>
      <c r="C465" s="28"/>
      <c r="D465" s="28"/>
    </row>
    <row r="466" spans="1:4" ht="12.75" customHeight="1" x14ac:dyDescent="0.35">
      <c r="A466" s="28"/>
      <c r="B466" s="28"/>
      <c r="C466" s="28"/>
      <c r="D466" s="28"/>
    </row>
    <row r="467" spans="1:4" ht="12.75" customHeight="1" x14ac:dyDescent="0.35">
      <c r="A467" s="28"/>
      <c r="B467" s="28" t="s">
        <v>581</v>
      </c>
      <c r="C467" s="28"/>
      <c r="D467" s="28"/>
    </row>
    <row r="468" spans="1:4" ht="12.75" customHeight="1" x14ac:dyDescent="0.35">
      <c r="A468" s="28"/>
      <c r="B468" s="28" t="s">
        <v>5289</v>
      </c>
      <c r="C468" s="28"/>
      <c r="D468" s="28"/>
    </row>
    <row r="469" spans="1:4" ht="12.75" customHeight="1" x14ac:dyDescent="0.35">
      <c r="A469" s="28"/>
      <c r="B469" s="28" t="s">
        <v>5287</v>
      </c>
      <c r="C469" s="28"/>
      <c r="D469" s="28"/>
    </row>
    <row r="470" spans="1:4" ht="12.75" customHeight="1" x14ac:dyDescent="0.35">
      <c r="A470" s="28"/>
      <c r="B470" s="28" t="s">
        <v>585</v>
      </c>
      <c r="C470" s="28"/>
      <c r="D470" s="28"/>
    </row>
    <row r="471" spans="1:4" ht="12.75" customHeight="1" x14ac:dyDescent="0.35">
      <c r="A471" s="28"/>
      <c r="B471" s="28"/>
      <c r="C471" s="28" t="s">
        <v>575</v>
      </c>
      <c r="D471" s="28"/>
    </row>
    <row r="472" spans="1:4" ht="12.75" customHeight="1" x14ac:dyDescent="0.35">
      <c r="A472" s="28"/>
      <c r="B472" s="28"/>
      <c r="C472" s="28" t="s">
        <v>588</v>
      </c>
      <c r="D472" s="28"/>
    </row>
    <row r="473" spans="1:4" ht="12.75" customHeight="1" x14ac:dyDescent="0.35">
      <c r="A473" s="28"/>
      <c r="B473" s="28"/>
      <c r="C473" s="28" t="s">
        <v>590</v>
      </c>
      <c r="D473" s="28"/>
    </row>
    <row r="474" spans="1:4" ht="12.75" customHeight="1" x14ac:dyDescent="0.35">
      <c r="A474" s="28"/>
      <c r="B474" s="28"/>
      <c r="C474" s="28"/>
      <c r="D474" s="28"/>
    </row>
    <row r="475" spans="1:4" ht="12.75" customHeight="1" x14ac:dyDescent="0.35">
      <c r="A475" s="28"/>
      <c r="B475" s="28"/>
      <c r="C475" s="28"/>
      <c r="D475" s="28"/>
    </row>
    <row r="476" spans="1:4" ht="12.75" customHeight="1" x14ac:dyDescent="0.35">
      <c r="A476" s="28"/>
      <c r="B476" s="28"/>
      <c r="C476" s="28"/>
      <c r="D476" s="28"/>
    </row>
    <row r="477" spans="1:4" ht="12.75" customHeight="1" x14ac:dyDescent="0.35">
      <c r="A477" s="28"/>
      <c r="B477" s="28"/>
      <c r="C477" s="28"/>
      <c r="D477" s="28"/>
    </row>
    <row r="478" spans="1:4" ht="12.75" customHeight="1" x14ac:dyDescent="0.35">
      <c r="A478" s="28"/>
      <c r="B478" s="28"/>
      <c r="C478" s="28"/>
      <c r="D478" s="28"/>
    </row>
    <row r="479" spans="1:4" ht="12.75" customHeight="1" x14ac:dyDescent="0.35">
      <c r="A479" s="28"/>
      <c r="B479" s="28"/>
      <c r="C479" s="28"/>
      <c r="D479" s="28"/>
    </row>
    <row r="480" spans="1:4" ht="12.75" customHeight="1" x14ac:dyDescent="0.35">
      <c r="A480" s="28"/>
      <c r="B480" s="28"/>
      <c r="C480" s="28"/>
      <c r="D480" s="28"/>
    </row>
    <row r="481" spans="1:4" ht="12.75" customHeight="1" x14ac:dyDescent="0.35">
      <c r="A481" s="28"/>
      <c r="B481" s="28" t="s">
        <v>595</v>
      </c>
      <c r="C481" s="28"/>
      <c r="D481" s="28"/>
    </row>
    <row r="482" spans="1:4" ht="12.75" customHeight="1" x14ac:dyDescent="0.35">
      <c r="A482" s="28"/>
      <c r="B482" s="28" t="s">
        <v>5352</v>
      </c>
      <c r="C482" s="28"/>
      <c r="D482" s="28"/>
    </row>
    <row r="483" spans="1:4" ht="12.75" customHeight="1" x14ac:dyDescent="0.35">
      <c r="A483" s="28"/>
      <c r="B483" s="28" t="s">
        <v>597</v>
      </c>
      <c r="C483" s="28"/>
      <c r="D483" s="28"/>
    </row>
    <row r="484" spans="1:4" ht="12.75" customHeight="1" x14ac:dyDescent="0.35">
      <c r="A484" s="28"/>
      <c r="B484" s="28" t="s">
        <v>5289</v>
      </c>
      <c r="C484" s="28"/>
      <c r="D484" s="28"/>
    </row>
    <row r="485" spans="1:4" ht="12.75" customHeight="1" x14ac:dyDescent="0.35">
      <c r="A485" s="28"/>
      <c r="B485" s="28" t="s">
        <v>5084</v>
      </c>
      <c r="C485" s="28"/>
      <c r="D485" s="28"/>
    </row>
    <row r="486" spans="1:4" ht="12.75" customHeight="1" x14ac:dyDescent="0.35">
      <c r="A486" s="28"/>
      <c r="B486" s="28" t="s">
        <v>395</v>
      </c>
      <c r="C486" s="28"/>
      <c r="D486" s="28"/>
    </row>
    <row r="487" spans="1:4" ht="12.75" customHeight="1" x14ac:dyDescent="0.35">
      <c r="A487" s="28"/>
      <c r="B487" s="28"/>
      <c r="C487" s="28" t="s">
        <v>602</v>
      </c>
      <c r="D487" s="28"/>
    </row>
    <row r="488" spans="1:4" ht="12.75" customHeight="1" x14ac:dyDescent="0.35">
      <c r="A488" s="28"/>
      <c r="B488" s="28"/>
      <c r="C488" s="28" t="s">
        <v>604</v>
      </c>
      <c r="D488" s="28"/>
    </row>
    <row r="489" spans="1:4" ht="12.75" customHeight="1" x14ac:dyDescent="0.35">
      <c r="A489" s="28"/>
      <c r="B489" s="28" t="s">
        <v>606</v>
      </c>
      <c r="C489" s="28"/>
      <c r="D489" s="28"/>
    </row>
    <row r="490" spans="1:4" ht="12.75" customHeight="1" x14ac:dyDescent="0.35">
      <c r="A490" s="28"/>
      <c r="B490" s="28" t="s">
        <v>5289</v>
      </c>
      <c r="C490" s="28"/>
      <c r="D490" s="28"/>
    </row>
    <row r="491" spans="1:4" ht="12.75" customHeight="1" x14ac:dyDescent="0.35">
      <c r="A491" s="28"/>
      <c r="B491" s="28" t="s">
        <v>5083</v>
      </c>
      <c r="C491" s="28"/>
      <c r="D491" s="28"/>
    </row>
    <row r="492" spans="1:4" ht="12.75" customHeight="1" x14ac:dyDescent="0.35">
      <c r="A492" s="28"/>
      <c r="B492" s="28" t="s">
        <v>610</v>
      </c>
      <c r="C492" s="28"/>
      <c r="D492" s="28"/>
    </row>
    <row r="493" spans="1:4" ht="12.75" customHeight="1" x14ac:dyDescent="0.35">
      <c r="A493" s="28"/>
      <c r="B493" s="28"/>
      <c r="C493" s="28" t="s">
        <v>610</v>
      </c>
      <c r="D493" s="28"/>
    </row>
    <row r="494" spans="1:4" ht="12.75" customHeight="1" x14ac:dyDescent="0.35">
      <c r="A494" s="28"/>
      <c r="B494" s="28"/>
      <c r="C494" s="28" t="s">
        <v>2567</v>
      </c>
      <c r="D494" s="28"/>
    </row>
    <row r="495" spans="1:4" ht="12.75" customHeight="1" x14ac:dyDescent="0.35">
      <c r="A495" s="28"/>
      <c r="B495" s="28" t="s">
        <v>615</v>
      </c>
      <c r="C495" s="28"/>
      <c r="D495" s="28"/>
    </row>
    <row r="496" spans="1:4" ht="12.75" customHeight="1" x14ac:dyDescent="0.35">
      <c r="A496" s="28"/>
      <c r="B496" s="28" t="s">
        <v>617</v>
      </c>
      <c r="C496" s="28"/>
      <c r="D496" s="28"/>
    </row>
    <row r="497" spans="1:4" ht="12.75" customHeight="1" x14ac:dyDescent="0.35">
      <c r="A497" s="28"/>
      <c r="B497" s="28"/>
      <c r="C497" s="28" t="s">
        <v>619</v>
      </c>
      <c r="D497" s="28"/>
    </row>
    <row r="498" spans="1:4" ht="12.75" customHeight="1" x14ac:dyDescent="0.35">
      <c r="A498" s="28"/>
      <c r="B498" s="28"/>
      <c r="C498" s="28" t="s">
        <v>621</v>
      </c>
      <c r="D498" s="28"/>
    </row>
    <row r="499" spans="1:4" ht="12.75" customHeight="1" x14ac:dyDescent="0.35">
      <c r="A499" s="28"/>
      <c r="B499" s="28" t="s">
        <v>623</v>
      </c>
      <c r="C499" s="28"/>
      <c r="D499" s="28"/>
    </row>
    <row r="500" spans="1:4" ht="12.75" customHeight="1" x14ac:dyDescent="0.35">
      <c r="A500" s="28"/>
      <c r="B500" s="28" t="s">
        <v>2568</v>
      </c>
      <c r="C500" s="28"/>
      <c r="D500" s="28"/>
    </row>
    <row r="501" spans="1:4" ht="12.75" customHeight="1" x14ac:dyDescent="0.35">
      <c r="A501" s="28"/>
      <c r="B501" s="28"/>
      <c r="C501" s="28" t="s">
        <v>2569</v>
      </c>
      <c r="D501" s="28"/>
    </row>
    <row r="502" spans="1:4" ht="12.75" customHeight="1" x14ac:dyDescent="0.35">
      <c r="A502" s="28"/>
      <c r="B502" s="28"/>
      <c r="C502" s="1312" t="str">
        <f>IF(CalculatedDepreciation,"Other a","A")&amp;"ppropriations, increase (-) / decrease (+)"</f>
        <v>Appropriations, increase (-) / decrease (+)</v>
      </c>
      <c r="D502" s="28"/>
    </row>
    <row r="503" spans="1:4" ht="12.75" customHeight="1" x14ac:dyDescent="0.35">
      <c r="A503" s="28"/>
      <c r="B503" s="28" t="s">
        <v>629</v>
      </c>
      <c r="C503" s="28"/>
      <c r="D503" s="28"/>
    </row>
    <row r="504" spans="1:4" ht="12.75" customHeight="1" x14ac:dyDescent="0.35">
      <c r="A504" s="28"/>
      <c r="B504" s="28" t="s">
        <v>631</v>
      </c>
      <c r="C504" s="28"/>
      <c r="D504" s="28"/>
    </row>
    <row r="505" spans="1:4" ht="12.75" customHeight="1" x14ac:dyDescent="0.35">
      <c r="A505" s="28"/>
      <c r="B505" s="28" t="s">
        <v>633</v>
      </c>
      <c r="C505" s="28"/>
      <c r="D505" s="28"/>
    </row>
    <row r="506" spans="1:4" ht="12.75" customHeight="1" x14ac:dyDescent="0.35">
      <c r="A506" s="28"/>
      <c r="B506" s="28" t="s">
        <v>635</v>
      </c>
      <c r="C506" s="28"/>
      <c r="D506" s="28"/>
    </row>
    <row r="507" spans="1:4" ht="12.75" customHeight="1" x14ac:dyDescent="0.35">
      <c r="A507" s="28"/>
      <c r="B507" s="28" t="s">
        <v>5289</v>
      </c>
      <c r="C507" s="28"/>
      <c r="D507" s="28"/>
    </row>
    <row r="508" spans="1:4" ht="12.75" customHeight="1" x14ac:dyDescent="0.35">
      <c r="A508" s="28"/>
      <c r="B508" s="28" t="s">
        <v>5288</v>
      </c>
      <c r="C508" s="28"/>
      <c r="D508" s="28"/>
    </row>
    <row r="509" spans="1:4" ht="12.75" customHeight="1" x14ac:dyDescent="0.35">
      <c r="A509" s="28"/>
      <c r="B509" s="28" t="s">
        <v>639</v>
      </c>
      <c r="C509" s="28"/>
      <c r="D509" s="28"/>
    </row>
    <row r="510" spans="1:4" ht="12.75" customHeight="1" x14ac:dyDescent="0.35">
      <c r="A510" s="28"/>
      <c r="B510" s="28" t="s">
        <v>641</v>
      </c>
      <c r="C510" s="28"/>
      <c r="D510" s="28"/>
    </row>
    <row r="511" spans="1:4" ht="12.75" customHeight="1" x14ac:dyDescent="0.35">
      <c r="A511" s="28"/>
      <c r="B511" s="28" t="s">
        <v>643</v>
      </c>
      <c r="C511" s="28"/>
      <c r="D511" s="28"/>
    </row>
    <row r="512" spans="1:4" ht="12.75" customHeight="1" x14ac:dyDescent="0.35">
      <c r="A512" s="28"/>
      <c r="B512" s="28" t="s">
        <v>645</v>
      </c>
      <c r="C512" s="28"/>
      <c r="D512" s="28"/>
    </row>
    <row r="513" spans="1:4" ht="12.75" customHeight="1" x14ac:dyDescent="0.35">
      <c r="A513" s="28"/>
      <c r="B513" s="28" t="s">
        <v>647</v>
      </c>
      <c r="C513" s="28"/>
      <c r="D513" s="28"/>
    </row>
    <row r="514" spans="1:4" ht="12.75" customHeight="1" x14ac:dyDescent="0.35">
      <c r="A514" s="28"/>
      <c r="B514" s="28" t="s">
        <v>649</v>
      </c>
      <c r="C514" s="28"/>
      <c r="D514" s="28"/>
    </row>
    <row r="515" spans="1:4" ht="12.75" customHeight="1" x14ac:dyDescent="0.35">
      <c r="A515" s="28"/>
      <c r="B515" s="28" t="s">
        <v>652</v>
      </c>
      <c r="C515" s="28"/>
      <c r="D515" s="28"/>
    </row>
    <row r="516" spans="1:4" ht="12.75" customHeight="1" x14ac:dyDescent="0.35">
      <c r="A516" s="28"/>
      <c r="B516" s="28"/>
      <c r="C516" s="28"/>
      <c r="D516" s="28"/>
    </row>
    <row r="517" spans="1:4" ht="12.75" customHeight="1" x14ac:dyDescent="0.35">
      <c r="A517" s="28"/>
      <c r="B517" s="28"/>
      <c r="C517" s="28"/>
      <c r="D517" s="28"/>
    </row>
    <row r="518" spans="1:4" ht="12.75" customHeight="1" x14ac:dyDescent="0.35">
      <c r="A518" s="28"/>
      <c r="B518" s="28" t="s">
        <v>656</v>
      </c>
      <c r="C518" s="28"/>
      <c r="D518" s="28"/>
    </row>
    <row r="519" spans="1:4" ht="12.75" customHeight="1" x14ac:dyDescent="0.35">
      <c r="A519" s="28"/>
      <c r="B519" s="28" t="s">
        <v>658</v>
      </c>
      <c r="C519" s="28"/>
      <c r="D519" s="28"/>
    </row>
    <row r="520" spans="1:4" ht="12.75" customHeight="1" x14ac:dyDescent="0.35">
      <c r="A520" s="28"/>
      <c r="B520" s="28" t="s">
        <v>395</v>
      </c>
      <c r="C520" s="28"/>
      <c r="D520" s="28"/>
    </row>
    <row r="521" spans="1:4" ht="12.75" customHeight="1" x14ac:dyDescent="0.35">
      <c r="A521" s="28"/>
      <c r="B521" s="28" t="s">
        <v>661</v>
      </c>
      <c r="C521" s="28"/>
      <c r="D521" s="28"/>
    </row>
    <row r="522" spans="1:4" ht="12.75" customHeight="1" x14ac:dyDescent="0.35">
      <c r="A522" s="28"/>
      <c r="B522" s="28" t="s">
        <v>663</v>
      </c>
      <c r="C522" s="28"/>
      <c r="D522" s="28"/>
    </row>
    <row r="523" spans="1:4" ht="12.75" customHeight="1" x14ac:dyDescent="0.35">
      <c r="A523" s="28"/>
      <c r="B523" s="28" t="s">
        <v>665</v>
      </c>
      <c r="C523" s="28"/>
      <c r="D523" s="28"/>
    </row>
    <row r="524" spans="1:4" ht="12.75" customHeight="1" x14ac:dyDescent="0.35">
      <c r="A524" s="28"/>
      <c r="B524" s="28" t="s">
        <v>633</v>
      </c>
      <c r="C524" s="28"/>
      <c r="D524" s="28"/>
    </row>
    <row r="525" spans="1:4" ht="12.75" customHeight="1" x14ac:dyDescent="0.35">
      <c r="A525" s="28"/>
      <c r="B525" s="28" t="s">
        <v>668</v>
      </c>
      <c r="C525" s="28"/>
      <c r="D525" s="28"/>
    </row>
    <row r="526" spans="1:4" ht="12.75" customHeight="1" x14ac:dyDescent="0.35">
      <c r="A526" s="28"/>
      <c r="B526" s="28" t="s">
        <v>670</v>
      </c>
      <c r="C526" s="28"/>
      <c r="D526" s="28"/>
    </row>
    <row r="527" spans="1:4" ht="12.75" customHeight="1" x14ac:dyDescent="0.35">
      <c r="A527" s="28"/>
      <c r="B527" s="28" t="s">
        <v>672</v>
      </c>
      <c r="C527" s="28"/>
      <c r="D527" s="28"/>
    </row>
    <row r="528" spans="1:4" ht="12.75" customHeight="1" x14ac:dyDescent="0.35">
      <c r="A528" s="28"/>
      <c r="B528" s="28" t="s">
        <v>674</v>
      </c>
      <c r="C528" s="28"/>
      <c r="D528" s="28"/>
    </row>
    <row r="529" spans="1:4" ht="12.75" customHeight="1" x14ac:dyDescent="0.35">
      <c r="A529" s="28"/>
      <c r="B529" s="28" t="s">
        <v>677</v>
      </c>
      <c r="C529" s="28"/>
      <c r="D529" s="28"/>
    </row>
    <row r="530" spans="1:4" ht="12.75" customHeight="1" x14ac:dyDescent="0.35">
      <c r="A530" s="28"/>
      <c r="B530" s="28" t="s">
        <v>679</v>
      </c>
      <c r="C530" s="28"/>
      <c r="D530" s="28"/>
    </row>
    <row r="531" spans="1:4" ht="12.75" customHeight="1" x14ac:dyDescent="0.35">
      <c r="A531" s="28"/>
      <c r="B531" s="28" t="s">
        <v>682</v>
      </c>
      <c r="C531" s="28"/>
      <c r="D531" s="28"/>
    </row>
    <row r="532" spans="1:4" ht="12.75" customHeight="1" x14ac:dyDescent="0.35">
      <c r="A532" s="28"/>
      <c r="B532" s="28"/>
      <c r="C532" s="28"/>
      <c r="D532" s="28"/>
    </row>
    <row r="533" spans="1:4" ht="12.75" customHeight="1" x14ac:dyDescent="0.35">
      <c r="A533" s="28"/>
      <c r="B533" s="28"/>
      <c r="C533" s="28"/>
      <c r="D533" s="28"/>
    </row>
    <row r="534" spans="1:4" ht="12.75" customHeight="1" x14ac:dyDescent="0.35">
      <c r="A534" s="28"/>
      <c r="B534" s="28"/>
      <c r="C534" s="28"/>
      <c r="D534" s="28"/>
    </row>
    <row r="535" spans="1:4" ht="12.75" customHeight="1" x14ac:dyDescent="0.35">
      <c r="A535" s="28"/>
      <c r="B535" s="28"/>
      <c r="C535" s="28"/>
      <c r="D535" s="28"/>
    </row>
    <row r="536" spans="1:4" ht="12.75" customHeight="1" x14ac:dyDescent="0.35">
      <c r="A536" s="28"/>
      <c r="B536" s="28"/>
      <c r="C536" s="28"/>
      <c r="D536" s="28"/>
    </row>
    <row r="537" spans="1:4" ht="12.75" customHeight="1" x14ac:dyDescent="0.35">
      <c r="A537" s="28"/>
      <c r="B537" s="28" t="s">
        <v>689</v>
      </c>
      <c r="C537" s="28"/>
      <c r="D537" s="28"/>
    </row>
    <row r="538" spans="1:4" ht="12.75" customHeight="1" x14ac:dyDescent="0.35">
      <c r="A538" s="28"/>
      <c r="B538" s="28"/>
      <c r="C538" s="28"/>
      <c r="D538" s="28"/>
    </row>
    <row r="539" spans="1:4" ht="12.75" customHeight="1" x14ac:dyDescent="0.35">
      <c r="A539" s="28"/>
      <c r="B539" s="28" t="s">
        <v>59</v>
      </c>
      <c r="C539" s="28"/>
      <c r="D539" s="28"/>
    </row>
    <row r="540" spans="1:4" ht="12.75" customHeight="1" x14ac:dyDescent="0.35">
      <c r="A540" s="28"/>
      <c r="B540" s="28" t="s">
        <v>693</v>
      </c>
      <c r="C540" s="28"/>
      <c r="D540" s="28"/>
    </row>
    <row r="541" spans="1:4" ht="12.75" customHeight="1" x14ac:dyDescent="0.35">
      <c r="A541" s="28"/>
      <c r="B541" s="28"/>
      <c r="C541" s="28" t="s">
        <v>5140</v>
      </c>
      <c r="D541" s="28"/>
    </row>
    <row r="542" spans="1:4" ht="12.75" customHeight="1" x14ac:dyDescent="0.35">
      <c r="A542" s="28"/>
      <c r="B542" s="28"/>
      <c r="C542" s="28" t="s">
        <v>696</v>
      </c>
      <c r="D542" s="28"/>
    </row>
    <row r="543" spans="1:4" ht="12.75" customHeight="1" x14ac:dyDescent="0.35">
      <c r="A543" s="28"/>
      <c r="B543" s="28"/>
      <c r="C543" s="28" t="s">
        <v>5141</v>
      </c>
      <c r="D543" s="28"/>
    </row>
    <row r="544" spans="1:4" ht="12.75" customHeight="1" x14ac:dyDescent="0.35">
      <c r="A544" s="28"/>
      <c r="B544" s="28"/>
      <c r="C544" s="28" t="s">
        <v>5171</v>
      </c>
      <c r="D544" s="28"/>
    </row>
    <row r="545" spans="1:4" ht="12.75" customHeight="1" x14ac:dyDescent="0.35">
      <c r="A545" s="28"/>
      <c r="B545" s="28"/>
      <c r="C545" s="28" t="s">
        <v>5140</v>
      </c>
      <c r="D545" s="28"/>
    </row>
    <row r="546" spans="1:4" ht="12.75" customHeight="1" x14ac:dyDescent="0.35">
      <c r="A546" s="28"/>
      <c r="B546" s="28"/>
      <c r="C546" s="28" t="s">
        <v>5010</v>
      </c>
      <c r="D546" s="28"/>
    </row>
    <row r="547" spans="1:4" ht="12.75" customHeight="1" x14ac:dyDescent="0.35">
      <c r="A547" s="28"/>
      <c r="B547" s="28"/>
      <c r="C547" s="28" t="s">
        <v>5141</v>
      </c>
      <c r="D547" s="28"/>
    </row>
    <row r="548" spans="1:4" ht="12.75" customHeight="1" x14ac:dyDescent="0.35">
      <c r="A548" s="28"/>
      <c r="B548" s="28"/>
      <c r="C548" s="28" t="s">
        <v>5171</v>
      </c>
      <c r="D548" s="28"/>
    </row>
    <row r="549" spans="1:4" ht="12.75" customHeight="1" x14ac:dyDescent="0.35">
      <c r="A549" s="28"/>
      <c r="B549" s="28"/>
      <c r="C549" s="28" t="s">
        <v>5140</v>
      </c>
      <c r="D549" s="28"/>
    </row>
    <row r="550" spans="1:4" ht="12.75" customHeight="1" x14ac:dyDescent="0.35">
      <c r="A550" s="28"/>
      <c r="B550" s="28"/>
      <c r="C550" s="28" t="s">
        <v>5011</v>
      </c>
      <c r="D550" s="28"/>
    </row>
    <row r="551" spans="1:4" ht="12.75" customHeight="1" x14ac:dyDescent="0.35">
      <c r="A551" s="28"/>
      <c r="B551" s="28"/>
      <c r="C551" s="28" t="s">
        <v>5141</v>
      </c>
      <c r="D551" s="28"/>
    </row>
    <row r="552" spans="1:4" ht="12.75" customHeight="1" x14ac:dyDescent="0.35">
      <c r="A552" s="28"/>
      <c r="B552" s="28"/>
      <c r="C552" s="28" t="s">
        <v>5171</v>
      </c>
      <c r="D552" s="28"/>
    </row>
    <row r="553" spans="1:4" ht="12.75" customHeight="1" x14ac:dyDescent="0.35">
      <c r="A553" s="28"/>
      <c r="B553" s="28"/>
      <c r="C553" s="28" t="s">
        <v>5140</v>
      </c>
      <c r="D553" s="28"/>
    </row>
    <row r="554" spans="1:4" ht="12.75" customHeight="1" x14ac:dyDescent="0.35">
      <c r="A554" s="28"/>
      <c r="B554" s="28"/>
      <c r="C554" s="28" t="s">
        <v>5016</v>
      </c>
      <c r="D554" s="28"/>
    </row>
    <row r="555" spans="1:4" ht="12.75" customHeight="1" x14ac:dyDescent="0.35">
      <c r="A555" s="28"/>
      <c r="B555" s="28"/>
      <c r="C555" s="28" t="s">
        <v>5141</v>
      </c>
      <c r="D555" s="28"/>
    </row>
    <row r="556" spans="1:4" ht="12.75" customHeight="1" x14ac:dyDescent="0.35">
      <c r="A556" s="28"/>
      <c r="B556" s="28"/>
      <c r="C556" s="28" t="s">
        <v>5171</v>
      </c>
      <c r="D556" s="28"/>
    </row>
    <row r="557" spans="1:4" ht="12.75" customHeight="1" x14ac:dyDescent="0.35">
      <c r="A557" s="28"/>
      <c r="B557" s="28"/>
      <c r="C557" s="28" t="s">
        <v>5140</v>
      </c>
      <c r="D557" s="28"/>
    </row>
    <row r="558" spans="1:4" ht="12.75" customHeight="1" x14ac:dyDescent="0.35">
      <c r="A558" s="28"/>
      <c r="B558" s="28"/>
      <c r="C558" s="28" t="s">
        <v>5017</v>
      </c>
      <c r="D558" s="28"/>
    </row>
    <row r="559" spans="1:4" ht="12.75" customHeight="1" x14ac:dyDescent="0.35">
      <c r="A559" s="28"/>
      <c r="B559" s="28"/>
      <c r="C559" s="28" t="s">
        <v>5141</v>
      </c>
      <c r="D559" s="28"/>
    </row>
    <row r="560" spans="1:4" ht="12.75" customHeight="1" x14ac:dyDescent="0.35">
      <c r="A560" s="28"/>
      <c r="B560" s="28"/>
      <c r="C560" s="28" t="s">
        <v>5171</v>
      </c>
      <c r="D560" s="28"/>
    </row>
    <row r="561" spans="1:4" ht="12.75" customHeight="1" x14ac:dyDescent="0.35">
      <c r="A561" s="28"/>
      <c r="B561" s="28"/>
      <c r="C561" s="28" t="s">
        <v>5357</v>
      </c>
      <c r="D561" s="28"/>
    </row>
    <row r="562" spans="1:4" ht="12.75" customHeight="1" x14ac:dyDescent="0.35">
      <c r="A562" s="28"/>
      <c r="B562" s="28"/>
      <c r="C562" s="28" t="s">
        <v>5376</v>
      </c>
      <c r="D562" s="28"/>
    </row>
    <row r="563" spans="1:4" ht="12.75" customHeight="1" x14ac:dyDescent="0.35">
      <c r="A563" s="28"/>
      <c r="B563" s="28"/>
      <c r="C563" s="28" t="s">
        <v>700</v>
      </c>
      <c r="D563" s="28"/>
    </row>
    <row r="564" spans="1:4" ht="12.75" customHeight="1" x14ac:dyDescent="0.35">
      <c r="A564" s="28"/>
      <c r="B564" s="28"/>
      <c r="C564" s="28" t="s">
        <v>5211</v>
      </c>
      <c r="D564" s="28"/>
    </row>
    <row r="565" spans="1:4" ht="12.75" customHeight="1" x14ac:dyDescent="0.35">
      <c r="A565" s="28"/>
      <c r="B565" s="28"/>
      <c r="C565" s="28" t="s">
        <v>5366</v>
      </c>
      <c r="D565" s="28"/>
    </row>
    <row r="566" spans="1:4" ht="12.75" customHeight="1" x14ac:dyDescent="0.35">
      <c r="A566" s="28"/>
      <c r="B566" s="28"/>
      <c r="C566" s="28" t="s">
        <v>5375</v>
      </c>
      <c r="D566" s="28"/>
    </row>
    <row r="567" spans="1:4" ht="12.75" customHeight="1" x14ac:dyDescent="0.35">
      <c r="A567" s="28"/>
      <c r="B567" s="28"/>
      <c r="C567" s="28" t="s">
        <v>703</v>
      </c>
      <c r="D567" s="28"/>
    </row>
    <row r="568" spans="1:4" ht="12.75" customHeight="1" x14ac:dyDescent="0.35">
      <c r="A568" s="28"/>
      <c r="B568" s="28"/>
      <c r="C568" s="28" t="s">
        <v>705</v>
      </c>
      <c r="D568" s="28"/>
    </row>
    <row r="569" spans="1:4" ht="12.75" customHeight="1" x14ac:dyDescent="0.35">
      <c r="A569" s="28"/>
      <c r="B569" s="28"/>
      <c r="C569" s="28" t="s">
        <v>707</v>
      </c>
      <c r="D569" s="28"/>
    </row>
    <row r="570" spans="1:4" ht="12.75" customHeight="1" x14ac:dyDescent="0.35">
      <c r="A570" s="28"/>
      <c r="B570" s="28" t="s">
        <v>709</v>
      </c>
      <c r="C570" s="28"/>
      <c r="D570" s="28"/>
    </row>
    <row r="571" spans="1:4" ht="12.75" customHeight="1" x14ac:dyDescent="0.35">
      <c r="A571" s="28"/>
      <c r="B571" s="28"/>
      <c r="C571" s="28" t="s">
        <v>5142</v>
      </c>
      <c r="D571" s="28"/>
    </row>
    <row r="572" spans="1:4" ht="12.75" customHeight="1" x14ac:dyDescent="0.35">
      <c r="A572" s="28"/>
      <c r="B572" s="28"/>
      <c r="C572" s="28" t="s">
        <v>709</v>
      </c>
      <c r="D572" s="28"/>
    </row>
    <row r="573" spans="1:4" ht="12.75" customHeight="1" x14ac:dyDescent="0.35">
      <c r="A573" s="28"/>
      <c r="B573" s="28"/>
      <c r="C573" s="28" t="s">
        <v>5141</v>
      </c>
      <c r="D573" s="28"/>
    </row>
    <row r="574" spans="1:4" ht="12.75" customHeight="1" x14ac:dyDescent="0.35">
      <c r="A574" s="28"/>
      <c r="C574" s="28" t="s">
        <v>5171</v>
      </c>
      <c r="D574" s="28"/>
    </row>
    <row r="575" spans="1:4" ht="12.75" customHeight="1" x14ac:dyDescent="0.35">
      <c r="A575" s="28"/>
      <c r="B575" s="28"/>
      <c r="C575" s="28" t="s">
        <v>5142</v>
      </c>
      <c r="D575" s="28"/>
    </row>
    <row r="576" spans="1:4" ht="12.75" customHeight="1" x14ac:dyDescent="0.35">
      <c r="A576" s="28"/>
      <c r="B576" s="28"/>
      <c r="C576" s="28" t="s">
        <v>5012</v>
      </c>
      <c r="D576" s="28"/>
    </row>
    <row r="577" spans="1:4" ht="12.75" customHeight="1" x14ac:dyDescent="0.35">
      <c r="A577" s="28"/>
      <c r="B577" s="28"/>
      <c r="C577" s="28" t="s">
        <v>5141</v>
      </c>
      <c r="D577" s="28"/>
    </row>
    <row r="578" spans="1:4" ht="12.75" customHeight="1" x14ac:dyDescent="0.35">
      <c r="A578" s="28"/>
      <c r="C578" s="28" t="s">
        <v>5171</v>
      </c>
      <c r="D578" s="28"/>
    </row>
    <row r="579" spans="1:4" ht="12.75" customHeight="1" x14ac:dyDescent="0.35">
      <c r="A579" s="28"/>
      <c r="B579" s="28"/>
      <c r="C579" s="28" t="s">
        <v>5142</v>
      </c>
      <c r="D579" s="28"/>
    </row>
    <row r="580" spans="1:4" ht="12.75" customHeight="1" x14ac:dyDescent="0.35">
      <c r="A580" s="28"/>
      <c r="B580" s="28"/>
      <c r="C580" s="28" t="s">
        <v>5013</v>
      </c>
      <c r="D580" s="28"/>
    </row>
    <row r="581" spans="1:4" ht="12.75" customHeight="1" x14ac:dyDescent="0.35">
      <c r="A581" s="28"/>
      <c r="B581" s="28"/>
      <c r="C581" s="28" t="s">
        <v>5141</v>
      </c>
      <c r="D581" s="28"/>
    </row>
    <row r="582" spans="1:4" ht="12.75" customHeight="1" x14ac:dyDescent="0.35">
      <c r="A582" s="28"/>
      <c r="C582" s="28" t="s">
        <v>5171</v>
      </c>
      <c r="D582" s="28"/>
    </row>
    <row r="583" spans="1:4" ht="12.75" customHeight="1" x14ac:dyDescent="0.35">
      <c r="A583" s="28"/>
      <c r="B583" s="28"/>
      <c r="C583" s="28" t="s">
        <v>5142</v>
      </c>
      <c r="D583" s="28"/>
    </row>
    <row r="584" spans="1:4" ht="12.75" customHeight="1" x14ac:dyDescent="0.35">
      <c r="A584" s="28"/>
      <c r="B584" s="28"/>
      <c r="C584" s="28" t="s">
        <v>5014</v>
      </c>
      <c r="D584" s="28"/>
    </row>
    <row r="585" spans="1:4" ht="12.75" customHeight="1" x14ac:dyDescent="0.35">
      <c r="A585" s="28"/>
      <c r="B585" s="28"/>
      <c r="C585" s="28" t="s">
        <v>5141</v>
      </c>
      <c r="D585" s="28"/>
    </row>
    <row r="586" spans="1:4" ht="12.75" customHeight="1" x14ac:dyDescent="0.35">
      <c r="A586" s="28"/>
      <c r="C586" s="28" t="s">
        <v>5171</v>
      </c>
      <c r="D586" s="28"/>
    </row>
    <row r="587" spans="1:4" ht="12.75" customHeight="1" x14ac:dyDescent="0.35">
      <c r="A587" s="28"/>
      <c r="B587" s="28"/>
      <c r="C587" s="28" t="s">
        <v>5142</v>
      </c>
      <c r="D587" s="28"/>
    </row>
    <row r="588" spans="1:4" ht="12.75" customHeight="1" x14ac:dyDescent="0.35">
      <c r="A588" s="28"/>
      <c r="B588" s="28"/>
      <c r="C588" s="28" t="s">
        <v>5015</v>
      </c>
      <c r="D588" s="28"/>
    </row>
    <row r="589" spans="1:4" ht="12.75" customHeight="1" x14ac:dyDescent="0.35">
      <c r="A589" s="28"/>
      <c r="B589" s="28"/>
      <c r="C589" s="28" t="s">
        <v>5141</v>
      </c>
      <c r="D589" s="28"/>
    </row>
    <row r="590" spans="1:4" ht="12.75" customHeight="1" x14ac:dyDescent="0.35">
      <c r="A590" s="28"/>
      <c r="C590" s="28" t="s">
        <v>5171</v>
      </c>
      <c r="D590" s="28"/>
    </row>
    <row r="591" spans="1:4" ht="12.75" customHeight="1" x14ac:dyDescent="0.35">
      <c r="A591" s="28"/>
      <c r="B591" s="28"/>
      <c r="C591" s="28" t="s">
        <v>714</v>
      </c>
      <c r="D591" s="28"/>
    </row>
    <row r="592" spans="1:4" ht="12.75" customHeight="1" x14ac:dyDescent="0.35">
      <c r="A592" s="28"/>
      <c r="B592" s="28" t="s">
        <v>716</v>
      </c>
      <c r="C592" s="28"/>
      <c r="D592" s="28"/>
    </row>
    <row r="593" spans="1:4" ht="12.75" customHeight="1" x14ac:dyDescent="0.35">
      <c r="A593" s="28"/>
      <c r="B593" s="28"/>
      <c r="C593" s="28" t="s">
        <v>5140</v>
      </c>
      <c r="D593" s="28"/>
    </row>
    <row r="594" spans="1:4" ht="12.75" customHeight="1" x14ac:dyDescent="0.35">
      <c r="A594" s="28"/>
      <c r="B594" s="28"/>
      <c r="C594" s="28" t="s">
        <v>719</v>
      </c>
      <c r="D594" s="28"/>
    </row>
    <row r="595" spans="1:4" ht="12.75" customHeight="1" x14ac:dyDescent="0.35">
      <c r="A595" s="28"/>
      <c r="B595" s="28"/>
      <c r="C595" s="28" t="s">
        <v>5141</v>
      </c>
      <c r="D595" s="28"/>
    </row>
    <row r="596" spans="1:4" ht="12.75" customHeight="1" x14ac:dyDescent="0.35">
      <c r="A596" s="28"/>
      <c r="B596" s="28"/>
      <c r="C596" s="28" t="s">
        <v>5209</v>
      </c>
      <c r="D596" s="28"/>
    </row>
    <row r="597" spans="1:4" ht="12.75" customHeight="1" x14ac:dyDescent="0.35">
      <c r="A597" s="28"/>
      <c r="B597" s="28"/>
      <c r="C597" s="28" t="s">
        <v>5140</v>
      </c>
      <c r="D597" s="28"/>
    </row>
    <row r="598" spans="1:4" ht="12.75" customHeight="1" x14ac:dyDescent="0.35">
      <c r="A598" s="28"/>
      <c r="B598" s="28"/>
      <c r="C598" s="28" t="s">
        <v>5072</v>
      </c>
      <c r="D598" s="28"/>
    </row>
    <row r="599" spans="1:4" ht="12.75" customHeight="1" x14ac:dyDescent="0.35">
      <c r="A599" s="28"/>
      <c r="B599" s="28"/>
      <c r="C599" s="28" t="s">
        <v>5141</v>
      </c>
      <c r="D599" s="28"/>
    </row>
    <row r="600" spans="1:4" ht="12.75" customHeight="1" x14ac:dyDescent="0.35">
      <c r="A600" s="28"/>
      <c r="B600" s="28"/>
      <c r="C600" s="28" t="s">
        <v>5209</v>
      </c>
      <c r="D600" s="28"/>
    </row>
    <row r="601" spans="1:4" ht="12.75" customHeight="1" x14ac:dyDescent="0.35">
      <c r="A601" s="28"/>
      <c r="B601" s="28"/>
      <c r="C601" s="28" t="s">
        <v>5140</v>
      </c>
      <c r="D601" s="28"/>
    </row>
    <row r="602" spans="1:4" ht="12.75" customHeight="1" x14ac:dyDescent="0.35">
      <c r="A602" s="28"/>
      <c r="B602" s="28"/>
      <c r="C602" s="28" t="s">
        <v>5073</v>
      </c>
      <c r="D602" s="28"/>
    </row>
    <row r="603" spans="1:4" ht="12.75" customHeight="1" x14ac:dyDescent="0.35">
      <c r="A603" s="28"/>
      <c r="B603" s="28"/>
      <c r="C603" s="28" t="s">
        <v>5141</v>
      </c>
      <c r="D603" s="28"/>
    </row>
    <row r="604" spans="1:4" ht="12.75" customHeight="1" x14ac:dyDescent="0.35">
      <c r="A604" s="28"/>
      <c r="B604" s="28"/>
      <c r="C604" s="28" t="s">
        <v>5209</v>
      </c>
      <c r="D604" s="28"/>
    </row>
    <row r="605" spans="1:4" ht="12.75" customHeight="1" x14ac:dyDescent="0.35">
      <c r="A605" s="28"/>
      <c r="B605" s="28"/>
      <c r="C605" s="28" t="s">
        <v>5140</v>
      </c>
      <c r="D605" s="28"/>
    </row>
    <row r="606" spans="1:4" ht="12.75" customHeight="1" x14ac:dyDescent="0.35">
      <c r="A606" s="28"/>
      <c r="B606" s="28"/>
      <c r="C606" s="28" t="s">
        <v>5074</v>
      </c>
      <c r="D606" s="28"/>
    </row>
    <row r="607" spans="1:4" ht="12.75" customHeight="1" x14ac:dyDescent="0.35">
      <c r="A607" s="28"/>
      <c r="B607" s="28"/>
      <c r="C607" s="28" t="s">
        <v>5141</v>
      </c>
      <c r="D607" s="28"/>
    </row>
    <row r="608" spans="1:4" ht="12.75" customHeight="1" x14ac:dyDescent="0.35">
      <c r="A608" s="28"/>
      <c r="B608" s="28"/>
      <c r="C608" s="28" t="s">
        <v>5209</v>
      </c>
      <c r="D608" s="28"/>
    </row>
    <row r="609" spans="1:4" ht="12.75" customHeight="1" x14ac:dyDescent="0.35">
      <c r="A609" s="28"/>
      <c r="B609" s="28"/>
      <c r="C609" s="28" t="s">
        <v>5140</v>
      </c>
      <c r="D609" s="28"/>
    </row>
    <row r="610" spans="1:4" ht="12.75" customHeight="1" x14ac:dyDescent="0.35">
      <c r="A610" s="28"/>
      <c r="B610" s="28"/>
      <c r="C610" s="28" t="s">
        <v>5075</v>
      </c>
      <c r="D610" s="28"/>
    </row>
    <row r="611" spans="1:4" ht="12.75" customHeight="1" x14ac:dyDescent="0.35">
      <c r="A611" s="28"/>
      <c r="B611" s="28"/>
      <c r="C611" s="28" t="s">
        <v>5141</v>
      </c>
      <c r="D611" s="28"/>
    </row>
    <row r="612" spans="1:4" ht="12.75" customHeight="1" x14ac:dyDescent="0.35">
      <c r="A612" s="28"/>
      <c r="B612" s="28"/>
      <c r="C612" s="28" t="s">
        <v>5209</v>
      </c>
      <c r="D612" s="28"/>
    </row>
    <row r="613" spans="1:4" ht="12.75" customHeight="1" x14ac:dyDescent="0.35">
      <c r="A613" s="28"/>
      <c r="B613" s="28"/>
      <c r="C613" s="28" t="s">
        <v>5377</v>
      </c>
      <c r="D613" s="28"/>
    </row>
    <row r="614" spans="1:4" ht="12.75" customHeight="1" x14ac:dyDescent="0.35">
      <c r="A614" s="28"/>
      <c r="B614" s="28"/>
      <c r="C614" s="28" t="s">
        <v>5378</v>
      </c>
      <c r="D614" s="28"/>
    </row>
    <row r="615" spans="1:4" ht="12.75" customHeight="1" x14ac:dyDescent="0.35">
      <c r="A615" s="28"/>
      <c r="B615" s="28"/>
      <c r="C615" s="28" t="s">
        <v>723</v>
      </c>
      <c r="D615" s="28"/>
    </row>
    <row r="616" spans="1:4" ht="12.75" customHeight="1" x14ac:dyDescent="0.35">
      <c r="A616" s="28"/>
      <c r="B616" s="28"/>
      <c r="C616" s="28" t="s">
        <v>5389</v>
      </c>
      <c r="D616" s="28"/>
    </row>
    <row r="617" spans="1:4" ht="12.75" customHeight="1" x14ac:dyDescent="0.35">
      <c r="A617" s="28"/>
      <c r="B617" s="28"/>
      <c r="C617" s="28" t="s">
        <v>5390</v>
      </c>
      <c r="D617" s="28"/>
    </row>
    <row r="618" spans="1:4" ht="12.75" customHeight="1" x14ac:dyDescent="0.35">
      <c r="A618" s="28"/>
      <c r="B618" s="28"/>
      <c r="C618" s="28" t="s">
        <v>5420</v>
      </c>
      <c r="D618" s="28"/>
    </row>
    <row r="619" spans="1:4" ht="12.75" customHeight="1" x14ac:dyDescent="0.35">
      <c r="A619" s="28"/>
      <c r="B619" s="28"/>
      <c r="C619" s="28" t="s">
        <v>726</v>
      </c>
      <c r="D619" s="28"/>
    </row>
    <row r="620" spans="1:4" ht="12.75" customHeight="1" x14ac:dyDescent="0.35">
      <c r="A620" s="28"/>
      <c r="B620" s="28" t="s">
        <v>728</v>
      </c>
      <c r="C620" s="28"/>
      <c r="D620" s="28"/>
    </row>
    <row r="621" spans="1:4" ht="12.75" customHeight="1" x14ac:dyDescent="0.35">
      <c r="A621" s="28"/>
      <c r="B621" s="28" t="s">
        <v>730</v>
      </c>
      <c r="C621" s="28"/>
      <c r="D621" s="28"/>
    </row>
    <row r="622" spans="1:4" ht="12.75" customHeight="1" x14ac:dyDescent="0.35">
      <c r="A622" s="28"/>
      <c r="B622" s="28"/>
      <c r="C622" s="28"/>
      <c r="D622" s="28"/>
    </row>
    <row r="623" spans="1:4" ht="12.75" customHeight="1" x14ac:dyDescent="0.35">
      <c r="A623" s="28"/>
      <c r="B623" s="28"/>
      <c r="C623" s="28"/>
      <c r="D623" s="28"/>
    </row>
    <row r="624" spans="1:4" ht="12.75" customHeight="1" x14ac:dyDescent="0.35">
      <c r="A624" s="28"/>
      <c r="B624" s="28"/>
      <c r="C624" s="28"/>
      <c r="D624" s="28"/>
    </row>
    <row r="625" spans="1:4" ht="12.75" customHeight="1" x14ac:dyDescent="0.35">
      <c r="A625" s="28"/>
      <c r="B625" s="28" t="s">
        <v>735</v>
      </c>
      <c r="C625" s="28"/>
      <c r="D625" s="28"/>
    </row>
    <row r="626" spans="1:4" ht="12.75" customHeight="1" x14ac:dyDescent="0.35">
      <c r="A626" s="28"/>
      <c r="B626" s="28"/>
      <c r="C626" s="28"/>
      <c r="D626" s="28"/>
    </row>
    <row r="627" spans="1:4" ht="12.75" customHeight="1" x14ac:dyDescent="0.35">
      <c r="A627" s="28"/>
      <c r="B627" s="28" t="s">
        <v>59</v>
      </c>
      <c r="C627" s="28"/>
      <c r="D627" s="28"/>
    </row>
    <row r="628" spans="1:4" ht="12.75" customHeight="1" x14ac:dyDescent="0.35">
      <c r="A628" s="28"/>
      <c r="B628" s="28" t="s">
        <v>739</v>
      </c>
      <c r="C628" s="28"/>
      <c r="D628" s="28"/>
    </row>
    <row r="629" spans="1:4" ht="12.75" customHeight="1" x14ac:dyDescent="0.35">
      <c r="A629" s="28"/>
      <c r="B629" s="28"/>
      <c r="C629" s="28" t="s">
        <v>565</v>
      </c>
      <c r="D629" s="28"/>
    </row>
    <row r="630" spans="1:4" ht="12.75" customHeight="1" x14ac:dyDescent="0.35">
      <c r="A630" s="28"/>
      <c r="B630" s="28"/>
      <c r="C630" s="28"/>
      <c r="D630" s="28"/>
    </row>
    <row r="631" spans="1:4" ht="12.75" customHeight="1" x14ac:dyDescent="0.35">
      <c r="A631" s="28"/>
      <c r="B631" s="28"/>
      <c r="C631" s="28"/>
      <c r="D631" s="28"/>
    </row>
    <row r="632" spans="1:4" ht="12.75" customHeight="1" x14ac:dyDescent="0.35">
      <c r="A632" s="28"/>
      <c r="B632" s="28"/>
      <c r="C632" s="28"/>
      <c r="D632" s="28"/>
    </row>
    <row r="633" spans="1:4" ht="12.75" customHeight="1" x14ac:dyDescent="0.35">
      <c r="A633" s="28"/>
      <c r="B633" s="28"/>
      <c r="C633" s="28"/>
      <c r="D633" s="28"/>
    </row>
    <row r="634" spans="1:4" ht="12.75" customHeight="1" x14ac:dyDescent="0.35">
      <c r="A634" s="28"/>
      <c r="B634" s="28"/>
      <c r="C634" s="28"/>
      <c r="D634" s="28"/>
    </row>
    <row r="635" spans="1:4" ht="12.75" customHeight="1" x14ac:dyDescent="0.35">
      <c r="A635" s="28"/>
      <c r="B635" s="28"/>
      <c r="C635" s="28"/>
      <c r="D635" s="28"/>
    </row>
    <row r="636" spans="1:4" ht="12.75" customHeight="1" x14ac:dyDescent="0.35">
      <c r="A636" s="28"/>
      <c r="B636" s="28"/>
      <c r="C636" s="28"/>
      <c r="D636" s="28"/>
    </row>
    <row r="637" spans="1:4" ht="12.75" customHeight="1" x14ac:dyDescent="0.35">
      <c r="A637" s="28"/>
      <c r="B637" s="28"/>
      <c r="C637" s="28"/>
      <c r="D637" s="28"/>
    </row>
    <row r="638" spans="1:4" ht="12.75" customHeight="1" x14ac:dyDescent="0.35">
      <c r="A638" s="28"/>
      <c r="B638" s="28"/>
      <c r="C638" s="28"/>
      <c r="D638" s="28"/>
    </row>
    <row r="639" spans="1:4" ht="12.75" customHeight="1" x14ac:dyDescent="0.35">
      <c r="A639" s="28"/>
      <c r="B639" s="28"/>
      <c r="C639" s="28"/>
      <c r="D639" s="28"/>
    </row>
    <row r="640" spans="1:4" ht="12.75" customHeight="1" x14ac:dyDescent="0.35">
      <c r="A640" s="28"/>
      <c r="B640" s="28"/>
      <c r="C640" s="28" t="s">
        <v>569</v>
      </c>
      <c r="D640" s="28"/>
    </row>
    <row r="641" spans="1:4" ht="12.75" customHeight="1" x14ac:dyDescent="0.35">
      <c r="A641" s="28"/>
      <c r="B641" s="28"/>
      <c r="C641" s="28"/>
      <c r="D641" s="28"/>
    </row>
    <row r="642" spans="1:4" ht="12.75" customHeight="1" x14ac:dyDescent="0.35">
      <c r="A642" s="28"/>
      <c r="B642" s="28"/>
      <c r="C642" s="28"/>
      <c r="D642" s="28"/>
    </row>
    <row r="643" spans="1:4" ht="12.75" customHeight="1" x14ac:dyDescent="0.35">
      <c r="A643" s="28"/>
      <c r="B643" s="28"/>
      <c r="C643" s="28"/>
      <c r="D643" s="28"/>
    </row>
    <row r="644" spans="1:4" ht="12.75" customHeight="1" x14ac:dyDescent="0.35">
      <c r="A644" s="28"/>
      <c r="B644" s="28"/>
      <c r="C644" s="28"/>
      <c r="D644" s="28"/>
    </row>
    <row r="645" spans="1:4" ht="12.75" customHeight="1" x14ac:dyDescent="0.35">
      <c r="A645" s="28"/>
      <c r="B645" s="28"/>
      <c r="C645" s="28"/>
      <c r="D645" s="28"/>
    </row>
    <row r="646" spans="1:4" ht="12.75" customHeight="1" x14ac:dyDescent="0.35">
      <c r="A646" s="28"/>
      <c r="B646" s="28"/>
      <c r="C646" s="28"/>
      <c r="D646" s="28"/>
    </row>
    <row r="647" spans="1:4" ht="12.75" customHeight="1" x14ac:dyDescent="0.35">
      <c r="A647" s="28"/>
      <c r="B647" s="28"/>
      <c r="C647" s="28"/>
      <c r="D647" s="28"/>
    </row>
    <row r="648" spans="1:4" ht="12.75" customHeight="1" x14ac:dyDescent="0.35">
      <c r="A648" s="28"/>
      <c r="B648" s="28"/>
      <c r="C648" s="28"/>
      <c r="D648" s="28"/>
    </row>
    <row r="649" spans="1:4" ht="12.75" customHeight="1" x14ac:dyDescent="0.35">
      <c r="A649" s="28"/>
      <c r="B649" s="28"/>
      <c r="C649" s="28"/>
      <c r="D649" s="28"/>
    </row>
    <row r="650" spans="1:4" ht="12.75" customHeight="1" x14ac:dyDescent="0.35">
      <c r="A650" s="28"/>
      <c r="B650" s="28"/>
      <c r="C650" s="28"/>
      <c r="D650" s="28"/>
    </row>
    <row r="651" spans="1:4" ht="12.75" customHeight="1" x14ac:dyDescent="0.35">
      <c r="A651" s="28"/>
      <c r="B651" s="28"/>
      <c r="C651" s="28" t="s">
        <v>585</v>
      </c>
      <c r="D651" s="28"/>
    </row>
    <row r="652" spans="1:4" ht="12.75" customHeight="1" x14ac:dyDescent="0.35">
      <c r="A652" s="28"/>
      <c r="B652" s="28"/>
      <c r="C652" s="28"/>
      <c r="D652" s="28"/>
    </row>
    <row r="653" spans="1:4" ht="12.75" customHeight="1" x14ac:dyDescent="0.35">
      <c r="A653" s="28"/>
      <c r="B653" s="28"/>
      <c r="C653" s="28"/>
      <c r="D653" s="28"/>
    </row>
    <row r="654" spans="1:4" ht="12.75" customHeight="1" x14ac:dyDescent="0.35">
      <c r="A654" s="28"/>
      <c r="B654" s="28"/>
      <c r="C654" s="28"/>
      <c r="D654" s="28"/>
    </row>
    <row r="655" spans="1:4" ht="12.75" customHeight="1" x14ac:dyDescent="0.35">
      <c r="A655" s="28"/>
      <c r="B655" s="28"/>
      <c r="C655" s="28"/>
      <c r="D655" s="28"/>
    </row>
    <row r="656" spans="1:4" ht="12.75" customHeight="1" x14ac:dyDescent="0.35">
      <c r="A656" s="28"/>
      <c r="B656" s="28"/>
      <c r="C656" s="28"/>
      <c r="D656" s="28"/>
    </row>
    <row r="657" spans="1:4" ht="12.75" customHeight="1" x14ac:dyDescent="0.35">
      <c r="A657" s="28"/>
      <c r="B657" s="28"/>
      <c r="C657" s="28"/>
      <c r="D657" s="28"/>
    </row>
    <row r="658" spans="1:4" ht="12.75" customHeight="1" x14ac:dyDescent="0.35">
      <c r="A658" s="28"/>
      <c r="B658" s="28"/>
      <c r="C658" s="28"/>
      <c r="D658" s="28"/>
    </row>
    <row r="659" spans="1:4" ht="12.75" customHeight="1" x14ac:dyDescent="0.35">
      <c r="A659" s="28"/>
      <c r="B659" s="28"/>
      <c r="C659" s="28"/>
      <c r="D659" s="28"/>
    </row>
    <row r="660" spans="1:4" ht="12.75" customHeight="1" x14ac:dyDescent="0.35">
      <c r="A660" s="28"/>
      <c r="B660" s="28"/>
      <c r="C660" s="28"/>
      <c r="D660" s="28"/>
    </row>
    <row r="661" spans="1:4" ht="12.75" customHeight="1" x14ac:dyDescent="0.35">
      <c r="A661" s="28"/>
      <c r="B661" s="28"/>
      <c r="C661" s="28"/>
      <c r="D661" s="28"/>
    </row>
    <row r="662" spans="1:4" ht="12.75" customHeight="1" x14ac:dyDescent="0.35">
      <c r="A662" s="28"/>
      <c r="B662" s="28"/>
      <c r="C662" s="28" t="s">
        <v>761</v>
      </c>
      <c r="D662" s="28"/>
    </row>
    <row r="663" spans="1:4" ht="12.75" customHeight="1" x14ac:dyDescent="0.35">
      <c r="A663" s="28"/>
      <c r="B663" s="28"/>
      <c r="C663" s="28"/>
      <c r="D663" s="28"/>
    </row>
    <row r="664" spans="1:4" ht="12.75" customHeight="1" x14ac:dyDescent="0.35">
      <c r="A664" s="28"/>
      <c r="B664" s="28"/>
      <c r="C664" s="28" t="s">
        <v>728</v>
      </c>
      <c r="D664" s="28"/>
    </row>
    <row r="665" spans="1:4" ht="12.75" customHeight="1" x14ac:dyDescent="0.35">
      <c r="A665" s="28"/>
      <c r="B665" s="28"/>
      <c r="C665" s="28"/>
      <c r="D665" s="28"/>
    </row>
    <row r="666" spans="1:4" ht="12.75" customHeight="1" x14ac:dyDescent="0.35">
      <c r="A666" s="28"/>
      <c r="B666" s="28"/>
      <c r="C666" s="28"/>
      <c r="D666" s="28"/>
    </row>
    <row r="667" spans="1:4" ht="12.75" customHeight="1" x14ac:dyDescent="0.35">
      <c r="A667" s="28"/>
      <c r="B667" s="28"/>
      <c r="C667" s="28"/>
      <c r="D667" s="28"/>
    </row>
    <row r="668" spans="1:4" ht="12.75" customHeight="1" x14ac:dyDescent="0.35">
      <c r="A668" s="28"/>
      <c r="B668" s="28" t="s">
        <v>739</v>
      </c>
      <c r="C668" s="28"/>
      <c r="D668" s="28"/>
    </row>
    <row r="669" spans="1:4" ht="12.75" customHeight="1" x14ac:dyDescent="0.35">
      <c r="A669" s="28"/>
      <c r="B669" s="28" t="s">
        <v>57</v>
      </c>
      <c r="C669" s="28"/>
      <c r="D669" s="28"/>
    </row>
    <row r="670" spans="1:4" ht="12.75" customHeight="1" x14ac:dyDescent="0.35">
      <c r="A670" s="28"/>
      <c r="B670" s="28" t="s">
        <v>770</v>
      </c>
      <c r="C670" s="28"/>
      <c r="D670" s="28"/>
    </row>
    <row r="671" spans="1:4" ht="12.75" customHeight="1" x14ac:dyDescent="0.35">
      <c r="A671" s="28"/>
      <c r="B671" s="28" t="s">
        <v>772</v>
      </c>
      <c r="C671" s="28"/>
      <c r="D671" s="28"/>
    </row>
    <row r="672" spans="1:4" ht="12.75" customHeight="1" x14ac:dyDescent="0.35">
      <c r="A672" s="28"/>
      <c r="B672" s="28"/>
      <c r="C672" s="28" t="s">
        <v>774</v>
      </c>
      <c r="D672" s="28"/>
    </row>
    <row r="673" spans="1:4" ht="12.75" customHeight="1" x14ac:dyDescent="0.35">
      <c r="A673" s="28"/>
      <c r="B673" s="28"/>
      <c r="C673" s="28"/>
      <c r="D673" s="28"/>
    </row>
    <row r="674" spans="1:4" ht="12.75" customHeight="1" x14ac:dyDescent="0.35">
      <c r="A674" s="28"/>
      <c r="B674" s="28"/>
      <c r="C674" s="28" t="s">
        <v>629</v>
      </c>
      <c r="D674" s="28"/>
    </row>
    <row r="675" spans="1:4" ht="12.75" customHeight="1" x14ac:dyDescent="0.35">
      <c r="A675" s="28"/>
      <c r="B675" s="1312" t="str">
        <f>"Free cash flow "&amp;IF(FCFEinUse&lt;&gt;1,"(FCF)","to firm (FCFF)")</f>
        <v>Free cash flow (FCF)</v>
      </c>
      <c r="C675" s="28"/>
      <c r="D675" s="28"/>
    </row>
    <row r="676" spans="1:4" ht="12.75" customHeight="1" x14ac:dyDescent="0.35">
      <c r="A676" s="28"/>
      <c r="B676" s="1312" t="str">
        <f>"Discounted free cash flow "&amp;IF(FCFEinUse&lt;&gt;1,"(DFCF)","to firm (DFCFF)")</f>
        <v>Discounted free cash flow (DFCF)</v>
      </c>
      <c r="C676" s="28"/>
      <c r="D676" s="28"/>
    </row>
    <row r="677" spans="1:4" ht="12.75" customHeight="1" x14ac:dyDescent="0.35">
      <c r="A677" s="28"/>
      <c r="B677" s="1312" t="str">
        <f>"Cumulative discounted free cash flow"&amp;IF(FCFEinUse&lt;&gt;1,""," to firm")</f>
        <v>Cumulative discounted free cash flow</v>
      </c>
      <c r="C677" s="28"/>
      <c r="D677" s="28"/>
    </row>
    <row r="678" spans="1:4" ht="12.75" customHeight="1" x14ac:dyDescent="0.35">
      <c r="A678" s="28"/>
      <c r="B678" s="28" t="s">
        <v>782</v>
      </c>
      <c r="C678" s="28"/>
      <c r="D678" s="28"/>
    </row>
    <row r="679" spans="1:4" ht="12.75" customHeight="1" x14ac:dyDescent="0.35">
      <c r="A679" s="28"/>
      <c r="B679" s="28" t="s">
        <v>784</v>
      </c>
      <c r="C679" s="28"/>
      <c r="D679" s="28"/>
    </row>
    <row r="680" spans="1:4" ht="12.75" customHeight="1" x14ac:dyDescent="0.35">
      <c r="A680" s="28"/>
      <c r="B680" s="28" t="s">
        <v>786</v>
      </c>
      <c r="C680" s="28"/>
      <c r="D680" s="28"/>
    </row>
    <row r="681" spans="1:4" ht="12.75" customHeight="1" x14ac:dyDescent="0.35">
      <c r="A681" s="28"/>
      <c r="B681" s="28" t="s">
        <v>789</v>
      </c>
      <c r="C681" s="28"/>
      <c r="D681" s="28"/>
    </row>
    <row r="682" spans="1:4" ht="12.75" customHeight="1" x14ac:dyDescent="0.35">
      <c r="A682" s="28"/>
      <c r="B682" s="28"/>
      <c r="C682" s="28" t="s">
        <v>791</v>
      </c>
      <c r="D682" s="28"/>
    </row>
    <row r="683" spans="1:4" ht="12.75" customHeight="1" x14ac:dyDescent="0.35">
      <c r="A683" s="28"/>
      <c r="B683" s="28"/>
      <c r="C683" s="28" t="s">
        <v>793</v>
      </c>
      <c r="D683" s="28"/>
    </row>
    <row r="684" spans="1:4" ht="12.75" customHeight="1" x14ac:dyDescent="0.35">
      <c r="A684" s="28"/>
      <c r="B684" s="28"/>
      <c r="C684" s="28" t="s">
        <v>795</v>
      </c>
      <c r="D684" s="28"/>
    </row>
    <row r="685" spans="1:4" ht="12.75" customHeight="1" x14ac:dyDescent="0.35">
      <c r="A685" s="28"/>
      <c r="B685" s="28"/>
      <c r="C685" s="28" t="s">
        <v>797</v>
      </c>
      <c r="D685" s="28"/>
    </row>
    <row r="686" spans="1:4" ht="12.75" customHeight="1" x14ac:dyDescent="0.35">
      <c r="A686" s="28"/>
      <c r="B686" s="28"/>
      <c r="C686" s="1312" t="str">
        <f>C684</f>
        <v>Long-term debt, increase (+) / decrease (-)</v>
      </c>
      <c r="D686" s="28"/>
    </row>
    <row r="687" spans="1:4" ht="12.75" customHeight="1" x14ac:dyDescent="0.35">
      <c r="A687" s="28"/>
      <c r="B687" s="28"/>
      <c r="C687" s="28" t="s">
        <v>800</v>
      </c>
      <c r="D687" s="28"/>
    </row>
    <row r="688" spans="1:4" ht="12.75" customHeight="1" x14ac:dyDescent="0.35">
      <c r="A688" s="28"/>
      <c r="B688" s="28"/>
      <c r="C688" s="28" t="s">
        <v>802</v>
      </c>
      <c r="D688" s="28"/>
    </row>
    <row r="689" spans="1:4" ht="12.75" customHeight="1" x14ac:dyDescent="0.35">
      <c r="A689" s="28"/>
      <c r="B689" s="28"/>
      <c r="C689" s="28" t="s">
        <v>5397</v>
      </c>
      <c r="D689" s="28"/>
    </row>
    <row r="690" spans="1:4" ht="12.75" customHeight="1" x14ac:dyDescent="0.35">
      <c r="A690" s="28"/>
      <c r="B690" s="28"/>
      <c r="C690" s="28" t="s">
        <v>804</v>
      </c>
      <c r="D690" s="28"/>
    </row>
    <row r="691" spans="1:4" ht="12.75" customHeight="1" x14ac:dyDescent="0.35">
      <c r="A691" s="28"/>
      <c r="B691" s="28"/>
      <c r="C691" s="28" t="s">
        <v>806</v>
      </c>
      <c r="D691" s="28"/>
    </row>
    <row r="692" spans="1:4" ht="12.75" customHeight="1" x14ac:dyDescent="0.35">
      <c r="A692" s="28"/>
      <c r="B692" s="97" t="s">
        <v>808</v>
      </c>
      <c r="D692" s="28"/>
    </row>
    <row r="693" spans="1:4" ht="12.75" customHeight="1" x14ac:dyDescent="0.35">
      <c r="A693" s="28"/>
      <c r="B693" s="97" t="s">
        <v>810</v>
      </c>
      <c r="D693" s="28"/>
    </row>
    <row r="694" spans="1:4" ht="12.75" customHeight="1" x14ac:dyDescent="0.35">
      <c r="A694" s="28"/>
      <c r="B694" s="97" t="s">
        <v>812</v>
      </c>
      <c r="D694" s="28"/>
    </row>
    <row r="695" spans="1:4" ht="12.75" customHeight="1" x14ac:dyDescent="0.35">
      <c r="A695" s="28"/>
      <c r="B695" s="97" t="s">
        <v>814</v>
      </c>
      <c r="D695" s="28"/>
    </row>
    <row r="696" spans="1:4" ht="12.75" customHeight="1" x14ac:dyDescent="0.35">
      <c r="A696" s="28"/>
      <c r="B696" s="28"/>
      <c r="C696" s="28" t="s">
        <v>816</v>
      </c>
      <c r="D696" s="28"/>
    </row>
    <row r="697" spans="1:4" ht="12.75" customHeight="1" x14ac:dyDescent="0.35">
      <c r="A697" s="28"/>
      <c r="B697" s="28"/>
      <c r="C697" s="28" t="s">
        <v>818</v>
      </c>
      <c r="D697" s="28"/>
    </row>
    <row r="698" spans="1:4" ht="12.75" customHeight="1" x14ac:dyDescent="0.35">
      <c r="A698" s="28"/>
      <c r="B698" s="28"/>
      <c r="C698" s="28" t="s">
        <v>820</v>
      </c>
      <c r="D698" s="28"/>
    </row>
    <row r="699" spans="1:4" ht="12.75" customHeight="1" x14ac:dyDescent="0.35">
      <c r="A699" s="28"/>
      <c r="B699" s="28"/>
      <c r="C699" s="28" t="s">
        <v>822</v>
      </c>
      <c r="D699" s="28"/>
    </row>
    <row r="700" spans="1:4" ht="12.75" customHeight="1" x14ac:dyDescent="0.35">
      <c r="A700" s="28"/>
      <c r="B700" s="28"/>
      <c r="C700" s="28" t="s">
        <v>824</v>
      </c>
      <c r="D700" s="28"/>
    </row>
    <row r="701" spans="1:4" ht="12.75" customHeight="1" x14ac:dyDescent="0.35">
      <c r="A701" s="28"/>
      <c r="B701" s="28"/>
      <c r="C701" s="28" t="s">
        <v>826</v>
      </c>
      <c r="D701" s="28"/>
    </row>
    <row r="702" spans="1:4" ht="12.75" customHeight="1" x14ac:dyDescent="0.35">
      <c r="A702" s="28"/>
      <c r="B702" s="28" t="s">
        <v>828</v>
      </c>
      <c r="C702" s="28"/>
      <c r="D702" s="28"/>
    </row>
    <row r="703" spans="1:4" ht="12.75" customHeight="1" x14ac:dyDescent="0.35">
      <c r="A703" s="28"/>
      <c r="B703" s="28" t="s">
        <v>830</v>
      </c>
      <c r="C703" s="28"/>
      <c r="D703" s="28"/>
    </row>
    <row r="704" spans="1:4" ht="12.75" customHeight="1" x14ac:dyDescent="0.35">
      <c r="A704" s="28"/>
      <c r="B704" s="28"/>
      <c r="C704" s="28"/>
      <c r="D704" s="28"/>
    </row>
    <row r="705" spans="1:4" ht="12.75" customHeight="1" x14ac:dyDescent="0.35">
      <c r="A705" s="28"/>
      <c r="B705" s="28"/>
      <c r="C705" s="28"/>
      <c r="D705" s="28"/>
    </row>
    <row r="706" spans="1:4" ht="12.75" customHeight="1" x14ac:dyDescent="0.35">
      <c r="A706" s="28"/>
      <c r="B706" s="28"/>
      <c r="C706" s="28"/>
      <c r="D706" s="28"/>
    </row>
    <row r="707" spans="1:4" ht="12.75" customHeight="1" x14ac:dyDescent="0.35">
      <c r="A707" s="28"/>
      <c r="B707" s="28" t="s">
        <v>835</v>
      </c>
      <c r="C707" s="28"/>
      <c r="D707" s="28"/>
    </row>
    <row r="708" spans="1:4" ht="12.75" customHeight="1" x14ac:dyDescent="0.35">
      <c r="A708" s="28"/>
      <c r="B708" s="28"/>
      <c r="C708" s="28"/>
      <c r="D708" s="28"/>
    </row>
    <row r="709" spans="1:4" ht="12.75" customHeight="1" x14ac:dyDescent="0.35">
      <c r="A709" s="28"/>
      <c r="B709" s="28" t="s">
        <v>59</v>
      </c>
      <c r="C709" s="28"/>
      <c r="D709" s="28"/>
    </row>
    <row r="710" spans="1:4" ht="12.75" customHeight="1" x14ac:dyDescent="0.35">
      <c r="A710" s="28"/>
      <c r="B710" s="28" t="s">
        <v>839</v>
      </c>
      <c r="C710" s="28"/>
      <c r="D710" s="28" t="s">
        <v>840</v>
      </c>
    </row>
    <row r="711" spans="1:4" ht="12.75" customHeight="1" x14ac:dyDescent="0.35">
      <c r="A711" s="28"/>
      <c r="B711" s="28" t="s">
        <v>842</v>
      </c>
      <c r="C711" s="28"/>
      <c r="D711" s="28"/>
    </row>
    <row r="712" spans="1:4" ht="12.75" customHeight="1" x14ac:dyDescent="0.35">
      <c r="A712" s="28"/>
      <c r="B712" s="28"/>
      <c r="C712" s="28" t="s">
        <v>844</v>
      </c>
      <c r="D712" s="28"/>
    </row>
    <row r="713" spans="1:4" ht="12.75" customHeight="1" x14ac:dyDescent="0.35">
      <c r="A713" s="28"/>
      <c r="B713" s="28"/>
      <c r="C713" s="28" t="s">
        <v>846</v>
      </c>
      <c r="D713" s="28"/>
    </row>
    <row r="714" spans="1:4" ht="12.75" customHeight="1" x14ac:dyDescent="0.35">
      <c r="A714" s="28"/>
      <c r="B714" s="28"/>
      <c r="C714" s="28" t="s">
        <v>848</v>
      </c>
      <c r="D714" s="28"/>
    </row>
    <row r="715" spans="1:4" ht="12.75" customHeight="1" x14ac:dyDescent="0.35">
      <c r="A715" s="28"/>
      <c r="B715" s="28"/>
      <c r="C715" s="28" t="s">
        <v>846</v>
      </c>
      <c r="D715" s="28"/>
    </row>
    <row r="716" spans="1:4" ht="12.75" customHeight="1" x14ac:dyDescent="0.35">
      <c r="A716" s="28"/>
      <c r="B716" s="28"/>
      <c r="C716" s="28" t="s">
        <v>851</v>
      </c>
      <c r="D716" s="28"/>
    </row>
    <row r="717" spans="1:4" ht="12.75" customHeight="1" x14ac:dyDescent="0.35">
      <c r="A717" s="28"/>
      <c r="B717" s="28"/>
      <c r="C717" s="103" t="s">
        <v>853</v>
      </c>
      <c r="D717" s="28"/>
    </row>
    <row r="718" spans="1:4" ht="12.75" customHeight="1" x14ac:dyDescent="0.35">
      <c r="A718" s="28"/>
      <c r="B718" s="28"/>
      <c r="C718" s="103" t="s">
        <v>855</v>
      </c>
      <c r="D718" s="28"/>
    </row>
    <row r="719" spans="1:4" ht="12.75" customHeight="1" x14ac:dyDescent="0.35">
      <c r="A719" s="28"/>
      <c r="B719" s="28"/>
      <c r="C719" s="103" t="s">
        <v>853</v>
      </c>
      <c r="D719" s="28"/>
    </row>
    <row r="720" spans="1:4" ht="12.75" customHeight="1" x14ac:dyDescent="0.35">
      <c r="A720" s="28"/>
      <c r="B720" s="28"/>
      <c r="C720" s="103" t="s">
        <v>851</v>
      </c>
      <c r="D720" s="28"/>
    </row>
    <row r="721" spans="1:4" ht="12.75" customHeight="1" x14ac:dyDescent="0.35">
      <c r="A721" s="28"/>
      <c r="B721" s="28"/>
      <c r="C721" s="103" t="s">
        <v>529</v>
      </c>
      <c r="D721" s="28"/>
    </row>
    <row r="722" spans="1:4" ht="12.75" customHeight="1" x14ac:dyDescent="0.35">
      <c r="A722" s="28"/>
      <c r="B722" s="28"/>
      <c r="C722" s="103" t="s">
        <v>860</v>
      </c>
      <c r="D722" s="28"/>
    </row>
    <row r="723" spans="1:4" ht="12.75" customHeight="1" x14ac:dyDescent="0.35">
      <c r="A723" s="28"/>
      <c r="B723" s="28"/>
      <c r="C723" s="103" t="s">
        <v>529</v>
      </c>
      <c r="D723" s="28"/>
    </row>
    <row r="724" spans="1:4" ht="12.75" customHeight="1" x14ac:dyDescent="0.35">
      <c r="A724" s="28"/>
      <c r="B724" s="28"/>
      <c r="C724" s="103" t="s">
        <v>851</v>
      </c>
      <c r="D724" s="28"/>
    </row>
    <row r="725" spans="1:4" ht="12.75" customHeight="1" x14ac:dyDescent="0.35">
      <c r="A725" s="28"/>
      <c r="B725" s="28"/>
      <c r="C725" s="103" t="s">
        <v>864</v>
      </c>
      <c r="D725" s="28"/>
    </row>
    <row r="726" spans="1:4" ht="12.75" customHeight="1" x14ac:dyDescent="0.35">
      <c r="A726" s="28"/>
      <c r="B726" s="28"/>
      <c r="C726" s="103" t="s">
        <v>866</v>
      </c>
      <c r="D726" s="28"/>
    </row>
    <row r="727" spans="1:4" ht="12.75" customHeight="1" x14ac:dyDescent="0.35">
      <c r="A727" s="28"/>
      <c r="B727" s="28"/>
      <c r="C727" s="103" t="s">
        <v>864</v>
      </c>
      <c r="D727" s="28"/>
    </row>
    <row r="728" spans="1:4" ht="12.75" customHeight="1" x14ac:dyDescent="0.35">
      <c r="A728" s="28"/>
      <c r="B728" s="28"/>
      <c r="C728" s="103" t="s">
        <v>851</v>
      </c>
      <c r="D728" s="28"/>
    </row>
    <row r="729" spans="1:4" ht="12.75" customHeight="1" x14ac:dyDescent="0.35">
      <c r="A729" s="28"/>
      <c r="B729" s="28"/>
      <c r="C729" s="28" t="s">
        <v>870</v>
      </c>
      <c r="D729" s="28"/>
    </row>
    <row r="730" spans="1:4" ht="12.75" customHeight="1" x14ac:dyDescent="0.35">
      <c r="A730" s="28"/>
      <c r="B730" s="28"/>
      <c r="C730" s="28" t="s">
        <v>872</v>
      </c>
      <c r="D730" s="28"/>
    </row>
    <row r="731" spans="1:4" ht="12.75" customHeight="1" x14ac:dyDescent="0.35">
      <c r="A731" s="28"/>
      <c r="B731" s="28"/>
      <c r="C731" s="28" t="s">
        <v>874</v>
      </c>
      <c r="D731" s="28"/>
    </row>
    <row r="732" spans="1:4" ht="12.75" customHeight="1" x14ac:dyDescent="0.35">
      <c r="A732" s="28"/>
      <c r="B732" s="28"/>
      <c r="C732" s="103" t="s">
        <v>872</v>
      </c>
      <c r="D732" s="28"/>
    </row>
    <row r="733" spans="1:4" ht="12.75" customHeight="1" x14ac:dyDescent="0.35">
      <c r="A733" s="28"/>
      <c r="B733" s="28"/>
      <c r="C733" s="103" t="s">
        <v>851</v>
      </c>
      <c r="D733" s="28"/>
    </row>
    <row r="734" spans="1:4" ht="12.75" customHeight="1" x14ac:dyDescent="0.35">
      <c r="A734" s="28"/>
      <c r="B734" s="28"/>
      <c r="C734" s="103" t="s">
        <v>878</v>
      </c>
      <c r="D734" s="28"/>
    </row>
    <row r="735" spans="1:4" ht="12.75" customHeight="1" x14ac:dyDescent="0.35">
      <c r="A735" s="28"/>
      <c r="B735" s="28"/>
      <c r="C735" s="103" t="s">
        <v>880</v>
      </c>
      <c r="D735" s="28"/>
    </row>
    <row r="736" spans="1:4" ht="12.75" customHeight="1" x14ac:dyDescent="0.35">
      <c r="A736" s="28"/>
      <c r="B736" s="28"/>
      <c r="C736" s="103" t="s">
        <v>878</v>
      </c>
      <c r="D736" s="28"/>
    </row>
    <row r="737" spans="1:4" ht="12.75" customHeight="1" x14ac:dyDescent="0.35">
      <c r="A737" s="28"/>
      <c r="B737" s="28"/>
      <c r="C737" s="103" t="s">
        <v>851</v>
      </c>
      <c r="D737" s="28"/>
    </row>
    <row r="738" spans="1:4" ht="12.75" customHeight="1" x14ac:dyDescent="0.35">
      <c r="A738" s="28"/>
      <c r="B738" s="28"/>
      <c r="C738" s="103" t="s">
        <v>884</v>
      </c>
      <c r="D738" s="28"/>
    </row>
    <row r="739" spans="1:4" ht="12.75" customHeight="1" x14ac:dyDescent="0.35">
      <c r="A739" s="28"/>
      <c r="B739" s="28"/>
      <c r="C739" s="103" t="s">
        <v>886</v>
      </c>
      <c r="D739" s="28"/>
    </row>
    <row r="740" spans="1:4" ht="12.75" customHeight="1" x14ac:dyDescent="0.35">
      <c r="A740" s="28"/>
      <c r="B740" s="28"/>
      <c r="C740" s="103" t="s">
        <v>884</v>
      </c>
      <c r="D740" s="28"/>
    </row>
    <row r="741" spans="1:4" ht="12.75" customHeight="1" x14ac:dyDescent="0.35">
      <c r="A741" s="28"/>
      <c r="B741" s="28"/>
      <c r="C741" s="103" t="s">
        <v>851</v>
      </c>
      <c r="D741" s="28"/>
    </row>
    <row r="742" spans="1:4" ht="12.75" customHeight="1" x14ac:dyDescent="0.35">
      <c r="A742" s="28"/>
      <c r="B742" s="28"/>
      <c r="C742" s="103" t="s">
        <v>890</v>
      </c>
      <c r="D742" s="28"/>
    </row>
    <row r="743" spans="1:4" ht="12.75" customHeight="1" x14ac:dyDescent="0.35">
      <c r="A743" s="28"/>
      <c r="B743" s="28"/>
      <c r="C743" s="103" t="s">
        <v>892</v>
      </c>
      <c r="D743" s="28"/>
    </row>
    <row r="744" spans="1:4" ht="12.75" customHeight="1" x14ac:dyDescent="0.35">
      <c r="A744" s="28"/>
      <c r="B744" s="28"/>
      <c r="C744" s="103" t="s">
        <v>890</v>
      </c>
      <c r="D744" s="28"/>
    </row>
    <row r="745" spans="1:4" ht="12.75" customHeight="1" x14ac:dyDescent="0.35">
      <c r="A745" s="28"/>
      <c r="B745" s="28"/>
      <c r="C745" s="103" t="s">
        <v>851</v>
      </c>
      <c r="D745" s="28"/>
    </row>
    <row r="746" spans="1:4" ht="12.75" customHeight="1" x14ac:dyDescent="0.35">
      <c r="A746" s="28"/>
      <c r="B746" s="28"/>
      <c r="C746" s="103" t="s">
        <v>896</v>
      </c>
      <c r="D746" s="28"/>
    </row>
    <row r="747" spans="1:4" ht="12.75" customHeight="1" x14ac:dyDescent="0.35">
      <c r="A747" s="28"/>
      <c r="B747" s="28"/>
      <c r="C747" s="103" t="s">
        <v>898</v>
      </c>
      <c r="D747" s="28"/>
    </row>
    <row r="748" spans="1:4" ht="12.75" customHeight="1" x14ac:dyDescent="0.35">
      <c r="A748" s="28"/>
      <c r="B748" s="28"/>
      <c r="C748" s="103" t="s">
        <v>896</v>
      </c>
      <c r="D748" s="28"/>
    </row>
    <row r="749" spans="1:4" ht="12.75" customHeight="1" x14ac:dyDescent="0.35">
      <c r="A749" s="28"/>
      <c r="B749" s="28"/>
      <c r="C749" s="103" t="s">
        <v>851</v>
      </c>
      <c r="D749" s="28"/>
    </row>
    <row r="750" spans="1:4" ht="12.75" customHeight="1" x14ac:dyDescent="0.35">
      <c r="A750" s="28"/>
      <c r="B750" s="28"/>
      <c r="C750" s="28" t="s">
        <v>390</v>
      </c>
      <c r="D750" s="28"/>
    </row>
    <row r="751" spans="1:4" ht="12.75" customHeight="1" x14ac:dyDescent="0.35">
      <c r="A751" s="28"/>
      <c r="B751" s="28"/>
      <c r="C751" s="28" t="s">
        <v>903</v>
      </c>
      <c r="D751" s="28"/>
    </row>
    <row r="752" spans="1:4" ht="12.75" customHeight="1" x14ac:dyDescent="0.35">
      <c r="A752" s="28"/>
      <c r="B752" s="28"/>
      <c r="C752" s="28" t="s">
        <v>905</v>
      </c>
      <c r="D752" s="28"/>
    </row>
    <row r="753" spans="1:4" ht="12.75" customHeight="1" x14ac:dyDescent="0.35">
      <c r="A753" s="28"/>
      <c r="B753" s="28"/>
      <c r="C753" s="103" t="s">
        <v>903</v>
      </c>
      <c r="D753" s="28"/>
    </row>
    <row r="754" spans="1:4" ht="12.75" customHeight="1" x14ac:dyDescent="0.35">
      <c r="A754" s="28"/>
      <c r="B754" s="28"/>
      <c r="C754" s="103" t="s">
        <v>851</v>
      </c>
      <c r="D754" s="28"/>
    </row>
    <row r="755" spans="1:4" ht="12.75" customHeight="1" x14ac:dyDescent="0.35">
      <c r="A755" s="28"/>
      <c r="B755" s="28"/>
      <c r="C755" s="103" t="s">
        <v>909</v>
      </c>
      <c r="D755" s="28"/>
    </row>
    <row r="756" spans="1:4" ht="12.75" customHeight="1" x14ac:dyDescent="0.35">
      <c r="A756" s="28"/>
      <c r="B756" s="28"/>
      <c r="C756" s="103" t="s">
        <v>911</v>
      </c>
      <c r="D756" s="28"/>
    </row>
    <row r="757" spans="1:4" ht="12.75" customHeight="1" x14ac:dyDescent="0.35">
      <c r="A757" s="28"/>
      <c r="B757" s="28"/>
      <c r="C757" s="103" t="s">
        <v>909</v>
      </c>
      <c r="D757" s="28"/>
    </row>
    <row r="758" spans="1:4" ht="12.75" customHeight="1" x14ac:dyDescent="0.35">
      <c r="A758" s="28"/>
      <c r="B758" s="28"/>
      <c r="C758" s="103" t="s">
        <v>851</v>
      </c>
      <c r="D758" s="28"/>
    </row>
    <row r="759" spans="1:4" ht="12.75" customHeight="1" x14ac:dyDescent="0.35">
      <c r="A759" s="28"/>
      <c r="B759" s="28"/>
      <c r="C759" s="103" t="s">
        <v>915</v>
      </c>
      <c r="D759" s="28"/>
    </row>
    <row r="760" spans="1:4" ht="12.75" customHeight="1" x14ac:dyDescent="0.35">
      <c r="A760" s="28"/>
      <c r="B760" s="28"/>
      <c r="C760" s="103" t="s">
        <v>917</v>
      </c>
      <c r="D760" s="28"/>
    </row>
    <row r="761" spans="1:4" ht="12.75" customHeight="1" x14ac:dyDescent="0.35">
      <c r="A761" s="28"/>
      <c r="B761" s="28"/>
      <c r="C761" s="103" t="s">
        <v>915</v>
      </c>
      <c r="D761" s="28"/>
    </row>
    <row r="762" spans="1:4" ht="12.75" customHeight="1" x14ac:dyDescent="0.35">
      <c r="A762" s="28"/>
      <c r="B762" s="28"/>
      <c r="C762" s="103" t="s">
        <v>851</v>
      </c>
      <c r="D762" s="28"/>
    </row>
    <row r="763" spans="1:4" ht="12.75" customHeight="1" x14ac:dyDescent="0.35">
      <c r="A763" s="28"/>
      <c r="B763" s="28"/>
      <c r="C763" s="103" t="s">
        <v>921</v>
      </c>
      <c r="D763" s="28"/>
    </row>
    <row r="764" spans="1:4" ht="12.75" customHeight="1" x14ac:dyDescent="0.35">
      <c r="A764" s="28"/>
      <c r="B764" s="28"/>
      <c r="C764" s="103" t="s">
        <v>923</v>
      </c>
      <c r="D764" s="28"/>
    </row>
    <row r="765" spans="1:4" ht="12.75" customHeight="1" x14ac:dyDescent="0.35">
      <c r="A765" s="28"/>
      <c r="B765" s="28"/>
      <c r="C765" s="103" t="s">
        <v>921</v>
      </c>
      <c r="D765" s="28"/>
    </row>
    <row r="766" spans="1:4" ht="12.75" customHeight="1" x14ac:dyDescent="0.35">
      <c r="A766" s="28"/>
      <c r="B766" s="28"/>
      <c r="C766" s="103" t="s">
        <v>851</v>
      </c>
      <c r="D766" s="28"/>
    </row>
    <row r="767" spans="1:4" ht="12.75" customHeight="1" x14ac:dyDescent="0.35">
      <c r="A767" s="28"/>
      <c r="B767" s="28"/>
      <c r="C767" s="1312" t="str">
        <f>"Total "&amp;LOWER(B711)</f>
        <v>Total fixed assets and other non-current assets</v>
      </c>
      <c r="D767" s="28"/>
    </row>
    <row r="768" spans="1:4" ht="12.75" customHeight="1" x14ac:dyDescent="0.35">
      <c r="A768" s="28"/>
      <c r="B768" s="28" t="s">
        <v>928</v>
      </c>
      <c r="C768" s="28"/>
      <c r="D768" s="28"/>
    </row>
    <row r="769" spans="1:4" ht="12.75" customHeight="1" x14ac:dyDescent="0.35">
      <c r="A769" s="28"/>
      <c r="B769" s="28"/>
      <c r="C769" s="28" t="s">
        <v>930</v>
      </c>
      <c r="D769" s="28"/>
    </row>
    <row r="770" spans="1:4" ht="12.75" customHeight="1" x14ac:dyDescent="0.35">
      <c r="A770" s="28"/>
      <c r="B770" s="28"/>
      <c r="C770" s="28" t="s">
        <v>696</v>
      </c>
      <c r="D770" s="28"/>
    </row>
    <row r="771" spans="1:4" ht="12.75" customHeight="1" x14ac:dyDescent="0.35">
      <c r="A771" s="28"/>
      <c r="B771" s="28"/>
      <c r="C771" s="28" t="s">
        <v>5357</v>
      </c>
      <c r="D771" s="28"/>
    </row>
    <row r="772" spans="1:4" ht="12.75" customHeight="1" x14ac:dyDescent="0.35">
      <c r="A772" s="28"/>
      <c r="B772" s="28"/>
      <c r="C772" s="28" t="s">
        <v>700</v>
      </c>
      <c r="D772" s="28"/>
    </row>
    <row r="773" spans="1:4" ht="12.75" customHeight="1" x14ac:dyDescent="0.35">
      <c r="A773" s="28"/>
      <c r="B773" s="28"/>
      <c r="C773" s="28" t="s">
        <v>5366</v>
      </c>
      <c r="D773" s="28"/>
    </row>
    <row r="774" spans="1:4" ht="12.75" customHeight="1" x14ac:dyDescent="0.35">
      <c r="A774" s="28"/>
      <c r="B774" s="28"/>
      <c r="C774" s="28" t="s">
        <v>934</v>
      </c>
      <c r="D774" s="28"/>
    </row>
    <row r="775" spans="1:4" ht="12.75" customHeight="1" x14ac:dyDescent="0.35">
      <c r="A775" s="28"/>
      <c r="B775" s="28"/>
      <c r="C775" s="28" t="s">
        <v>1749</v>
      </c>
      <c r="D775" s="28"/>
    </row>
    <row r="776" spans="1:4" ht="12.75" customHeight="1" x14ac:dyDescent="0.35">
      <c r="A776" s="28"/>
      <c r="B776" s="28" t="s">
        <v>839</v>
      </c>
      <c r="C776" s="28"/>
      <c r="D776" s="28"/>
    </row>
    <row r="777" spans="1:4" ht="12.75" customHeight="1" x14ac:dyDescent="0.35">
      <c r="A777" s="28"/>
      <c r="B777" s="28"/>
      <c r="C777" s="28"/>
      <c r="D777" s="28"/>
    </row>
    <row r="778" spans="1:4" ht="12.75" customHeight="1" x14ac:dyDescent="0.35">
      <c r="A778" s="28"/>
      <c r="B778" s="28"/>
      <c r="C778" s="28"/>
      <c r="D778" s="28"/>
    </row>
    <row r="779" spans="1:4" ht="12.75" customHeight="1" x14ac:dyDescent="0.35">
      <c r="A779" s="28"/>
      <c r="B779" s="28"/>
      <c r="C779" s="28"/>
      <c r="D779" s="28"/>
    </row>
    <row r="780" spans="1:4" ht="12.75" customHeight="1" x14ac:dyDescent="0.35">
      <c r="A780" s="28"/>
      <c r="B780" s="28"/>
      <c r="C780" s="28"/>
      <c r="D780" s="28"/>
    </row>
    <row r="781" spans="1:4" ht="12.75" customHeight="1" x14ac:dyDescent="0.35">
      <c r="A781" s="28"/>
      <c r="B781" s="28"/>
      <c r="C781" s="28"/>
      <c r="D781" s="28"/>
    </row>
    <row r="782" spans="1:4" ht="12.75" customHeight="1" x14ac:dyDescent="0.35">
      <c r="A782" s="28"/>
      <c r="B782" s="28"/>
      <c r="C782" s="28"/>
      <c r="D782" s="28"/>
    </row>
    <row r="783" spans="1:4" ht="12.75" customHeight="1" x14ac:dyDescent="0.35">
      <c r="A783" s="28"/>
      <c r="B783" s="28"/>
      <c r="C783" s="28"/>
      <c r="D783" s="28"/>
    </row>
    <row r="784" spans="1:4" ht="12.75" customHeight="1" x14ac:dyDescent="0.35">
      <c r="A784" s="28"/>
      <c r="B784" s="28"/>
      <c r="C784" s="28"/>
      <c r="D784" s="28"/>
    </row>
    <row r="785" spans="1:4" ht="12.75" customHeight="1" x14ac:dyDescent="0.35">
      <c r="A785" s="28"/>
      <c r="B785" s="28"/>
      <c r="C785" s="28"/>
      <c r="D785" s="28"/>
    </row>
    <row r="786" spans="1:4" ht="12.75" customHeight="1" x14ac:dyDescent="0.35">
      <c r="A786" s="28"/>
      <c r="B786" s="28"/>
      <c r="C786" s="28"/>
      <c r="D786" s="28"/>
    </row>
    <row r="787" spans="1:4" ht="12.75" customHeight="1" x14ac:dyDescent="0.35">
      <c r="A787" s="28"/>
      <c r="B787" s="28"/>
      <c r="C787" s="28"/>
      <c r="D787" s="28"/>
    </row>
    <row r="788" spans="1:4" ht="12.75" customHeight="1" x14ac:dyDescent="0.35">
      <c r="A788" s="28"/>
      <c r="B788" s="28"/>
      <c r="C788" s="28"/>
      <c r="D788" s="28"/>
    </row>
    <row r="789" spans="1:4" ht="12.75" customHeight="1" x14ac:dyDescent="0.35">
      <c r="A789" s="28"/>
      <c r="B789" s="28" t="s">
        <v>951</v>
      </c>
      <c r="C789" s="28"/>
      <c r="D789" s="28"/>
    </row>
    <row r="790" spans="1:4" ht="12.75" customHeight="1" x14ac:dyDescent="0.35">
      <c r="A790" s="28"/>
      <c r="B790" s="28" t="s">
        <v>953</v>
      </c>
      <c r="C790" s="28"/>
      <c r="D790" s="28"/>
    </row>
    <row r="791" spans="1:4" ht="12.75" customHeight="1" x14ac:dyDescent="0.35">
      <c r="A791" s="28"/>
      <c r="B791" s="28" t="s">
        <v>955</v>
      </c>
      <c r="C791" s="28"/>
      <c r="D791" s="28"/>
    </row>
    <row r="792" spans="1:4" ht="12.75" customHeight="1" x14ac:dyDescent="0.35">
      <c r="A792" s="28"/>
      <c r="B792" s="28"/>
      <c r="C792" s="28"/>
      <c r="D792" s="28"/>
    </row>
    <row r="793" spans="1:4" ht="12.75" customHeight="1" x14ac:dyDescent="0.35">
      <c r="A793" s="28"/>
      <c r="B793" s="28" t="s">
        <v>957</v>
      </c>
      <c r="C793" s="28"/>
      <c r="D793" s="28"/>
    </row>
    <row r="794" spans="1:4" ht="12.75" customHeight="1" x14ac:dyDescent="0.35">
      <c r="A794" s="28"/>
      <c r="B794" s="28" t="s">
        <v>959</v>
      </c>
      <c r="C794" s="28"/>
      <c r="D794" s="28"/>
    </row>
    <row r="795" spans="1:4" ht="12.75" customHeight="1" x14ac:dyDescent="0.35">
      <c r="A795" s="28"/>
      <c r="B795" s="28"/>
      <c r="C795" s="28" t="s">
        <v>425</v>
      </c>
      <c r="D795" s="28"/>
    </row>
    <row r="796" spans="1:4" ht="12.75" customHeight="1" x14ac:dyDescent="0.35">
      <c r="A796" s="28"/>
      <c r="B796" s="28"/>
      <c r="C796" s="28" t="s">
        <v>428</v>
      </c>
      <c r="D796" s="28"/>
    </row>
    <row r="797" spans="1:4" ht="12.75" customHeight="1" x14ac:dyDescent="0.35">
      <c r="A797" s="28"/>
      <c r="B797" s="28"/>
      <c r="C797" s="28" t="s">
        <v>430</v>
      </c>
      <c r="D797" s="28"/>
    </row>
    <row r="798" spans="1:4" ht="12.75" customHeight="1" x14ac:dyDescent="0.35">
      <c r="A798" s="28"/>
      <c r="B798" s="28"/>
      <c r="C798" s="28" t="s">
        <v>432</v>
      </c>
      <c r="D798" s="28"/>
    </row>
    <row r="799" spans="1:4" ht="12.75" customHeight="1" x14ac:dyDescent="0.35">
      <c r="A799" s="28"/>
      <c r="B799" s="28"/>
      <c r="C799" s="28" t="s">
        <v>434</v>
      </c>
      <c r="D799" s="28"/>
    </row>
    <row r="800" spans="1:4" ht="12.75" customHeight="1" x14ac:dyDescent="0.35">
      <c r="A800" s="28"/>
      <c r="B800" s="28"/>
      <c r="C800" s="28" t="s">
        <v>966</v>
      </c>
      <c r="D800" s="28"/>
    </row>
    <row r="801" spans="1:4" ht="12.75" customHeight="1" x14ac:dyDescent="0.35">
      <c r="A801" s="28"/>
      <c r="B801" s="28" t="s">
        <v>968</v>
      </c>
      <c r="C801" s="28"/>
      <c r="D801" s="28"/>
    </row>
    <row r="802" spans="1:4" ht="12.75" customHeight="1" x14ac:dyDescent="0.35">
      <c r="A802" s="28"/>
      <c r="B802" s="28" t="s">
        <v>970</v>
      </c>
      <c r="C802" s="28"/>
      <c r="D802" s="28"/>
    </row>
    <row r="803" spans="1:4" ht="12.75" customHeight="1" x14ac:dyDescent="0.35">
      <c r="A803" s="28"/>
      <c r="B803" s="28" t="s">
        <v>633</v>
      </c>
      <c r="C803" s="28"/>
      <c r="D803" s="28"/>
    </row>
    <row r="804" spans="1:4" ht="12.75" customHeight="1" x14ac:dyDescent="0.35">
      <c r="A804" s="28"/>
      <c r="B804" s="28" t="s">
        <v>973</v>
      </c>
      <c r="C804" s="28"/>
      <c r="D804" s="28"/>
    </row>
    <row r="805" spans="1:4" ht="12.75" customHeight="1" x14ac:dyDescent="0.35">
      <c r="A805" s="28"/>
      <c r="B805" s="28"/>
      <c r="C805" s="28" t="s">
        <v>975</v>
      </c>
      <c r="D805" s="28"/>
    </row>
    <row r="806" spans="1:4" ht="12.75" customHeight="1" x14ac:dyDescent="0.35">
      <c r="A806" s="28"/>
      <c r="B806" s="28"/>
      <c r="C806" s="28" t="s">
        <v>977</v>
      </c>
      <c r="D806" s="28"/>
    </row>
    <row r="807" spans="1:4" ht="12.75" customHeight="1" x14ac:dyDescent="0.35">
      <c r="A807" s="28"/>
      <c r="B807" s="28"/>
      <c r="C807" s="28" t="s">
        <v>5404</v>
      </c>
      <c r="D807" s="28"/>
    </row>
    <row r="808" spans="1:4" ht="12.75" customHeight="1" x14ac:dyDescent="0.35">
      <c r="A808" s="28"/>
      <c r="B808" s="28"/>
      <c r="C808" s="28" t="s">
        <v>979</v>
      </c>
      <c r="D808" s="28"/>
    </row>
    <row r="809" spans="1:4" ht="12.75" customHeight="1" x14ac:dyDescent="0.35">
      <c r="A809" s="28"/>
      <c r="B809" s="28"/>
      <c r="C809" s="97" t="s">
        <v>981</v>
      </c>
      <c r="D809" s="28"/>
    </row>
    <row r="810" spans="1:4" ht="12.75" customHeight="1" x14ac:dyDescent="0.35">
      <c r="A810" s="28"/>
      <c r="B810" s="28"/>
      <c r="C810" s="28" t="s">
        <v>57</v>
      </c>
      <c r="D810" s="28"/>
    </row>
    <row r="811" spans="1:4" ht="12.75" customHeight="1" x14ac:dyDescent="0.35">
      <c r="A811" s="28"/>
      <c r="B811" s="28"/>
      <c r="C811" s="28" t="s">
        <v>985</v>
      </c>
      <c r="D811" s="28"/>
    </row>
    <row r="812" spans="1:4" ht="12.75" customHeight="1" x14ac:dyDescent="0.35">
      <c r="A812" s="28"/>
      <c r="B812" s="28"/>
      <c r="C812" s="28" t="s">
        <v>987</v>
      </c>
      <c r="D812" s="28"/>
    </row>
    <row r="813" spans="1:4" ht="12.75" customHeight="1" x14ac:dyDescent="0.35">
      <c r="A813" s="28"/>
      <c r="B813" s="28"/>
      <c r="C813" s="28" t="s">
        <v>989</v>
      </c>
      <c r="D813" s="28"/>
    </row>
    <row r="814" spans="1:4" ht="12.75" customHeight="1" x14ac:dyDescent="0.35">
      <c r="A814" s="28"/>
      <c r="B814" s="28"/>
      <c r="C814" s="28" t="s">
        <v>991</v>
      </c>
      <c r="D814" s="28"/>
    </row>
    <row r="815" spans="1:4" ht="12.75" customHeight="1" x14ac:dyDescent="0.35">
      <c r="A815" s="28"/>
      <c r="B815" s="28"/>
      <c r="C815" s="28" t="s">
        <v>993</v>
      </c>
      <c r="D815" s="28"/>
    </row>
    <row r="816" spans="1:4" ht="12.75" customHeight="1" x14ac:dyDescent="0.35">
      <c r="A816" s="28"/>
      <c r="B816" s="28"/>
      <c r="C816" s="28" t="s">
        <v>719</v>
      </c>
      <c r="D816" s="28"/>
    </row>
    <row r="817" spans="1:4" ht="12.75" customHeight="1" x14ac:dyDescent="0.35">
      <c r="A817" s="28"/>
      <c r="B817" s="28"/>
      <c r="C817" s="28" t="s">
        <v>5377</v>
      </c>
      <c r="D817" s="28"/>
    </row>
    <row r="818" spans="1:4" ht="12.75" customHeight="1" x14ac:dyDescent="0.35">
      <c r="A818" s="28"/>
      <c r="B818" s="28"/>
      <c r="C818" s="28" t="s">
        <v>996</v>
      </c>
      <c r="D818" s="28"/>
    </row>
    <row r="819" spans="1:4" ht="12.75" customHeight="1" x14ac:dyDescent="0.35">
      <c r="A819" s="28"/>
      <c r="B819" s="28"/>
      <c r="C819" s="28" t="s">
        <v>5412</v>
      </c>
      <c r="D819" s="28"/>
    </row>
    <row r="820" spans="1:4" ht="12.75" customHeight="1" x14ac:dyDescent="0.35">
      <c r="A820" s="28"/>
      <c r="B820" s="28"/>
      <c r="C820" s="28" t="s">
        <v>998</v>
      </c>
      <c r="D820" s="28"/>
    </row>
    <row r="821" spans="1:4" ht="12.75" customHeight="1" x14ac:dyDescent="0.35">
      <c r="A821" s="28"/>
      <c r="B821" s="28"/>
      <c r="C821" s="28" t="s">
        <v>1000</v>
      </c>
      <c r="D821" s="28"/>
    </row>
    <row r="822" spans="1:4" ht="12.75" customHeight="1" x14ac:dyDescent="0.35">
      <c r="A822" s="28"/>
      <c r="B822" s="28"/>
      <c r="C822" s="28" t="s">
        <v>1002</v>
      </c>
      <c r="D822" s="28"/>
    </row>
    <row r="823" spans="1:4" ht="12.75" customHeight="1" x14ac:dyDescent="0.35">
      <c r="A823" s="28"/>
      <c r="B823" s="28" t="s">
        <v>957</v>
      </c>
      <c r="C823" s="28"/>
      <c r="D823" s="28"/>
    </row>
    <row r="824" spans="1:4" ht="12.75" customHeight="1" x14ac:dyDescent="0.35">
      <c r="A824" s="28"/>
      <c r="B824" s="28" t="s">
        <v>1005</v>
      </c>
      <c r="C824" s="28"/>
      <c r="D824" s="28"/>
    </row>
    <row r="825" spans="1:4" ht="12.75" customHeight="1" x14ac:dyDescent="0.35">
      <c r="A825" s="28"/>
      <c r="B825" s="28" t="s">
        <v>536</v>
      </c>
      <c r="C825" s="28"/>
      <c r="D825" s="28"/>
    </row>
    <row r="826" spans="1:4" ht="12.75" customHeight="1" x14ac:dyDescent="0.35">
      <c r="A826" s="28"/>
      <c r="B826" s="28" t="s">
        <v>633</v>
      </c>
      <c r="C826" s="28"/>
      <c r="D826" s="28"/>
    </row>
    <row r="827" spans="1:4" ht="12.75" customHeight="1" x14ac:dyDescent="0.35">
      <c r="A827" s="28"/>
      <c r="B827" s="28" t="s">
        <v>440</v>
      </c>
      <c r="C827" s="28"/>
      <c r="D827" s="28"/>
    </row>
    <row r="828" spans="1:4" ht="12.75" customHeight="1" x14ac:dyDescent="0.35">
      <c r="A828" s="28"/>
      <c r="B828" s="28" t="s">
        <v>977</v>
      </c>
      <c r="C828" s="28"/>
      <c r="D828" s="28"/>
    </row>
    <row r="829" spans="1:4" ht="12.75" customHeight="1" x14ac:dyDescent="0.35">
      <c r="A829" s="28"/>
      <c r="B829" s="28" t="s">
        <v>987</v>
      </c>
      <c r="C829" s="28"/>
      <c r="D829" s="28"/>
    </row>
    <row r="830" spans="1:4" ht="12.75" customHeight="1" x14ac:dyDescent="0.35">
      <c r="A830" s="28"/>
      <c r="B830" s="28" t="s">
        <v>1012</v>
      </c>
      <c r="C830" s="28"/>
      <c r="D830" s="28"/>
    </row>
    <row r="831" spans="1:4" ht="12.75" customHeight="1" x14ac:dyDescent="0.35">
      <c r="A831" s="28"/>
      <c r="B831" s="28" t="s">
        <v>1014</v>
      </c>
      <c r="C831" s="28"/>
      <c r="D831" s="28"/>
    </row>
    <row r="832" spans="1:4" ht="12.75" customHeight="1" x14ac:dyDescent="0.35">
      <c r="A832" s="28"/>
      <c r="B832" s="28"/>
      <c r="C832" s="28"/>
      <c r="D832" s="28"/>
    </row>
    <row r="833" spans="1:4" ht="12.75" customHeight="1" x14ac:dyDescent="0.35">
      <c r="A833" s="28"/>
      <c r="B833" s="28" t="s">
        <v>1016</v>
      </c>
      <c r="C833" s="28"/>
      <c r="D833" s="28"/>
    </row>
    <row r="834" spans="1:4" ht="12.75" customHeight="1" x14ac:dyDescent="0.35">
      <c r="A834" s="28"/>
      <c r="B834" s="28" t="s">
        <v>1018</v>
      </c>
      <c r="C834" s="28"/>
      <c r="D834" s="28"/>
    </row>
    <row r="835" spans="1:4" ht="12.75" customHeight="1" x14ac:dyDescent="0.35">
      <c r="A835" s="28"/>
      <c r="B835" s="28" t="s">
        <v>786</v>
      </c>
      <c r="C835" s="28"/>
      <c r="D835" s="28"/>
    </row>
    <row r="836" spans="1:4" ht="12.75" customHeight="1" x14ac:dyDescent="0.35">
      <c r="A836" s="28"/>
      <c r="B836" s="28" t="s">
        <v>1021</v>
      </c>
      <c r="C836" s="28"/>
      <c r="D836" s="28"/>
    </row>
    <row r="837" spans="1:4" ht="12.75" customHeight="1" x14ac:dyDescent="0.35"/>
    <row r="838" spans="1:4" ht="12.75" customHeight="1" x14ac:dyDescent="0.35"/>
    <row r="839" spans="1:4" ht="12.75" customHeight="1" x14ac:dyDescent="0.35"/>
    <row r="840" spans="1:4" ht="12.75" customHeight="1" x14ac:dyDescent="0.35">
      <c r="B840" s="97" t="s">
        <v>1026</v>
      </c>
    </row>
    <row r="841" spans="1:4" ht="12.75" customHeight="1" x14ac:dyDescent="0.35"/>
    <row r="842" spans="1:4" ht="12.75" customHeight="1" x14ac:dyDescent="0.35">
      <c r="B842" s="28" t="s">
        <v>59</v>
      </c>
    </row>
  </sheetData>
  <printOptions gridLines="1"/>
  <pageMargins left="0.75" right="0.75" top="1" bottom="1" header="0.5" footer="0.5"/>
  <pageSetup paperSize="9" orientation="portrait" r:id="rId1"/>
  <headerFooter>
    <oddHeader>&amp;C&amp;A</oddHeader>
    <oddFooter>&amp;CPage &amp;P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9">
    <pageSetUpPr autoPageBreaks="0"/>
  </sheetPr>
  <dimension ref="A1:D842"/>
  <sheetViews>
    <sheetView topLeftCell="A768" workbookViewId="0">
      <selection activeCell="C819" sqref="C819"/>
    </sheetView>
  </sheetViews>
  <sheetFormatPr defaultColWidth="9.1796875" defaultRowHeight="14.5" x14ac:dyDescent="0.35"/>
  <cols>
    <col min="1" max="1" width="0.81640625" style="97" customWidth="1"/>
    <col min="2" max="16384" width="9.1796875" style="97"/>
  </cols>
  <sheetData>
    <row r="1" spans="1:4" ht="12.75" customHeight="1" x14ac:dyDescent="0.35">
      <c r="A1" s="28"/>
      <c r="B1" s="28" t="s">
        <v>2570</v>
      </c>
      <c r="C1" s="28"/>
      <c r="D1" s="28"/>
    </row>
    <row r="2" spans="1:4" ht="12.75" customHeight="1" x14ac:dyDescent="0.35">
      <c r="A2" s="28"/>
      <c r="B2" s="28" t="s">
        <v>2571</v>
      </c>
      <c r="C2" s="28"/>
      <c r="D2" s="28"/>
    </row>
    <row r="3" spans="1:4" ht="12.75" customHeight="1" x14ac:dyDescent="0.35">
      <c r="A3" s="28"/>
      <c r="B3" s="28" t="s">
        <v>2572</v>
      </c>
      <c r="C3" s="28"/>
      <c r="D3" s="28"/>
    </row>
    <row r="4" spans="1:4" ht="12.75" customHeight="1" x14ac:dyDescent="0.35">
      <c r="A4" s="28"/>
      <c r="B4" s="28" t="s">
        <v>2573</v>
      </c>
      <c r="C4" s="28"/>
      <c r="D4" s="28"/>
    </row>
    <row r="5" spans="1:4" ht="12.75" customHeight="1" x14ac:dyDescent="0.35">
      <c r="A5" s="28"/>
      <c r="B5" s="28" t="s">
        <v>2574</v>
      </c>
      <c r="C5" s="28"/>
      <c r="D5" s="28"/>
    </row>
    <row r="6" spans="1:4" ht="12.75" customHeight="1" x14ac:dyDescent="0.35">
      <c r="A6" s="28"/>
      <c r="B6" s="28" t="s">
        <v>2575</v>
      </c>
      <c r="C6" s="28"/>
      <c r="D6" s="28"/>
    </row>
    <row r="7" spans="1:4" ht="12.75" customHeight="1" x14ac:dyDescent="0.35">
      <c r="A7" s="28"/>
      <c r="B7" s="28"/>
      <c r="C7" s="28"/>
      <c r="D7" s="28"/>
    </row>
    <row r="8" spans="1:4" ht="12.75" customHeight="1" x14ac:dyDescent="0.35">
      <c r="A8" s="28"/>
      <c r="B8" s="28"/>
      <c r="C8" s="28"/>
      <c r="D8" s="28"/>
    </row>
    <row r="9" spans="1:4" ht="12.75" customHeight="1" x14ac:dyDescent="0.35">
      <c r="A9" s="28"/>
      <c r="B9" s="28"/>
      <c r="C9" s="28"/>
      <c r="D9" s="28"/>
    </row>
    <row r="10" spans="1:4" ht="12.75" customHeight="1" x14ac:dyDescent="0.35">
      <c r="A10" s="28"/>
      <c r="B10" s="28"/>
      <c r="C10" s="28"/>
      <c r="D10" s="28"/>
    </row>
    <row r="11" spans="1:4" ht="12.75" customHeight="1" x14ac:dyDescent="0.35">
      <c r="A11" s="28"/>
      <c r="B11" s="28" t="s">
        <v>2576</v>
      </c>
      <c r="C11" s="28"/>
      <c r="D11" s="28"/>
    </row>
    <row r="12" spans="1:4" ht="12.75" customHeight="1" x14ac:dyDescent="0.35">
      <c r="A12" s="28"/>
      <c r="B12" s="28" t="s">
        <v>2577</v>
      </c>
      <c r="C12" s="28"/>
      <c r="D12" s="28"/>
    </row>
    <row r="13" spans="1:4" ht="12.75" customHeight="1" x14ac:dyDescent="0.35">
      <c r="A13" s="28"/>
      <c r="B13" s="28" t="s">
        <v>2578</v>
      </c>
      <c r="C13" s="28"/>
      <c r="D13" s="28"/>
    </row>
    <row r="14" spans="1:4" ht="12.75" customHeight="1" x14ac:dyDescent="0.35">
      <c r="A14" s="28"/>
      <c r="B14" s="28"/>
      <c r="C14" s="28"/>
      <c r="D14" s="28"/>
    </row>
    <row r="15" spans="1:4" ht="12.75" customHeight="1" x14ac:dyDescent="0.35">
      <c r="A15" s="28"/>
      <c r="B15" s="28" t="s">
        <v>2579</v>
      </c>
      <c r="C15" s="28"/>
      <c r="D15" s="28"/>
    </row>
    <row r="16" spans="1:4" ht="12.75" customHeight="1" x14ac:dyDescent="0.35">
      <c r="A16" s="28"/>
      <c r="B16" s="28"/>
      <c r="C16" s="28"/>
      <c r="D16" s="28"/>
    </row>
    <row r="17" spans="1:4" ht="12.75" customHeight="1" x14ac:dyDescent="0.35">
      <c r="A17" s="28"/>
      <c r="B17" s="28" t="s">
        <v>2577</v>
      </c>
      <c r="C17" s="28"/>
      <c r="D17" s="28" t="s">
        <v>2581</v>
      </c>
    </row>
    <row r="18" spans="1:4" ht="12.75" customHeight="1" x14ac:dyDescent="0.35">
      <c r="A18" s="28"/>
      <c r="B18" s="28"/>
      <c r="C18" s="28"/>
      <c r="D18" s="28"/>
    </row>
    <row r="19" spans="1:4" ht="12.75" customHeight="1" x14ac:dyDescent="0.35">
      <c r="A19" s="28"/>
      <c r="B19" s="28"/>
      <c r="C19" s="28"/>
      <c r="D19" s="28"/>
    </row>
    <row r="20" spans="1:4" ht="12.75" customHeight="1" x14ac:dyDescent="0.35">
      <c r="A20" s="28"/>
      <c r="B20" s="28"/>
      <c r="C20" s="28"/>
      <c r="D20" s="28"/>
    </row>
    <row r="21" spans="1:4" ht="12.75" customHeight="1" x14ac:dyDescent="0.35">
      <c r="A21" s="28"/>
      <c r="B21" s="28"/>
      <c r="C21" s="28" t="s">
        <v>2583</v>
      </c>
      <c r="D21" s="28"/>
    </row>
    <row r="22" spans="1:4" ht="12.75" customHeight="1" x14ac:dyDescent="0.35">
      <c r="A22" s="28"/>
      <c r="B22" s="28"/>
      <c r="C22" s="28"/>
      <c r="D22" s="28"/>
    </row>
    <row r="23" spans="1:4" ht="12.75" customHeight="1" x14ac:dyDescent="0.35">
      <c r="A23" s="28"/>
      <c r="B23" s="28"/>
      <c r="C23" s="28"/>
      <c r="D23" s="28"/>
    </row>
    <row r="24" spans="1:4" ht="12.75" customHeight="1" x14ac:dyDescent="0.35">
      <c r="A24" s="28"/>
      <c r="B24" s="28"/>
      <c r="C24" s="28"/>
      <c r="D24" s="28"/>
    </row>
    <row r="25" spans="1:4" ht="12.75" customHeight="1" x14ac:dyDescent="0.35">
      <c r="A25" s="28"/>
      <c r="B25" s="28"/>
      <c r="C25" s="104" t="s">
        <v>2584</v>
      </c>
      <c r="D25" s="28"/>
    </row>
    <row r="26" spans="1:4" ht="12.75" customHeight="1" x14ac:dyDescent="0.35">
      <c r="A26" s="28"/>
      <c r="B26" s="28"/>
      <c r="C26" s="28"/>
      <c r="D26" s="28"/>
    </row>
    <row r="27" spans="1:4" ht="12.75" customHeight="1" x14ac:dyDescent="0.35">
      <c r="A27" s="28"/>
      <c r="B27" s="28"/>
      <c r="C27" s="28"/>
      <c r="D27" s="28"/>
    </row>
    <row r="28" spans="1:4" ht="12.75" customHeight="1" x14ac:dyDescent="0.35">
      <c r="A28" s="28"/>
      <c r="B28" s="28"/>
      <c r="C28" s="28"/>
      <c r="D28" s="28"/>
    </row>
    <row r="29" spans="1:4" ht="12.75" customHeight="1" x14ac:dyDescent="0.35">
      <c r="A29" s="28"/>
      <c r="B29" s="28"/>
      <c r="C29" s="28"/>
      <c r="D29" s="28"/>
    </row>
    <row r="30" spans="1:4" ht="12.75" customHeight="1" x14ac:dyDescent="0.35">
      <c r="A30" s="28"/>
      <c r="B30" s="28"/>
      <c r="C30" s="28"/>
      <c r="D30" s="28"/>
    </row>
    <row r="31" spans="1:4" ht="12.75" customHeight="1" x14ac:dyDescent="0.35">
      <c r="A31" s="28"/>
      <c r="B31" s="28"/>
      <c r="C31" s="28" t="s">
        <v>2583</v>
      </c>
      <c r="D31" s="28"/>
    </row>
    <row r="32" spans="1:4" ht="12.75" customHeight="1" x14ac:dyDescent="0.35">
      <c r="A32" s="28"/>
      <c r="B32" s="28"/>
      <c r="C32" s="28"/>
      <c r="D32" s="28"/>
    </row>
    <row r="33" spans="1:4" ht="12.75" customHeight="1" x14ac:dyDescent="0.35">
      <c r="A33" s="28"/>
      <c r="B33" s="28"/>
      <c r="C33" s="28"/>
      <c r="D33" s="28"/>
    </row>
    <row r="34" spans="1:4" ht="12.75" customHeight="1" x14ac:dyDescent="0.35">
      <c r="A34" s="28"/>
      <c r="B34" s="28"/>
      <c r="C34" s="28"/>
      <c r="D34" s="28"/>
    </row>
    <row r="35" spans="1:4" ht="12.75" customHeight="1" x14ac:dyDescent="0.35">
      <c r="A35" s="28"/>
      <c r="B35" s="28"/>
      <c r="C35" s="104" t="s">
        <v>2584</v>
      </c>
      <c r="D35" s="28"/>
    </row>
    <row r="36" spans="1:4" ht="12.75" customHeight="1" x14ac:dyDescent="0.35">
      <c r="A36" s="28"/>
      <c r="B36" s="28"/>
      <c r="C36" s="28"/>
      <c r="D36" s="28"/>
    </row>
    <row r="37" spans="1:4" ht="12.75" customHeight="1" x14ac:dyDescent="0.35">
      <c r="A37" s="28"/>
      <c r="B37" s="28"/>
      <c r="C37" s="28"/>
      <c r="D37" s="28"/>
    </row>
    <row r="38" spans="1:4" ht="12.75" customHeight="1" x14ac:dyDescent="0.35">
      <c r="A38" s="28"/>
      <c r="B38" s="28"/>
      <c r="C38" s="28"/>
      <c r="D38" s="28"/>
    </row>
    <row r="39" spans="1:4" ht="12.75" customHeight="1" x14ac:dyDescent="0.35">
      <c r="A39" s="28"/>
      <c r="B39" s="28"/>
      <c r="C39" s="28"/>
      <c r="D39" s="28"/>
    </row>
    <row r="40" spans="1:4" ht="12.75" customHeight="1" x14ac:dyDescent="0.35">
      <c r="A40" s="28"/>
      <c r="B40" s="28"/>
      <c r="C40" s="28"/>
      <c r="D40" s="28"/>
    </row>
    <row r="41" spans="1:4" ht="12.75" customHeight="1" x14ac:dyDescent="0.35">
      <c r="A41" s="28"/>
      <c r="B41" s="28"/>
      <c r="C41" s="28" t="s">
        <v>2583</v>
      </c>
      <c r="D41" s="28"/>
    </row>
    <row r="42" spans="1:4" ht="12.75" customHeight="1" x14ac:dyDescent="0.35">
      <c r="A42" s="28"/>
      <c r="B42" s="28"/>
      <c r="C42" s="28"/>
      <c r="D42" s="28"/>
    </row>
    <row r="43" spans="1:4" ht="12.75" customHeight="1" x14ac:dyDescent="0.35">
      <c r="A43" s="28"/>
      <c r="B43" s="28"/>
      <c r="C43" s="28"/>
      <c r="D43" s="28"/>
    </row>
    <row r="44" spans="1:4" ht="12.75" customHeight="1" x14ac:dyDescent="0.35">
      <c r="A44" s="28"/>
      <c r="B44" s="28"/>
      <c r="C44" s="28"/>
      <c r="D44" s="28"/>
    </row>
    <row r="45" spans="1:4" ht="12.75" customHeight="1" x14ac:dyDescent="0.35">
      <c r="A45" s="28"/>
      <c r="B45" s="28"/>
      <c r="C45" s="104" t="s">
        <v>2584</v>
      </c>
      <c r="D45" s="28"/>
    </row>
    <row r="46" spans="1:4" ht="12.75" customHeight="1" x14ac:dyDescent="0.35">
      <c r="A46" s="28"/>
      <c r="B46" s="28"/>
      <c r="C46" s="28"/>
      <c r="D46" s="28"/>
    </row>
    <row r="47" spans="1:4" ht="12.75" customHeight="1" x14ac:dyDescent="0.35">
      <c r="A47" s="28"/>
      <c r="B47" s="28"/>
      <c r="C47" s="28"/>
      <c r="D47" s="28"/>
    </row>
    <row r="48" spans="1:4" ht="12.75" customHeight="1" x14ac:dyDescent="0.35">
      <c r="A48" s="28"/>
      <c r="B48" s="28"/>
      <c r="C48" s="28"/>
      <c r="D48" s="28"/>
    </row>
    <row r="49" spans="1:4" ht="12.75" customHeight="1" x14ac:dyDescent="0.35">
      <c r="A49" s="28"/>
      <c r="B49" s="28"/>
      <c r="C49" s="28"/>
      <c r="D49" s="28"/>
    </row>
    <row r="50" spans="1:4" ht="12.75" customHeight="1" x14ac:dyDescent="0.35">
      <c r="A50" s="28"/>
      <c r="B50" s="28"/>
      <c r="C50" s="28"/>
      <c r="D50" s="28"/>
    </row>
    <row r="51" spans="1:4" ht="12.75" customHeight="1" x14ac:dyDescent="0.35">
      <c r="A51" s="28"/>
      <c r="B51" s="28"/>
      <c r="C51" s="28" t="s">
        <v>2583</v>
      </c>
      <c r="D51" s="28"/>
    </row>
    <row r="52" spans="1:4" ht="12.75" customHeight="1" x14ac:dyDescent="0.35">
      <c r="A52" s="28"/>
      <c r="B52" s="28"/>
      <c r="C52" s="28"/>
      <c r="D52" s="28"/>
    </row>
    <row r="53" spans="1:4" ht="12.75" customHeight="1" x14ac:dyDescent="0.35">
      <c r="A53" s="28"/>
      <c r="B53" s="28"/>
      <c r="C53" s="28"/>
      <c r="D53" s="28"/>
    </row>
    <row r="54" spans="1:4" ht="12.75" customHeight="1" x14ac:dyDescent="0.35">
      <c r="A54" s="28"/>
      <c r="B54" s="28"/>
      <c r="C54" s="28"/>
      <c r="D54" s="28"/>
    </row>
    <row r="55" spans="1:4" ht="12.75" customHeight="1" x14ac:dyDescent="0.35">
      <c r="A55" s="28"/>
      <c r="B55" s="28"/>
      <c r="C55" s="104" t="s">
        <v>2584</v>
      </c>
      <c r="D55" s="28"/>
    </row>
    <row r="56" spans="1:4" ht="12.75" customHeight="1" x14ac:dyDescent="0.35">
      <c r="A56" s="28"/>
      <c r="B56" s="28"/>
      <c r="C56" s="28"/>
      <c r="D56" s="28"/>
    </row>
    <row r="57" spans="1:4" ht="12.75" customHeight="1" x14ac:dyDescent="0.35">
      <c r="A57" s="28"/>
      <c r="B57" s="28"/>
      <c r="C57" s="28"/>
      <c r="D57" s="28"/>
    </row>
    <row r="58" spans="1:4" ht="12.75" customHeight="1" x14ac:dyDescent="0.35">
      <c r="A58" s="28"/>
      <c r="B58" s="28"/>
      <c r="C58" s="28"/>
      <c r="D58" s="28"/>
    </row>
    <row r="59" spans="1:4" ht="12.75" customHeight="1" x14ac:dyDescent="0.35">
      <c r="A59" s="28"/>
      <c r="B59" s="28"/>
      <c r="C59" s="28"/>
      <c r="D59" s="28"/>
    </row>
    <row r="60" spans="1:4" ht="12.75" customHeight="1" x14ac:dyDescent="0.35">
      <c r="A60" s="28"/>
      <c r="B60" s="28"/>
      <c r="C60" s="28"/>
      <c r="D60" s="28"/>
    </row>
    <row r="61" spans="1:4" ht="12.75" customHeight="1" x14ac:dyDescent="0.35">
      <c r="A61" s="28"/>
      <c r="B61" s="28"/>
      <c r="C61" s="28" t="s">
        <v>2583</v>
      </c>
      <c r="D61" s="28"/>
    </row>
    <row r="62" spans="1:4" ht="12.75" customHeight="1" x14ac:dyDescent="0.35">
      <c r="A62" s="28"/>
      <c r="B62" s="28"/>
      <c r="C62" s="28"/>
      <c r="D62" s="28"/>
    </row>
    <row r="63" spans="1:4" ht="12.75" customHeight="1" x14ac:dyDescent="0.35">
      <c r="A63" s="28"/>
      <c r="B63" s="28"/>
      <c r="C63" s="28"/>
      <c r="D63" s="28"/>
    </row>
    <row r="64" spans="1:4" ht="12.75" customHeight="1" x14ac:dyDescent="0.35">
      <c r="A64" s="28"/>
      <c r="B64" s="28"/>
      <c r="C64" s="28"/>
      <c r="D64" s="28"/>
    </row>
    <row r="65" spans="1:4" ht="12.75" customHeight="1" x14ac:dyDescent="0.35">
      <c r="A65" s="28"/>
      <c r="B65" s="28"/>
      <c r="C65" s="104" t="s">
        <v>2584</v>
      </c>
      <c r="D65" s="28"/>
    </row>
    <row r="66" spans="1:4" ht="12.75" customHeight="1" x14ac:dyDescent="0.35">
      <c r="A66" s="28"/>
      <c r="B66" s="28"/>
      <c r="C66" s="28"/>
      <c r="D66" s="28"/>
    </row>
    <row r="67" spans="1:4" ht="12.75" customHeight="1" x14ac:dyDescent="0.35">
      <c r="A67" s="28"/>
      <c r="B67" s="28"/>
      <c r="C67" s="28"/>
      <c r="D67" s="28"/>
    </row>
    <row r="68" spans="1:4" ht="12.75" customHeight="1" x14ac:dyDescent="0.35">
      <c r="A68" s="28"/>
      <c r="B68" s="28"/>
      <c r="C68" s="28"/>
      <c r="D68" s="28"/>
    </row>
    <row r="69" spans="1:4" ht="12.75" customHeight="1" x14ac:dyDescent="0.35">
      <c r="A69" s="28"/>
      <c r="B69" s="28"/>
      <c r="C69" s="28"/>
      <c r="D69" s="28"/>
    </row>
    <row r="70" spans="1:4" ht="12.75" customHeight="1" x14ac:dyDescent="0.35">
      <c r="A70" s="28"/>
      <c r="B70" s="28"/>
      <c r="C70" s="28"/>
      <c r="D70" s="28"/>
    </row>
    <row r="71" spans="1:4" ht="12.75" customHeight="1" x14ac:dyDescent="0.35">
      <c r="A71" s="28"/>
      <c r="B71" s="28"/>
      <c r="C71" s="28" t="s">
        <v>2583</v>
      </c>
      <c r="D71" s="28"/>
    </row>
    <row r="72" spans="1:4" ht="12.75" customHeight="1" x14ac:dyDescent="0.35">
      <c r="A72" s="28"/>
      <c r="B72" s="28"/>
      <c r="C72" s="28"/>
      <c r="D72" s="28"/>
    </row>
    <row r="73" spans="1:4" ht="12.75" customHeight="1" x14ac:dyDescent="0.35">
      <c r="A73" s="28"/>
      <c r="B73" s="28"/>
      <c r="C73" s="28"/>
      <c r="D73" s="28"/>
    </row>
    <row r="74" spans="1:4" ht="12.75" customHeight="1" x14ac:dyDescent="0.35">
      <c r="A74" s="28"/>
      <c r="B74" s="28"/>
      <c r="C74" s="28"/>
      <c r="D74" s="28"/>
    </row>
    <row r="75" spans="1:4" ht="12.75" customHeight="1" x14ac:dyDescent="0.35">
      <c r="A75" s="28"/>
      <c r="B75" s="28"/>
      <c r="C75" s="104" t="s">
        <v>2584</v>
      </c>
      <c r="D75" s="28"/>
    </row>
    <row r="76" spans="1:4" ht="12.75" customHeight="1" x14ac:dyDescent="0.35">
      <c r="A76" s="28"/>
      <c r="B76" s="28"/>
      <c r="C76" s="28"/>
      <c r="D76" s="28"/>
    </row>
    <row r="77" spans="1:4" ht="12.75" customHeight="1" x14ac:dyDescent="0.35">
      <c r="A77" s="28"/>
      <c r="B77" s="28"/>
      <c r="C77" s="28"/>
      <c r="D77" s="28"/>
    </row>
    <row r="78" spans="1:4" ht="12.75" customHeight="1" x14ac:dyDescent="0.35">
      <c r="A78" s="28"/>
      <c r="B78" s="28"/>
      <c r="C78" s="28"/>
      <c r="D78" s="28"/>
    </row>
    <row r="79" spans="1:4" ht="12.75" customHeight="1" x14ac:dyDescent="0.35">
      <c r="A79" s="28"/>
      <c r="B79" s="28"/>
      <c r="C79" s="28"/>
      <c r="D79" s="28"/>
    </row>
    <row r="80" spans="1:4" ht="12.75" customHeight="1" x14ac:dyDescent="0.35">
      <c r="A80" s="28"/>
      <c r="B80" s="28"/>
      <c r="C80" s="28"/>
      <c r="D80" s="28"/>
    </row>
    <row r="81" spans="1:4" ht="12.75" customHeight="1" x14ac:dyDescent="0.35">
      <c r="A81" s="28"/>
      <c r="B81" s="28"/>
      <c r="C81" s="28" t="s">
        <v>2583</v>
      </c>
      <c r="D81" s="28"/>
    </row>
    <row r="82" spans="1:4" ht="12.75" customHeight="1" x14ac:dyDescent="0.35">
      <c r="A82" s="28"/>
      <c r="B82" s="28"/>
      <c r="C82" s="28"/>
      <c r="D82" s="28"/>
    </row>
    <row r="83" spans="1:4" ht="12.75" customHeight="1" x14ac:dyDescent="0.35">
      <c r="A83" s="28"/>
      <c r="B83" s="28"/>
      <c r="C83" s="28"/>
      <c r="D83" s="28"/>
    </row>
    <row r="84" spans="1:4" ht="12.75" customHeight="1" x14ac:dyDescent="0.35">
      <c r="A84" s="28"/>
      <c r="B84" s="28"/>
      <c r="C84" s="28"/>
      <c r="D84" s="28"/>
    </row>
    <row r="85" spans="1:4" ht="12.75" customHeight="1" x14ac:dyDescent="0.35">
      <c r="A85" s="28"/>
      <c r="B85" s="28"/>
      <c r="C85" s="104" t="s">
        <v>2584</v>
      </c>
      <c r="D85" s="28"/>
    </row>
    <row r="86" spans="1:4" ht="12.75" customHeight="1" x14ac:dyDescent="0.35">
      <c r="A86" s="28"/>
      <c r="B86" s="28"/>
      <c r="C86" s="28"/>
      <c r="D86" s="28"/>
    </row>
    <row r="87" spans="1:4" ht="12.75" customHeight="1" x14ac:dyDescent="0.35">
      <c r="A87" s="28"/>
      <c r="B87" s="28"/>
      <c r="C87" s="28"/>
      <c r="D87" s="28"/>
    </row>
    <row r="88" spans="1:4" ht="12.75" customHeight="1" x14ac:dyDescent="0.35">
      <c r="A88" s="28"/>
      <c r="B88" s="28"/>
      <c r="C88" s="28"/>
      <c r="D88" s="28"/>
    </row>
    <row r="89" spans="1:4" ht="12.75" customHeight="1" x14ac:dyDescent="0.35">
      <c r="A89" s="28"/>
      <c r="B89" s="28"/>
      <c r="C89" s="28"/>
      <c r="D89" s="28"/>
    </row>
    <row r="90" spans="1:4" ht="12.75" customHeight="1" x14ac:dyDescent="0.35">
      <c r="A90" s="28"/>
      <c r="B90" s="28"/>
      <c r="C90" s="28"/>
      <c r="D90" s="28"/>
    </row>
    <row r="91" spans="1:4" ht="12.75" customHeight="1" x14ac:dyDescent="0.35">
      <c r="A91" s="28"/>
      <c r="B91" s="28"/>
      <c r="C91" s="28" t="s">
        <v>2583</v>
      </c>
      <c r="D91" s="28"/>
    </row>
    <row r="92" spans="1:4" ht="12.75" customHeight="1" x14ac:dyDescent="0.35">
      <c r="A92" s="28"/>
      <c r="B92" s="28"/>
      <c r="C92" s="28"/>
      <c r="D92" s="28"/>
    </row>
    <row r="93" spans="1:4" ht="12.75" customHeight="1" x14ac:dyDescent="0.35">
      <c r="A93" s="28"/>
      <c r="B93" s="28"/>
      <c r="C93" s="28"/>
      <c r="D93" s="28"/>
    </row>
    <row r="94" spans="1:4" ht="12.75" customHeight="1" x14ac:dyDescent="0.35">
      <c r="A94" s="28"/>
      <c r="B94" s="28"/>
      <c r="C94" s="28"/>
      <c r="D94" s="28"/>
    </row>
    <row r="95" spans="1:4" ht="12.75" customHeight="1" x14ac:dyDescent="0.35">
      <c r="A95" s="28"/>
      <c r="B95" s="28"/>
      <c r="C95" s="104" t="s">
        <v>2584</v>
      </c>
      <c r="D95" s="28"/>
    </row>
    <row r="96" spans="1:4" ht="12.75" customHeight="1" x14ac:dyDescent="0.35">
      <c r="A96" s="28"/>
      <c r="B96" s="28"/>
      <c r="C96" s="28"/>
      <c r="D96" s="28"/>
    </row>
    <row r="97" spans="1:4" ht="12.75" customHeight="1" x14ac:dyDescent="0.35">
      <c r="A97" s="28"/>
      <c r="B97" s="28"/>
      <c r="C97" s="28"/>
      <c r="D97" s="28"/>
    </row>
    <row r="98" spans="1:4" ht="12.75" customHeight="1" x14ac:dyDescent="0.35">
      <c r="A98" s="28"/>
      <c r="B98" s="28"/>
      <c r="C98" s="28"/>
      <c r="D98" s="28"/>
    </row>
    <row r="99" spans="1:4" ht="12.75" customHeight="1" x14ac:dyDescent="0.35">
      <c r="A99" s="28"/>
      <c r="B99" s="28"/>
      <c r="C99" s="28"/>
      <c r="D99" s="28"/>
    </row>
    <row r="100" spans="1:4" ht="12.75" customHeight="1" x14ac:dyDescent="0.35">
      <c r="A100" s="28"/>
      <c r="B100" s="28"/>
      <c r="C100" s="28"/>
      <c r="D100" s="28"/>
    </row>
    <row r="101" spans="1:4" ht="12.75" customHeight="1" x14ac:dyDescent="0.35">
      <c r="A101" s="28"/>
      <c r="B101" s="28"/>
      <c r="C101" s="28" t="s">
        <v>2583</v>
      </c>
      <c r="D101" s="28"/>
    </row>
    <row r="102" spans="1:4" ht="12.75" customHeight="1" x14ac:dyDescent="0.35">
      <c r="A102" s="28"/>
      <c r="B102" s="28"/>
      <c r="C102" s="28"/>
      <c r="D102" s="28"/>
    </row>
    <row r="103" spans="1:4" ht="12.75" customHeight="1" x14ac:dyDescent="0.35">
      <c r="A103" s="28"/>
      <c r="B103" s="28"/>
      <c r="C103" s="28"/>
      <c r="D103" s="28"/>
    </row>
    <row r="104" spans="1:4" ht="12.75" customHeight="1" x14ac:dyDescent="0.35">
      <c r="A104" s="28"/>
      <c r="B104" s="28"/>
      <c r="C104" s="28"/>
      <c r="D104" s="28"/>
    </row>
    <row r="105" spans="1:4" ht="12.75" customHeight="1" x14ac:dyDescent="0.35">
      <c r="A105" s="28"/>
      <c r="B105" s="28"/>
      <c r="C105" s="104" t="s">
        <v>2584</v>
      </c>
      <c r="D105" s="28"/>
    </row>
    <row r="106" spans="1:4" ht="12.75" customHeight="1" x14ac:dyDescent="0.35">
      <c r="A106" s="28"/>
      <c r="B106" s="28"/>
      <c r="C106" s="28"/>
      <c r="D106" s="28"/>
    </row>
    <row r="107" spans="1:4" ht="12.75" customHeight="1" x14ac:dyDescent="0.35">
      <c r="A107" s="28"/>
      <c r="B107" s="28"/>
      <c r="C107" s="28"/>
      <c r="D107" s="28"/>
    </row>
    <row r="108" spans="1:4" ht="12.75" customHeight="1" x14ac:dyDescent="0.35">
      <c r="A108" s="28"/>
      <c r="B108" s="28"/>
      <c r="C108" s="28"/>
      <c r="D108" s="28"/>
    </row>
    <row r="109" spans="1:4" ht="12.75" customHeight="1" x14ac:dyDescent="0.35">
      <c r="A109" s="28"/>
      <c r="B109" s="28"/>
      <c r="C109" s="28"/>
      <c r="D109" s="28"/>
    </row>
    <row r="110" spans="1:4" ht="12.75" customHeight="1" x14ac:dyDescent="0.35">
      <c r="A110" s="28"/>
      <c r="B110" s="28"/>
      <c r="C110" s="28"/>
      <c r="D110" s="28"/>
    </row>
    <row r="111" spans="1:4" ht="12.75" customHeight="1" x14ac:dyDescent="0.35">
      <c r="A111" s="28"/>
      <c r="B111" s="28"/>
      <c r="C111" s="28" t="s">
        <v>2583</v>
      </c>
      <c r="D111" s="28"/>
    </row>
    <row r="112" spans="1:4" ht="12.75" customHeight="1" x14ac:dyDescent="0.35">
      <c r="A112" s="28"/>
      <c r="B112" s="28"/>
      <c r="C112" s="28"/>
      <c r="D112" s="28"/>
    </row>
    <row r="113" spans="1:4" ht="12.75" customHeight="1" x14ac:dyDescent="0.35">
      <c r="A113" s="28"/>
      <c r="B113" s="28"/>
      <c r="C113" s="28"/>
      <c r="D113" s="28"/>
    </row>
    <row r="114" spans="1:4" ht="12.75" customHeight="1" x14ac:dyDescent="0.35">
      <c r="A114" s="28"/>
      <c r="B114" s="28"/>
      <c r="C114" s="28"/>
      <c r="D114" s="28"/>
    </row>
    <row r="115" spans="1:4" ht="12.75" customHeight="1" x14ac:dyDescent="0.35">
      <c r="A115" s="28"/>
      <c r="B115" s="28"/>
      <c r="C115" s="104" t="s">
        <v>2584</v>
      </c>
      <c r="D115" s="28"/>
    </row>
    <row r="116" spans="1:4" ht="12.75" customHeight="1" x14ac:dyDescent="0.35">
      <c r="A116" s="28"/>
      <c r="B116" s="28"/>
      <c r="C116" s="28"/>
      <c r="D116" s="28"/>
    </row>
    <row r="117" spans="1:4" ht="12.75" customHeight="1" x14ac:dyDescent="0.35">
      <c r="A117" s="28"/>
      <c r="B117" s="28"/>
      <c r="C117" s="28"/>
      <c r="D117" s="28"/>
    </row>
    <row r="118" spans="1:4" ht="12.75" customHeight="1" x14ac:dyDescent="0.35">
      <c r="A118" s="28"/>
      <c r="B118" s="28"/>
      <c r="C118" s="28"/>
      <c r="D118" s="28"/>
    </row>
    <row r="119" spans="1:4" ht="12.75" customHeight="1" x14ac:dyDescent="0.35">
      <c r="A119" s="28"/>
      <c r="B119" s="28"/>
      <c r="C119" s="28"/>
      <c r="D119" s="28"/>
    </row>
    <row r="120" spans="1:4" ht="12.75" customHeight="1" x14ac:dyDescent="0.35">
      <c r="A120" s="28"/>
      <c r="B120" s="28"/>
      <c r="C120" s="28"/>
      <c r="D120" s="28"/>
    </row>
    <row r="121" spans="1:4" ht="12.75" customHeight="1" x14ac:dyDescent="0.35">
      <c r="A121" s="28"/>
      <c r="B121" s="28"/>
      <c r="C121" s="28" t="s">
        <v>2583</v>
      </c>
      <c r="D121" s="28"/>
    </row>
    <row r="122" spans="1:4" ht="12.75" customHeight="1" x14ac:dyDescent="0.35">
      <c r="A122" s="28"/>
      <c r="B122" s="28"/>
      <c r="C122" s="28"/>
      <c r="D122" s="28"/>
    </row>
    <row r="123" spans="1:4" ht="12.75" customHeight="1" x14ac:dyDescent="0.35">
      <c r="A123" s="28"/>
      <c r="B123" s="28"/>
      <c r="C123" s="28"/>
      <c r="D123" s="28"/>
    </row>
    <row r="124" spans="1:4" ht="12.75" customHeight="1" x14ac:dyDescent="0.35">
      <c r="A124" s="28"/>
      <c r="B124" s="28"/>
      <c r="C124" s="28"/>
      <c r="D124" s="28"/>
    </row>
    <row r="125" spans="1:4" ht="12.75" customHeight="1" x14ac:dyDescent="0.35">
      <c r="A125" s="28"/>
      <c r="B125" s="28"/>
      <c r="C125" s="104" t="s">
        <v>2584</v>
      </c>
      <c r="D125" s="28"/>
    </row>
    <row r="126" spans="1:4" ht="12.75" customHeight="1" x14ac:dyDescent="0.35">
      <c r="A126" s="28"/>
      <c r="B126" s="28"/>
      <c r="C126" s="28"/>
      <c r="D126" s="28"/>
    </row>
    <row r="127" spans="1:4" ht="12.75" customHeight="1" x14ac:dyDescent="0.35">
      <c r="A127" s="28"/>
      <c r="B127" s="28"/>
      <c r="C127" s="28"/>
      <c r="D127" s="28"/>
    </row>
    <row r="128" spans="1:4" ht="12.75" customHeight="1" x14ac:dyDescent="0.35">
      <c r="A128" s="28"/>
      <c r="B128" s="28"/>
      <c r="C128" s="28"/>
      <c r="D128" s="28"/>
    </row>
    <row r="129" spans="1:4" ht="12.75" customHeight="1" x14ac:dyDescent="0.35">
      <c r="A129" s="28"/>
      <c r="B129" s="28"/>
      <c r="C129" s="28"/>
      <c r="D129" s="28"/>
    </row>
    <row r="130" spans="1:4" ht="12.75" customHeight="1" x14ac:dyDescent="0.35">
      <c r="A130" s="28"/>
      <c r="B130" s="28"/>
      <c r="C130" s="28"/>
      <c r="D130" s="28"/>
    </row>
    <row r="131" spans="1:4" ht="12.75" customHeight="1" x14ac:dyDescent="0.35">
      <c r="A131" s="28"/>
      <c r="B131" s="28"/>
      <c r="C131" s="28" t="s">
        <v>2583</v>
      </c>
      <c r="D131" s="28"/>
    </row>
    <row r="132" spans="1:4" ht="12.75" customHeight="1" x14ac:dyDescent="0.35">
      <c r="A132" s="28"/>
      <c r="B132" s="28"/>
      <c r="C132" s="28"/>
      <c r="D132" s="28"/>
    </row>
    <row r="133" spans="1:4" ht="12.75" customHeight="1" x14ac:dyDescent="0.35">
      <c r="A133" s="28"/>
      <c r="B133" s="28"/>
      <c r="C133" s="28"/>
      <c r="D133" s="28"/>
    </row>
    <row r="134" spans="1:4" ht="12.75" customHeight="1" x14ac:dyDescent="0.35">
      <c r="A134" s="28"/>
      <c r="B134" s="28"/>
      <c r="C134" s="28"/>
      <c r="D134" s="28"/>
    </row>
    <row r="135" spans="1:4" ht="12.75" customHeight="1" x14ac:dyDescent="0.35">
      <c r="A135" s="28"/>
      <c r="B135" s="28"/>
      <c r="C135" s="104" t="s">
        <v>2584</v>
      </c>
      <c r="D135" s="28"/>
    </row>
    <row r="136" spans="1:4" ht="12.75" customHeight="1" x14ac:dyDescent="0.35">
      <c r="A136" s="28"/>
      <c r="B136" s="28"/>
      <c r="C136" s="28"/>
      <c r="D136" s="28"/>
    </row>
    <row r="137" spans="1:4" ht="12.75" customHeight="1" x14ac:dyDescent="0.35">
      <c r="A137" s="28"/>
      <c r="B137" s="28"/>
      <c r="C137" s="28"/>
      <c r="D137" s="28"/>
    </row>
    <row r="138" spans="1:4" ht="12.75" customHeight="1" x14ac:dyDescent="0.35">
      <c r="A138" s="28"/>
      <c r="B138" s="28"/>
      <c r="C138" s="28"/>
      <c r="D138" s="28"/>
    </row>
    <row r="139" spans="1:4" ht="12.75" customHeight="1" x14ac:dyDescent="0.35">
      <c r="A139" s="28"/>
      <c r="B139" s="28"/>
      <c r="C139" s="28"/>
      <c r="D139" s="28"/>
    </row>
    <row r="140" spans="1:4" ht="12.75" customHeight="1" x14ac:dyDescent="0.35">
      <c r="A140" s="28"/>
      <c r="B140" s="28"/>
      <c r="C140" s="28"/>
      <c r="D140" s="28"/>
    </row>
    <row r="141" spans="1:4" ht="12.75" customHeight="1" x14ac:dyDescent="0.35">
      <c r="A141" s="28"/>
      <c r="B141" s="28"/>
      <c r="C141" s="28" t="s">
        <v>2583</v>
      </c>
      <c r="D141" s="28"/>
    </row>
    <row r="142" spans="1:4" ht="12.75" customHeight="1" x14ac:dyDescent="0.35">
      <c r="A142" s="28"/>
      <c r="B142" s="28"/>
      <c r="C142" s="28"/>
      <c r="D142" s="28"/>
    </row>
    <row r="143" spans="1:4" ht="12.75" customHeight="1" x14ac:dyDescent="0.35">
      <c r="A143" s="28"/>
      <c r="B143" s="28"/>
      <c r="C143" s="28"/>
      <c r="D143" s="28"/>
    </row>
    <row r="144" spans="1:4" ht="12.75" customHeight="1" x14ac:dyDescent="0.35">
      <c r="A144" s="28"/>
      <c r="B144" s="28"/>
      <c r="C144" s="28"/>
      <c r="D144" s="28"/>
    </row>
    <row r="145" spans="1:4" ht="12.75" customHeight="1" x14ac:dyDescent="0.35">
      <c r="A145" s="28"/>
      <c r="B145" s="28"/>
      <c r="C145" s="104" t="s">
        <v>2584</v>
      </c>
      <c r="D145" s="28"/>
    </row>
    <row r="146" spans="1:4" ht="12.75" customHeight="1" x14ac:dyDescent="0.35">
      <c r="A146" s="28"/>
      <c r="B146" s="28"/>
      <c r="C146" s="28"/>
      <c r="D146" s="28"/>
    </row>
    <row r="147" spans="1:4" ht="12.75" customHeight="1" x14ac:dyDescent="0.35">
      <c r="A147" s="28"/>
      <c r="B147" s="28"/>
      <c r="C147" s="28"/>
      <c r="D147" s="28"/>
    </row>
    <row r="148" spans="1:4" ht="12.75" customHeight="1" x14ac:dyDescent="0.35">
      <c r="A148" s="28"/>
      <c r="B148" s="28"/>
      <c r="C148" s="28"/>
      <c r="D148" s="28"/>
    </row>
    <row r="149" spans="1:4" ht="12.75" customHeight="1" x14ac:dyDescent="0.35">
      <c r="A149" s="28"/>
      <c r="B149" s="28"/>
      <c r="C149" s="28"/>
      <c r="D149" s="28"/>
    </row>
    <row r="150" spans="1:4" ht="12.75" customHeight="1" x14ac:dyDescent="0.35">
      <c r="A150" s="28"/>
      <c r="B150" s="28" t="s">
        <v>2582</v>
      </c>
      <c r="C150" s="28"/>
      <c r="D150" s="28"/>
    </row>
    <row r="151" spans="1:4" ht="12.75" customHeight="1" x14ac:dyDescent="0.35">
      <c r="A151" s="28"/>
      <c r="B151" s="28"/>
      <c r="C151" s="28" t="s">
        <v>2583</v>
      </c>
      <c r="D151" s="28"/>
    </row>
    <row r="152" spans="1:4" ht="12.75" customHeight="1" x14ac:dyDescent="0.35">
      <c r="A152" s="28"/>
      <c r="B152" s="28"/>
      <c r="C152" s="28"/>
      <c r="D152" s="28"/>
    </row>
    <row r="153" spans="1:4" ht="12.75" customHeight="1" x14ac:dyDescent="0.35">
      <c r="A153" s="28"/>
      <c r="B153" s="28"/>
      <c r="C153" s="28"/>
      <c r="D153" s="28"/>
    </row>
    <row r="154" spans="1:4" ht="12.75" customHeight="1" x14ac:dyDescent="0.35">
      <c r="A154" s="28"/>
      <c r="B154" s="28" t="s">
        <v>2582</v>
      </c>
      <c r="C154" s="28"/>
      <c r="D154" s="28"/>
    </row>
    <row r="155" spans="1:4" ht="12.75" customHeight="1" x14ac:dyDescent="0.35">
      <c r="A155" s="28"/>
      <c r="B155" s="28"/>
      <c r="C155" s="104" t="s">
        <v>2584</v>
      </c>
      <c r="D155" s="28"/>
    </row>
    <row r="156" spans="1:4" ht="12.75" customHeight="1" x14ac:dyDescent="0.35">
      <c r="A156" s="28"/>
      <c r="B156" s="28"/>
      <c r="C156" s="28"/>
      <c r="D156" s="28"/>
    </row>
    <row r="157" spans="1:4" ht="12.75" customHeight="1" x14ac:dyDescent="0.35">
      <c r="A157" s="28"/>
      <c r="B157" s="28"/>
      <c r="C157" s="28"/>
      <c r="D157" s="28"/>
    </row>
    <row r="158" spans="1:4" ht="12.75" customHeight="1" x14ac:dyDescent="0.35">
      <c r="A158" s="28"/>
      <c r="B158" s="28"/>
      <c r="C158" s="28"/>
      <c r="D158" s="28"/>
    </row>
    <row r="159" spans="1:4" ht="12.75" customHeight="1" x14ac:dyDescent="0.35">
      <c r="A159" s="28"/>
      <c r="B159" s="28"/>
      <c r="C159" s="28"/>
      <c r="D159" s="28"/>
    </row>
    <row r="160" spans="1:4" ht="12.75" customHeight="1" x14ac:dyDescent="0.35">
      <c r="A160" s="28"/>
      <c r="B160" s="28" t="s">
        <v>2582</v>
      </c>
      <c r="C160" s="28"/>
      <c r="D160" s="28"/>
    </row>
    <row r="161" spans="1:4" ht="12.75" customHeight="1" x14ac:dyDescent="0.35">
      <c r="A161" s="28"/>
      <c r="B161" s="28"/>
      <c r="C161" s="28" t="s">
        <v>2583</v>
      </c>
      <c r="D161" s="28"/>
    </row>
    <row r="162" spans="1:4" ht="12.75" customHeight="1" x14ac:dyDescent="0.35">
      <c r="A162" s="28"/>
      <c r="B162" s="28"/>
      <c r="C162" s="28"/>
      <c r="D162" s="28"/>
    </row>
    <row r="163" spans="1:4" ht="12.75" customHeight="1" x14ac:dyDescent="0.35">
      <c r="A163" s="28"/>
      <c r="B163" s="28"/>
      <c r="C163" s="28"/>
      <c r="D163" s="28"/>
    </row>
    <row r="164" spans="1:4" ht="12.75" customHeight="1" x14ac:dyDescent="0.35">
      <c r="A164" s="28"/>
      <c r="B164" s="28" t="s">
        <v>2582</v>
      </c>
      <c r="C164" s="28"/>
      <c r="D164" s="28"/>
    </row>
    <row r="165" spans="1:4" ht="12.75" customHeight="1" x14ac:dyDescent="0.35">
      <c r="A165" s="28"/>
      <c r="B165" s="28"/>
      <c r="C165" s="104" t="s">
        <v>2584</v>
      </c>
      <c r="D165" s="28"/>
    </row>
    <row r="166" spans="1:4" ht="12.75" customHeight="1" x14ac:dyDescent="0.35">
      <c r="A166" s="28"/>
      <c r="B166" s="28"/>
      <c r="C166" s="28"/>
      <c r="D166" s="28"/>
    </row>
    <row r="167" spans="1:4" ht="12.75" customHeight="1" x14ac:dyDescent="0.35">
      <c r="A167" s="28"/>
      <c r="B167" s="28"/>
      <c r="C167" s="28"/>
      <c r="D167" s="28"/>
    </row>
    <row r="168" spans="1:4" ht="12.75" customHeight="1" x14ac:dyDescent="0.35">
      <c r="A168" s="28"/>
      <c r="B168" s="28"/>
      <c r="C168" s="28"/>
      <c r="D168" s="28"/>
    </row>
    <row r="169" spans="1:4" ht="12.75" customHeight="1" x14ac:dyDescent="0.35">
      <c r="A169" s="28"/>
      <c r="B169" s="28"/>
      <c r="C169" s="28"/>
      <c r="D169" s="28"/>
    </row>
    <row r="170" spans="1:4" ht="12.75" customHeight="1" x14ac:dyDescent="0.35">
      <c r="A170" s="28"/>
      <c r="B170" s="28" t="s">
        <v>2582</v>
      </c>
      <c r="C170" s="28"/>
      <c r="D170" s="28"/>
    </row>
    <row r="171" spans="1:4" ht="12.75" customHeight="1" x14ac:dyDescent="0.35">
      <c r="A171" s="28"/>
      <c r="B171" s="28"/>
      <c r="C171" s="28" t="s">
        <v>2583</v>
      </c>
      <c r="D171" s="28"/>
    </row>
    <row r="172" spans="1:4" ht="12.75" customHeight="1" x14ac:dyDescent="0.35">
      <c r="A172" s="28"/>
      <c r="B172" s="28"/>
      <c r="C172" s="28"/>
      <c r="D172" s="28"/>
    </row>
    <row r="173" spans="1:4" ht="12.75" customHeight="1" x14ac:dyDescent="0.35">
      <c r="A173" s="28"/>
      <c r="B173" s="28"/>
      <c r="C173" s="28"/>
      <c r="D173" s="28"/>
    </row>
    <row r="174" spans="1:4" ht="12.75" customHeight="1" x14ac:dyDescent="0.35">
      <c r="A174" s="28"/>
      <c r="B174" s="28" t="s">
        <v>2582</v>
      </c>
      <c r="C174" s="28"/>
      <c r="D174" s="28"/>
    </row>
    <row r="175" spans="1:4" ht="12.75" customHeight="1" x14ac:dyDescent="0.35">
      <c r="A175" s="28"/>
      <c r="B175" s="28"/>
      <c r="C175" s="104" t="s">
        <v>2584</v>
      </c>
      <c r="D175" s="28"/>
    </row>
    <row r="176" spans="1:4" ht="12.75" customHeight="1" x14ac:dyDescent="0.35">
      <c r="A176" s="28"/>
      <c r="B176" s="28"/>
      <c r="C176" s="28"/>
      <c r="D176" s="28"/>
    </row>
    <row r="177" spans="1:4" ht="12.75" customHeight="1" x14ac:dyDescent="0.35">
      <c r="A177" s="28"/>
      <c r="B177" s="28"/>
      <c r="C177" s="28"/>
      <c r="D177" s="28"/>
    </row>
    <row r="178" spans="1:4" ht="12.75" customHeight="1" x14ac:dyDescent="0.35">
      <c r="A178" s="28"/>
      <c r="B178" s="28"/>
      <c r="C178" s="28"/>
      <c r="D178" s="28"/>
    </row>
    <row r="179" spans="1:4" ht="12.75" customHeight="1" x14ac:dyDescent="0.35">
      <c r="A179" s="28"/>
      <c r="B179" s="28"/>
      <c r="C179" s="28"/>
      <c r="D179" s="28"/>
    </row>
    <row r="180" spans="1:4" ht="12.75" customHeight="1" x14ac:dyDescent="0.35">
      <c r="A180" s="28"/>
      <c r="B180" s="28" t="s">
        <v>2582</v>
      </c>
      <c r="C180" s="28"/>
      <c r="D180" s="28"/>
    </row>
    <row r="181" spans="1:4" ht="12.75" customHeight="1" x14ac:dyDescent="0.35">
      <c r="A181" s="28"/>
      <c r="B181" s="28"/>
      <c r="C181" s="28" t="s">
        <v>2583</v>
      </c>
      <c r="D181" s="28"/>
    </row>
    <row r="182" spans="1:4" ht="12.75" customHeight="1" x14ac:dyDescent="0.35">
      <c r="A182" s="28"/>
      <c r="B182" s="28"/>
      <c r="C182" s="28"/>
      <c r="D182" s="28"/>
    </row>
    <row r="183" spans="1:4" ht="12.75" customHeight="1" x14ac:dyDescent="0.35">
      <c r="A183" s="28"/>
      <c r="B183" s="28"/>
      <c r="C183" s="28"/>
      <c r="D183" s="28"/>
    </row>
    <row r="184" spans="1:4" ht="12.75" customHeight="1" x14ac:dyDescent="0.35">
      <c r="A184" s="28"/>
      <c r="B184" s="28" t="s">
        <v>2582</v>
      </c>
      <c r="C184" s="28"/>
      <c r="D184" s="28"/>
    </row>
    <row r="185" spans="1:4" ht="12.75" customHeight="1" x14ac:dyDescent="0.35">
      <c r="A185" s="28"/>
      <c r="B185" s="28"/>
      <c r="C185" s="104" t="s">
        <v>2584</v>
      </c>
      <c r="D185" s="28"/>
    </row>
    <row r="186" spans="1:4" ht="12.75" customHeight="1" x14ac:dyDescent="0.35">
      <c r="A186" s="28"/>
      <c r="B186" s="28"/>
      <c r="C186" s="28"/>
      <c r="D186" s="28"/>
    </row>
    <row r="187" spans="1:4" ht="12.75" customHeight="1" x14ac:dyDescent="0.35">
      <c r="A187" s="28"/>
      <c r="B187" s="28"/>
      <c r="C187" s="28"/>
      <c r="D187" s="28"/>
    </row>
    <row r="188" spans="1:4" ht="12.75" customHeight="1" x14ac:dyDescent="0.35">
      <c r="A188" s="28"/>
      <c r="B188" s="28"/>
      <c r="C188" s="28"/>
      <c r="D188" s="28"/>
    </row>
    <row r="189" spans="1:4" ht="12.75" customHeight="1" x14ac:dyDescent="0.35">
      <c r="A189" s="28"/>
      <c r="B189" s="28"/>
      <c r="C189" s="28"/>
      <c r="D189" s="28"/>
    </row>
    <row r="190" spans="1:4" ht="12.75" customHeight="1" x14ac:dyDescent="0.35">
      <c r="A190" s="28"/>
      <c r="B190" s="28" t="s">
        <v>2582</v>
      </c>
      <c r="C190" s="28"/>
      <c r="D190" s="28"/>
    </row>
    <row r="191" spans="1:4" ht="12.75" customHeight="1" x14ac:dyDescent="0.35">
      <c r="A191" s="28"/>
      <c r="B191" s="28"/>
      <c r="C191" s="28" t="s">
        <v>2583</v>
      </c>
      <c r="D191" s="28"/>
    </row>
    <row r="192" spans="1:4" ht="12.75" customHeight="1" x14ac:dyDescent="0.35">
      <c r="A192" s="28"/>
      <c r="B192" s="28"/>
      <c r="C192" s="28"/>
      <c r="D192" s="28"/>
    </row>
    <row r="193" spans="1:4" ht="12.75" customHeight="1" x14ac:dyDescent="0.35">
      <c r="A193" s="28"/>
      <c r="B193" s="28"/>
      <c r="C193" s="28"/>
      <c r="D193" s="28"/>
    </row>
    <row r="194" spans="1:4" ht="12.75" customHeight="1" x14ac:dyDescent="0.35">
      <c r="A194" s="28"/>
      <c r="B194" s="28" t="s">
        <v>2582</v>
      </c>
      <c r="C194" s="28"/>
      <c r="D194" s="28"/>
    </row>
    <row r="195" spans="1:4" ht="12.75" customHeight="1" x14ac:dyDescent="0.35">
      <c r="A195" s="28"/>
      <c r="B195" s="28"/>
      <c r="C195" s="104" t="s">
        <v>2584</v>
      </c>
      <c r="D195" s="28"/>
    </row>
    <row r="196" spans="1:4" ht="12.75" customHeight="1" x14ac:dyDescent="0.35">
      <c r="A196" s="28"/>
      <c r="B196" s="28"/>
      <c r="C196" s="28"/>
      <c r="D196" s="28"/>
    </row>
    <row r="197" spans="1:4" ht="12.75" customHeight="1" x14ac:dyDescent="0.35">
      <c r="A197" s="28"/>
      <c r="B197" s="28"/>
      <c r="C197" s="28"/>
      <c r="D197" s="28"/>
    </row>
    <row r="198" spans="1:4" ht="12.75" customHeight="1" x14ac:dyDescent="0.35">
      <c r="A198" s="28"/>
      <c r="B198" s="28"/>
      <c r="C198" s="28"/>
      <c r="D198" s="28"/>
    </row>
    <row r="199" spans="1:4" ht="12.75" customHeight="1" x14ac:dyDescent="0.35">
      <c r="A199" s="28"/>
      <c r="B199" s="28"/>
      <c r="C199" s="28"/>
      <c r="D199" s="28"/>
    </row>
    <row r="200" spans="1:4" ht="12.75" customHeight="1" x14ac:dyDescent="0.35">
      <c r="A200" s="28"/>
      <c r="B200" s="28" t="s">
        <v>2582</v>
      </c>
      <c r="C200" s="28"/>
      <c r="D200" s="28"/>
    </row>
    <row r="201" spans="1:4" ht="12.75" customHeight="1" x14ac:dyDescent="0.35">
      <c r="A201" s="28"/>
      <c r="B201" s="28"/>
      <c r="C201" s="28" t="s">
        <v>2583</v>
      </c>
      <c r="D201" s="28"/>
    </row>
    <row r="202" spans="1:4" ht="12.75" customHeight="1" x14ac:dyDescent="0.35">
      <c r="A202" s="28"/>
      <c r="B202" s="28"/>
      <c r="C202" s="28"/>
      <c r="D202" s="28"/>
    </row>
    <row r="203" spans="1:4" ht="12.75" customHeight="1" x14ac:dyDescent="0.35">
      <c r="A203" s="28"/>
      <c r="B203" s="28"/>
      <c r="C203" s="28"/>
      <c r="D203" s="28"/>
    </row>
    <row r="204" spans="1:4" ht="12.75" customHeight="1" x14ac:dyDescent="0.35">
      <c r="A204" s="28"/>
      <c r="B204" s="28" t="s">
        <v>2582</v>
      </c>
      <c r="C204" s="28"/>
      <c r="D204" s="28"/>
    </row>
    <row r="205" spans="1:4" ht="12.75" customHeight="1" x14ac:dyDescent="0.35">
      <c r="A205" s="28"/>
      <c r="B205" s="28"/>
      <c r="C205" s="104" t="s">
        <v>2584</v>
      </c>
      <c r="D205" s="28"/>
    </row>
    <row r="206" spans="1:4" ht="12.75" customHeight="1" x14ac:dyDescent="0.35">
      <c r="A206" s="28"/>
      <c r="B206" s="28"/>
      <c r="C206" s="28"/>
      <c r="D206" s="28"/>
    </row>
    <row r="207" spans="1:4" ht="12.75" customHeight="1" x14ac:dyDescent="0.35">
      <c r="A207" s="28"/>
      <c r="B207" s="28"/>
      <c r="C207" s="28"/>
      <c r="D207" s="28"/>
    </row>
    <row r="208" spans="1:4" ht="12.75" customHeight="1" x14ac:dyDescent="0.35">
      <c r="A208" s="28"/>
      <c r="B208" s="28"/>
      <c r="C208" s="28"/>
      <c r="D208" s="28"/>
    </row>
    <row r="209" spans="1:4" ht="12.75" customHeight="1" x14ac:dyDescent="0.35">
      <c r="A209" s="28"/>
      <c r="B209" s="28"/>
      <c r="C209" s="28"/>
      <c r="D209" s="28"/>
    </row>
    <row r="210" spans="1:4" ht="12.75" customHeight="1" x14ac:dyDescent="0.35">
      <c r="A210" s="28"/>
      <c r="B210" s="28" t="s">
        <v>2582</v>
      </c>
      <c r="C210" s="28"/>
      <c r="D210" s="28"/>
    </row>
    <row r="211" spans="1:4" ht="12.75" customHeight="1" x14ac:dyDescent="0.35">
      <c r="A211" s="28"/>
      <c r="B211" s="28"/>
      <c r="C211" s="28" t="s">
        <v>2583</v>
      </c>
      <c r="D211" s="28"/>
    </row>
    <row r="212" spans="1:4" ht="12.75" customHeight="1" x14ac:dyDescent="0.35">
      <c r="A212" s="28"/>
      <c r="B212" s="28"/>
      <c r="C212" s="28"/>
      <c r="D212" s="28"/>
    </row>
    <row r="213" spans="1:4" ht="12.75" customHeight="1" x14ac:dyDescent="0.35">
      <c r="A213" s="28"/>
      <c r="B213" s="28"/>
      <c r="C213" s="28"/>
      <c r="D213" s="28"/>
    </row>
    <row r="214" spans="1:4" ht="12.75" customHeight="1" x14ac:dyDescent="0.35">
      <c r="A214" s="28"/>
      <c r="B214" s="28" t="s">
        <v>2582</v>
      </c>
      <c r="C214" s="28"/>
      <c r="D214" s="28"/>
    </row>
    <row r="215" spans="1:4" ht="12.75" customHeight="1" x14ac:dyDescent="0.35">
      <c r="A215" s="28"/>
      <c r="B215" s="28"/>
      <c r="C215" s="104" t="s">
        <v>2584</v>
      </c>
      <c r="D215" s="28"/>
    </row>
    <row r="216" spans="1:4" ht="12.75" customHeight="1" x14ac:dyDescent="0.35">
      <c r="A216" s="28"/>
      <c r="B216" s="28"/>
      <c r="C216" s="28"/>
      <c r="D216" s="28"/>
    </row>
    <row r="217" spans="1:4" ht="12.75" customHeight="1" x14ac:dyDescent="0.35">
      <c r="A217" s="28"/>
      <c r="B217" s="28"/>
      <c r="C217" s="28"/>
      <c r="D217" s="28"/>
    </row>
    <row r="218" spans="1:4" ht="12.75" customHeight="1" x14ac:dyDescent="0.35">
      <c r="A218" s="28"/>
      <c r="B218" s="28"/>
      <c r="C218" s="28"/>
      <c r="D218" s="28"/>
    </row>
    <row r="219" spans="1:4" ht="12.75" customHeight="1" x14ac:dyDescent="0.35">
      <c r="A219" s="28"/>
      <c r="B219" s="28"/>
      <c r="C219" s="28"/>
      <c r="D219" s="28"/>
    </row>
    <row r="220" spans="1:4" ht="12.75" customHeight="1" x14ac:dyDescent="0.35">
      <c r="A220" s="28"/>
      <c r="B220" s="28" t="s">
        <v>2582</v>
      </c>
      <c r="C220" s="28"/>
      <c r="D220" s="28"/>
    </row>
    <row r="221" spans="1:4" ht="12.75" customHeight="1" x14ac:dyDescent="0.35">
      <c r="A221" s="28"/>
      <c r="B221" s="28"/>
      <c r="C221" s="28" t="s">
        <v>2583</v>
      </c>
      <c r="D221" s="28"/>
    </row>
    <row r="222" spans="1:4" ht="12.75" customHeight="1" x14ac:dyDescent="0.35">
      <c r="A222" s="28"/>
      <c r="B222" s="28"/>
      <c r="C222" s="28"/>
      <c r="D222" s="28"/>
    </row>
    <row r="223" spans="1:4" ht="12.75" customHeight="1" x14ac:dyDescent="0.35">
      <c r="A223" s="28"/>
      <c r="B223" s="28"/>
      <c r="C223" s="28"/>
      <c r="D223" s="28"/>
    </row>
    <row r="224" spans="1:4" ht="12.75" customHeight="1" x14ac:dyDescent="0.35">
      <c r="A224" s="28"/>
      <c r="B224" s="28" t="s">
        <v>2582</v>
      </c>
      <c r="C224" s="28"/>
      <c r="D224" s="28"/>
    </row>
    <row r="225" spans="1:4" ht="12.75" customHeight="1" x14ac:dyDescent="0.35">
      <c r="A225" s="28"/>
      <c r="B225" s="28"/>
      <c r="C225" s="104" t="s">
        <v>2584</v>
      </c>
      <c r="D225" s="28"/>
    </row>
    <row r="226" spans="1:4" ht="12.75" customHeight="1" x14ac:dyDescent="0.35">
      <c r="A226" s="28"/>
      <c r="B226" s="28"/>
      <c r="C226" s="28"/>
      <c r="D226" s="28"/>
    </row>
    <row r="227" spans="1:4" ht="12.75" customHeight="1" x14ac:dyDescent="0.35">
      <c r="A227" s="28"/>
      <c r="B227" s="28"/>
      <c r="C227" s="28"/>
      <c r="D227" s="28"/>
    </row>
    <row r="228" spans="1:4" ht="12.75" customHeight="1" x14ac:dyDescent="0.35">
      <c r="A228" s="28"/>
      <c r="B228" s="28"/>
      <c r="C228" s="28"/>
      <c r="D228" s="28"/>
    </row>
    <row r="229" spans="1:4" ht="12.75" customHeight="1" x14ac:dyDescent="0.35">
      <c r="A229" s="28"/>
      <c r="B229" s="28"/>
      <c r="D229" s="28"/>
    </row>
    <row r="230" spans="1:4" ht="12.75" customHeight="1" x14ac:dyDescent="0.35">
      <c r="A230" s="28"/>
      <c r="B230" s="28" t="s">
        <v>2582</v>
      </c>
      <c r="C230" s="28"/>
      <c r="D230" s="28"/>
    </row>
    <row r="231" spans="1:4" ht="12.75" customHeight="1" x14ac:dyDescent="0.35">
      <c r="A231" s="28"/>
      <c r="B231" s="28"/>
      <c r="C231" s="28" t="s">
        <v>2583</v>
      </c>
      <c r="D231" s="28"/>
    </row>
    <row r="232" spans="1:4" ht="12.75" customHeight="1" x14ac:dyDescent="0.35">
      <c r="A232" s="28"/>
      <c r="B232" s="28"/>
      <c r="C232" s="28"/>
      <c r="D232" s="28"/>
    </row>
    <row r="233" spans="1:4" ht="12.75" customHeight="1" x14ac:dyDescent="0.35">
      <c r="A233" s="28"/>
      <c r="B233" s="28"/>
      <c r="C233" s="28"/>
      <c r="D233" s="28"/>
    </row>
    <row r="234" spans="1:4" ht="12.75" customHeight="1" x14ac:dyDescent="0.35">
      <c r="A234" s="28"/>
      <c r="B234" s="28" t="s">
        <v>2582</v>
      </c>
      <c r="C234" s="28"/>
      <c r="D234" s="28"/>
    </row>
    <row r="235" spans="1:4" ht="12.75" customHeight="1" x14ac:dyDescent="0.35">
      <c r="A235" s="28"/>
      <c r="B235" s="28"/>
      <c r="C235" s="104" t="s">
        <v>2584</v>
      </c>
      <c r="D235" s="28"/>
    </row>
    <row r="236" spans="1:4" ht="12.75" customHeight="1" x14ac:dyDescent="0.35">
      <c r="A236" s="28"/>
      <c r="B236" s="28"/>
      <c r="C236" s="28"/>
      <c r="D236" s="28"/>
    </row>
    <row r="237" spans="1:4" ht="12.75" customHeight="1" x14ac:dyDescent="0.35">
      <c r="A237" s="28"/>
      <c r="B237" s="28"/>
      <c r="C237" s="28"/>
      <c r="D237" s="28"/>
    </row>
    <row r="238" spans="1:4" ht="12.75" customHeight="1" x14ac:dyDescent="0.35">
      <c r="A238" s="28"/>
      <c r="B238" s="28"/>
      <c r="C238" s="28"/>
      <c r="D238" s="28"/>
    </row>
    <row r="239" spans="1:4" ht="12.75" customHeight="1" x14ac:dyDescent="0.35">
      <c r="A239" s="28"/>
      <c r="B239" s="28"/>
      <c r="C239" s="28"/>
      <c r="D239" s="28"/>
    </row>
    <row r="240" spans="1:4" ht="12.75" customHeight="1" x14ac:dyDescent="0.35">
      <c r="A240" s="28"/>
      <c r="B240" s="28" t="s">
        <v>2582</v>
      </c>
      <c r="C240" s="28"/>
      <c r="D240" s="28"/>
    </row>
    <row r="241" spans="1:4" ht="12.75" customHeight="1" x14ac:dyDescent="0.35">
      <c r="A241" s="28"/>
      <c r="B241" s="28"/>
      <c r="C241" s="28" t="s">
        <v>2583</v>
      </c>
      <c r="D241" s="28"/>
    </row>
    <row r="242" spans="1:4" ht="12.75" customHeight="1" x14ac:dyDescent="0.35">
      <c r="A242" s="28"/>
      <c r="B242" s="28"/>
      <c r="C242" s="28"/>
      <c r="D242" s="28"/>
    </row>
    <row r="243" spans="1:4" ht="12.75" customHeight="1" x14ac:dyDescent="0.35">
      <c r="A243" s="28"/>
      <c r="B243" s="28"/>
      <c r="C243" s="28"/>
      <c r="D243" s="28"/>
    </row>
    <row r="244" spans="1:4" ht="12.75" customHeight="1" x14ac:dyDescent="0.35">
      <c r="A244" s="28"/>
      <c r="B244" s="28" t="s">
        <v>2582</v>
      </c>
      <c r="C244" s="28"/>
      <c r="D244" s="28"/>
    </row>
    <row r="245" spans="1:4" ht="12.75" customHeight="1" x14ac:dyDescent="0.35">
      <c r="A245" s="28"/>
      <c r="B245" s="28"/>
      <c r="C245" s="104" t="s">
        <v>2584</v>
      </c>
      <c r="D245" s="28"/>
    </row>
    <row r="246" spans="1:4" ht="12.75" customHeight="1" x14ac:dyDescent="0.35">
      <c r="A246" s="28"/>
      <c r="B246" s="28"/>
      <c r="C246" s="28"/>
      <c r="D246" s="28"/>
    </row>
    <row r="247" spans="1:4" ht="12.75" customHeight="1" x14ac:dyDescent="0.35">
      <c r="A247" s="28"/>
      <c r="B247" s="28"/>
      <c r="C247" s="28"/>
      <c r="D247" s="28"/>
    </row>
    <row r="248" spans="1:4" ht="12.75" customHeight="1" x14ac:dyDescent="0.35">
      <c r="A248" s="28"/>
      <c r="B248" s="28"/>
      <c r="C248" s="28"/>
      <c r="D248" s="28"/>
    </row>
    <row r="249" spans="1:4" ht="12.75" customHeight="1" x14ac:dyDescent="0.35">
      <c r="A249" s="28"/>
      <c r="B249" s="28"/>
      <c r="C249" s="28"/>
      <c r="D249" s="28"/>
    </row>
    <row r="250" spans="1:4" ht="12.75" customHeight="1" x14ac:dyDescent="0.35">
      <c r="A250" s="28"/>
      <c r="B250" s="28" t="s">
        <v>2582</v>
      </c>
      <c r="C250" s="28"/>
      <c r="D250" s="28"/>
    </row>
    <row r="251" spans="1:4" ht="12.75" customHeight="1" x14ac:dyDescent="0.35">
      <c r="A251" s="28"/>
      <c r="B251" s="28"/>
      <c r="C251" s="28" t="s">
        <v>2583</v>
      </c>
      <c r="D251" s="28"/>
    </row>
    <row r="252" spans="1:4" ht="12.75" customHeight="1" x14ac:dyDescent="0.35">
      <c r="A252" s="28"/>
      <c r="B252" s="28"/>
      <c r="C252" s="28"/>
      <c r="D252" s="28"/>
    </row>
    <row r="253" spans="1:4" ht="12.75" customHeight="1" x14ac:dyDescent="0.35">
      <c r="A253" s="28"/>
      <c r="B253" s="28"/>
      <c r="C253" s="28"/>
      <c r="D253" s="28"/>
    </row>
    <row r="254" spans="1:4" ht="12.75" customHeight="1" x14ac:dyDescent="0.35">
      <c r="A254" s="28"/>
      <c r="B254" s="28" t="s">
        <v>2582</v>
      </c>
      <c r="C254" s="28"/>
      <c r="D254" s="28"/>
    </row>
    <row r="255" spans="1:4" ht="12.75" customHeight="1" x14ac:dyDescent="0.35">
      <c r="A255" s="28"/>
      <c r="B255" s="28"/>
      <c r="C255" s="104" t="s">
        <v>2584</v>
      </c>
      <c r="D255" s="28"/>
    </row>
    <row r="256" spans="1:4" ht="12.75" customHeight="1" x14ac:dyDescent="0.35">
      <c r="A256" s="28"/>
      <c r="B256" s="28"/>
      <c r="C256" s="28"/>
      <c r="D256" s="28"/>
    </row>
    <row r="257" spans="1:4" ht="12.75" customHeight="1" x14ac:dyDescent="0.35">
      <c r="A257" s="28"/>
      <c r="B257" s="28"/>
      <c r="C257" s="28"/>
      <c r="D257" s="28"/>
    </row>
    <row r="258" spans="1:4" ht="12.75" customHeight="1" x14ac:dyDescent="0.35">
      <c r="A258" s="28"/>
      <c r="B258" s="28"/>
      <c r="C258" s="28"/>
      <c r="D258" s="28"/>
    </row>
    <row r="259" spans="1:4" ht="12.75" customHeight="1" x14ac:dyDescent="0.35">
      <c r="A259" s="28"/>
      <c r="B259" s="28"/>
      <c r="C259" s="28"/>
      <c r="D259" s="28"/>
    </row>
    <row r="260" spans="1:4" ht="12.75" customHeight="1" x14ac:dyDescent="0.35">
      <c r="A260" s="28"/>
      <c r="B260" s="28" t="s">
        <v>2582</v>
      </c>
      <c r="C260" s="28"/>
      <c r="D260" s="28"/>
    </row>
    <row r="261" spans="1:4" ht="12.75" customHeight="1" x14ac:dyDescent="0.35">
      <c r="A261" s="28"/>
      <c r="B261" s="28"/>
      <c r="C261" s="28" t="s">
        <v>2583</v>
      </c>
      <c r="D261" s="28"/>
    </row>
    <row r="262" spans="1:4" ht="12.75" customHeight="1" x14ac:dyDescent="0.35">
      <c r="A262" s="28"/>
      <c r="B262" s="28"/>
      <c r="C262" s="28"/>
      <c r="D262" s="28"/>
    </row>
    <row r="263" spans="1:4" ht="12.75" customHeight="1" x14ac:dyDescent="0.35">
      <c r="A263" s="28"/>
      <c r="B263" s="28"/>
      <c r="C263" s="28"/>
      <c r="D263" s="28"/>
    </row>
    <row r="264" spans="1:4" ht="12.75" customHeight="1" x14ac:dyDescent="0.35">
      <c r="A264" s="28"/>
      <c r="B264" s="28" t="s">
        <v>2582</v>
      </c>
      <c r="C264" s="28"/>
      <c r="D264" s="28"/>
    </row>
    <row r="265" spans="1:4" ht="12.75" customHeight="1" x14ac:dyDescent="0.35">
      <c r="A265" s="28"/>
      <c r="B265" s="28"/>
      <c r="C265" s="104" t="s">
        <v>2584</v>
      </c>
      <c r="D265" s="28"/>
    </row>
    <row r="266" spans="1:4" ht="12.75" customHeight="1" x14ac:dyDescent="0.35">
      <c r="A266" s="28"/>
      <c r="B266" s="28"/>
      <c r="C266" s="28"/>
      <c r="D266" s="28"/>
    </row>
    <row r="267" spans="1:4" ht="12.75" customHeight="1" x14ac:dyDescent="0.35">
      <c r="A267" s="28"/>
      <c r="B267" s="28"/>
      <c r="C267" s="28"/>
      <c r="D267" s="28"/>
    </row>
    <row r="268" spans="1:4" ht="12.75" customHeight="1" x14ac:dyDescent="0.35">
      <c r="A268" s="28"/>
      <c r="B268" s="28"/>
      <c r="C268" s="28"/>
      <c r="D268" s="28"/>
    </row>
    <row r="269" spans="1:4" ht="12.75" customHeight="1" x14ac:dyDescent="0.35">
      <c r="A269" s="28"/>
      <c r="B269" s="28"/>
      <c r="C269" s="28"/>
      <c r="D269" s="28"/>
    </row>
    <row r="270" spans="1:4" ht="12.75" customHeight="1" x14ac:dyDescent="0.35">
      <c r="A270" s="28"/>
      <c r="B270" s="28" t="s">
        <v>2582</v>
      </c>
      <c r="C270" s="28"/>
      <c r="D270" s="28"/>
    </row>
    <row r="271" spans="1:4" ht="12.75" customHeight="1" x14ac:dyDescent="0.35">
      <c r="A271" s="28"/>
      <c r="B271" s="28"/>
      <c r="C271" s="28" t="s">
        <v>2583</v>
      </c>
      <c r="D271" s="28"/>
    </row>
    <row r="272" spans="1:4" ht="12.75" customHeight="1" x14ac:dyDescent="0.35">
      <c r="A272" s="28"/>
      <c r="B272" s="28"/>
      <c r="C272" s="28"/>
      <c r="D272" s="28"/>
    </row>
    <row r="273" spans="1:4" ht="12.75" customHeight="1" x14ac:dyDescent="0.35">
      <c r="A273" s="28"/>
      <c r="B273" s="28"/>
      <c r="C273" s="28"/>
      <c r="D273" s="28"/>
    </row>
    <row r="274" spans="1:4" ht="12.75" customHeight="1" x14ac:dyDescent="0.35">
      <c r="A274" s="28"/>
      <c r="B274" s="28" t="s">
        <v>2582</v>
      </c>
      <c r="C274" s="28"/>
      <c r="D274" s="28"/>
    </row>
    <row r="275" spans="1:4" ht="12.75" customHeight="1" x14ac:dyDescent="0.35">
      <c r="A275" s="28"/>
      <c r="B275" s="28"/>
      <c r="C275" s="104" t="s">
        <v>2584</v>
      </c>
      <c r="D275" s="28"/>
    </row>
    <row r="276" spans="1:4" ht="12.75" customHeight="1" x14ac:dyDescent="0.35">
      <c r="A276" s="28"/>
      <c r="B276" s="28"/>
      <c r="C276" s="28"/>
      <c r="D276" s="28"/>
    </row>
    <row r="277" spans="1:4" ht="12.75" customHeight="1" x14ac:dyDescent="0.35">
      <c r="A277" s="28"/>
      <c r="B277" s="28"/>
      <c r="C277" s="28"/>
      <c r="D277" s="28"/>
    </row>
    <row r="278" spans="1:4" ht="12.75" customHeight="1" x14ac:dyDescent="0.35">
      <c r="A278" s="28"/>
      <c r="B278" s="28"/>
      <c r="C278" s="28"/>
      <c r="D278" s="28"/>
    </row>
    <row r="279" spans="1:4" ht="12.75" customHeight="1" x14ac:dyDescent="0.35">
      <c r="A279" s="28"/>
      <c r="B279" s="28"/>
      <c r="C279" s="28"/>
      <c r="D279" s="28"/>
    </row>
    <row r="280" spans="1:4" ht="12.75" customHeight="1" x14ac:dyDescent="0.35">
      <c r="A280" s="28"/>
      <c r="B280" s="28" t="s">
        <v>2582</v>
      </c>
      <c r="C280" s="28"/>
      <c r="D280" s="28"/>
    </row>
    <row r="281" spans="1:4" ht="12.75" customHeight="1" x14ac:dyDescent="0.35">
      <c r="A281" s="28"/>
      <c r="B281" s="28"/>
      <c r="C281" s="28" t="s">
        <v>2583</v>
      </c>
      <c r="D281" s="28"/>
    </row>
    <row r="282" spans="1:4" ht="12.75" customHeight="1" x14ac:dyDescent="0.35">
      <c r="A282" s="28"/>
      <c r="B282" s="28"/>
      <c r="C282" s="28"/>
      <c r="D282" s="28"/>
    </row>
    <row r="283" spans="1:4" ht="12.75" customHeight="1" x14ac:dyDescent="0.35">
      <c r="A283" s="28"/>
      <c r="B283" s="28"/>
      <c r="C283" s="28"/>
      <c r="D283" s="28"/>
    </row>
    <row r="284" spans="1:4" ht="12.75" customHeight="1" x14ac:dyDescent="0.35">
      <c r="A284" s="28"/>
      <c r="B284" s="28" t="s">
        <v>2582</v>
      </c>
      <c r="C284" s="28"/>
      <c r="D284" s="28"/>
    </row>
    <row r="285" spans="1:4" ht="12.75" customHeight="1" x14ac:dyDescent="0.35">
      <c r="A285" s="28"/>
      <c r="B285" s="28"/>
      <c r="C285" s="104" t="s">
        <v>2584</v>
      </c>
      <c r="D285" s="28"/>
    </row>
    <row r="286" spans="1:4" ht="12.75" customHeight="1" x14ac:dyDescent="0.35">
      <c r="A286" s="28"/>
      <c r="B286" s="28"/>
      <c r="C286" s="28"/>
      <c r="D286" s="28"/>
    </row>
    <row r="287" spans="1:4" ht="12.75" customHeight="1" x14ac:dyDescent="0.35">
      <c r="A287" s="28"/>
      <c r="B287" s="28"/>
      <c r="C287" s="28"/>
      <c r="D287" s="28"/>
    </row>
    <row r="288" spans="1:4" ht="12.75" customHeight="1" x14ac:dyDescent="0.35">
      <c r="A288" s="28"/>
      <c r="B288" s="28"/>
      <c r="C288" s="28"/>
      <c r="D288" s="28"/>
    </row>
    <row r="289" spans="1:4" ht="12.75" customHeight="1" x14ac:dyDescent="0.35">
      <c r="A289" s="28"/>
      <c r="B289" s="28"/>
      <c r="C289" s="28"/>
      <c r="D289" s="28"/>
    </row>
    <row r="290" spans="1:4" ht="12.75" customHeight="1" x14ac:dyDescent="0.35">
      <c r="A290" s="28"/>
      <c r="B290" s="28" t="s">
        <v>2582</v>
      </c>
      <c r="C290" s="28"/>
      <c r="D290" s="28"/>
    </row>
    <row r="291" spans="1:4" ht="12.75" customHeight="1" x14ac:dyDescent="0.35">
      <c r="A291" s="28"/>
      <c r="B291" s="28"/>
      <c r="C291" s="28" t="s">
        <v>2583</v>
      </c>
      <c r="D291" s="28"/>
    </row>
    <row r="292" spans="1:4" ht="12.75" customHeight="1" x14ac:dyDescent="0.35">
      <c r="A292" s="28"/>
      <c r="B292" s="28"/>
      <c r="C292" s="28"/>
      <c r="D292" s="28"/>
    </row>
    <row r="293" spans="1:4" ht="12.75" customHeight="1" x14ac:dyDescent="0.35">
      <c r="A293" s="28"/>
      <c r="B293" s="28"/>
      <c r="C293" s="28"/>
      <c r="D293" s="28"/>
    </row>
    <row r="294" spans="1:4" ht="12.75" customHeight="1" x14ac:dyDescent="0.35">
      <c r="A294" s="28"/>
      <c r="B294" s="28" t="s">
        <v>2582</v>
      </c>
      <c r="C294" s="28"/>
      <c r="D294" s="28"/>
    </row>
    <row r="295" spans="1:4" ht="12.75" customHeight="1" x14ac:dyDescent="0.35">
      <c r="A295" s="28"/>
      <c r="B295" s="28"/>
      <c r="C295" s="104" t="s">
        <v>2584</v>
      </c>
      <c r="D295" s="28"/>
    </row>
    <row r="296" spans="1:4" ht="12.75" customHeight="1" x14ac:dyDescent="0.35">
      <c r="A296" s="28"/>
      <c r="B296" s="28"/>
      <c r="C296" s="28"/>
      <c r="D296" s="28"/>
    </row>
    <row r="297" spans="1:4" ht="12.75" customHeight="1" x14ac:dyDescent="0.35">
      <c r="A297" s="28"/>
      <c r="B297" s="28"/>
      <c r="C297" s="28"/>
      <c r="D297" s="28"/>
    </row>
    <row r="298" spans="1:4" ht="12.75" customHeight="1" x14ac:dyDescent="0.35">
      <c r="A298" s="28"/>
      <c r="B298" s="28"/>
      <c r="C298" s="28"/>
      <c r="D298" s="28"/>
    </row>
    <row r="299" spans="1:4" ht="12.75" customHeight="1" x14ac:dyDescent="0.35">
      <c r="A299" s="28"/>
      <c r="B299" s="28"/>
      <c r="C299" s="28"/>
      <c r="D299" s="28"/>
    </row>
    <row r="300" spans="1:4" ht="12.75" customHeight="1" x14ac:dyDescent="0.35">
      <c r="A300" s="28"/>
      <c r="B300" s="28" t="s">
        <v>2582</v>
      </c>
      <c r="C300" s="28"/>
      <c r="D300" s="28"/>
    </row>
    <row r="301" spans="1:4" ht="12.75" customHeight="1" x14ac:dyDescent="0.35">
      <c r="A301" s="28"/>
      <c r="B301" s="28"/>
      <c r="C301" s="28" t="s">
        <v>2583</v>
      </c>
      <c r="D301" s="28"/>
    </row>
    <row r="302" spans="1:4" ht="12.75" customHeight="1" x14ac:dyDescent="0.35">
      <c r="A302" s="28"/>
      <c r="B302" s="28"/>
      <c r="C302" s="28"/>
      <c r="D302" s="28"/>
    </row>
    <row r="303" spans="1:4" ht="12.75" customHeight="1" x14ac:dyDescent="0.35">
      <c r="A303" s="28"/>
      <c r="B303" s="28"/>
      <c r="C303" s="28"/>
      <c r="D303" s="28"/>
    </row>
    <row r="304" spans="1:4" ht="12.75" customHeight="1" x14ac:dyDescent="0.35">
      <c r="A304" s="28"/>
      <c r="B304" s="28" t="s">
        <v>2582</v>
      </c>
      <c r="C304" s="28"/>
      <c r="D304" s="28"/>
    </row>
    <row r="305" spans="1:4" ht="12.75" customHeight="1" x14ac:dyDescent="0.35">
      <c r="A305" s="28"/>
      <c r="B305" s="28"/>
      <c r="C305" s="104" t="s">
        <v>2584</v>
      </c>
      <c r="D305" s="28"/>
    </row>
    <row r="306" spans="1:4" ht="12.75" customHeight="1" x14ac:dyDescent="0.35">
      <c r="A306" s="28"/>
      <c r="B306" s="28"/>
      <c r="C306" s="28"/>
      <c r="D306" s="28"/>
    </row>
    <row r="307" spans="1:4" ht="12.75" customHeight="1" x14ac:dyDescent="0.35">
      <c r="A307" s="28"/>
      <c r="B307" s="28"/>
      <c r="C307" s="28"/>
      <c r="D307" s="28"/>
    </row>
    <row r="308" spans="1:4" ht="12.75" customHeight="1" x14ac:dyDescent="0.35">
      <c r="A308" s="28"/>
      <c r="B308" s="28"/>
      <c r="C308" s="28"/>
      <c r="D308" s="28"/>
    </row>
    <row r="309" spans="1:4" ht="12.75" customHeight="1" x14ac:dyDescent="0.35">
      <c r="A309" s="28"/>
      <c r="B309" s="28"/>
      <c r="C309" s="28"/>
      <c r="D309" s="28"/>
    </row>
    <row r="310" spans="1:4" ht="12.75" customHeight="1" x14ac:dyDescent="0.35">
      <c r="A310" s="28"/>
      <c r="B310" s="28" t="s">
        <v>2582</v>
      </c>
      <c r="C310" s="28"/>
      <c r="D310" s="28"/>
    </row>
    <row r="311" spans="1:4" ht="12.75" customHeight="1" x14ac:dyDescent="0.35">
      <c r="A311" s="28"/>
      <c r="B311" s="28"/>
      <c r="C311" s="28" t="s">
        <v>2583</v>
      </c>
      <c r="D311" s="28"/>
    </row>
    <row r="312" spans="1:4" ht="12.75" customHeight="1" x14ac:dyDescent="0.35">
      <c r="A312" s="28"/>
      <c r="B312" s="28"/>
      <c r="C312" s="28"/>
      <c r="D312" s="28"/>
    </row>
    <row r="313" spans="1:4" ht="12.75" customHeight="1" x14ac:dyDescent="0.35">
      <c r="A313" s="28"/>
      <c r="B313" s="28"/>
      <c r="C313" s="28"/>
      <c r="D313" s="28"/>
    </row>
    <row r="314" spans="1:4" ht="12.75" customHeight="1" x14ac:dyDescent="0.35">
      <c r="A314" s="28"/>
      <c r="B314" s="28" t="s">
        <v>2582</v>
      </c>
      <c r="C314" s="28"/>
      <c r="D314" s="28"/>
    </row>
    <row r="315" spans="1:4" ht="12.75" customHeight="1" x14ac:dyDescent="0.35">
      <c r="A315" s="28"/>
      <c r="B315" s="28"/>
      <c r="C315" s="104" t="s">
        <v>2584</v>
      </c>
      <c r="D315" s="28"/>
    </row>
    <row r="316" spans="1:4" ht="12.75" customHeight="1" x14ac:dyDescent="0.35">
      <c r="A316" s="28"/>
      <c r="B316" s="28"/>
      <c r="C316" s="28"/>
      <c r="D316" s="28"/>
    </row>
    <row r="317" spans="1:4" ht="12.75" customHeight="1" x14ac:dyDescent="0.35">
      <c r="A317" s="28"/>
      <c r="B317" s="28"/>
      <c r="C317" s="28"/>
      <c r="D317" s="28"/>
    </row>
    <row r="318" spans="1:4" ht="12.75" customHeight="1" x14ac:dyDescent="0.35">
      <c r="A318" s="28"/>
      <c r="B318" s="28" t="s">
        <v>2585</v>
      </c>
      <c r="C318" s="28"/>
      <c r="D318" s="28"/>
    </row>
    <row r="319" spans="1:4" ht="12.75" customHeight="1" x14ac:dyDescent="0.35">
      <c r="A319" s="28"/>
      <c r="B319" s="28" t="s">
        <v>2586</v>
      </c>
      <c r="C319" s="28"/>
      <c r="D319" s="28"/>
    </row>
    <row r="320" spans="1:4" ht="12.75" customHeight="1" x14ac:dyDescent="0.35">
      <c r="A320" s="28"/>
      <c r="B320" s="28" t="s">
        <v>2257</v>
      </c>
      <c r="C320" s="28"/>
      <c r="D320" s="28"/>
    </row>
    <row r="321" spans="1:4" ht="12.75" customHeight="1" x14ac:dyDescent="0.35">
      <c r="A321" s="28"/>
      <c r="B321" s="28" t="s">
        <v>2587</v>
      </c>
      <c r="C321" s="28"/>
      <c r="D321" s="28"/>
    </row>
    <row r="322" spans="1:4" ht="12.75" customHeight="1" x14ac:dyDescent="0.35">
      <c r="A322" s="28"/>
      <c r="B322" s="28" t="s">
        <v>2583</v>
      </c>
      <c r="C322" s="28"/>
      <c r="D322" s="28"/>
    </row>
    <row r="323" spans="1:4" ht="12.75" customHeight="1" x14ac:dyDescent="0.35">
      <c r="A323" s="28"/>
      <c r="B323" s="28" t="s">
        <v>2588</v>
      </c>
      <c r="C323" s="28"/>
      <c r="D323" s="28"/>
    </row>
    <row r="324" spans="1:4" ht="12.75" customHeight="1" x14ac:dyDescent="0.35">
      <c r="A324" s="28"/>
      <c r="B324" s="28" t="s">
        <v>2586</v>
      </c>
      <c r="C324" s="28"/>
      <c r="D324" s="28"/>
    </row>
    <row r="325" spans="1:4" ht="12.75" customHeight="1" x14ac:dyDescent="0.35">
      <c r="A325" s="28"/>
      <c r="B325" s="28" t="s">
        <v>2580</v>
      </c>
      <c r="C325" s="28"/>
      <c r="D325" s="28"/>
    </row>
    <row r="326" spans="1:4" ht="12.75" customHeight="1" x14ac:dyDescent="0.35">
      <c r="A326" s="28"/>
      <c r="B326" s="28" t="s">
        <v>2587</v>
      </c>
      <c r="C326" s="28"/>
      <c r="D326" s="28"/>
    </row>
    <row r="327" spans="1:4" ht="12.75" customHeight="1" x14ac:dyDescent="0.35">
      <c r="A327" s="28"/>
      <c r="B327" s="28" t="s">
        <v>2584</v>
      </c>
      <c r="C327" s="28"/>
      <c r="D327" s="28"/>
    </row>
    <row r="328" spans="1:4" ht="12.75" customHeight="1" x14ac:dyDescent="0.35">
      <c r="A328" s="28"/>
      <c r="B328" s="28"/>
      <c r="C328" s="28"/>
      <c r="D328" s="28"/>
    </row>
    <row r="329" spans="1:4" ht="12.75" customHeight="1" x14ac:dyDescent="0.35">
      <c r="A329" s="28"/>
      <c r="B329" s="28" t="s">
        <v>2589</v>
      </c>
      <c r="C329" s="28"/>
      <c r="D329" s="28"/>
    </row>
    <row r="330" spans="1:4" ht="12.75" customHeight="1" x14ac:dyDescent="0.35">
      <c r="A330" s="28"/>
      <c r="B330" s="28" t="s">
        <v>2590</v>
      </c>
      <c r="C330" s="28"/>
      <c r="D330" s="28"/>
    </row>
    <row r="331" spans="1:4" ht="12.75" customHeight="1" x14ac:dyDescent="0.35">
      <c r="A331" s="28"/>
      <c r="B331" s="28" t="s">
        <v>2591</v>
      </c>
      <c r="C331" s="28"/>
      <c r="D331" s="28"/>
    </row>
    <row r="332" spans="1:4" ht="12.75" customHeight="1" x14ac:dyDescent="0.35">
      <c r="A332" s="28"/>
      <c r="B332" s="28" t="s">
        <v>2592</v>
      </c>
      <c r="C332" s="28"/>
      <c r="D332" s="28"/>
    </row>
    <row r="333" spans="1:4" ht="12.75" customHeight="1" x14ac:dyDescent="0.35">
      <c r="A333" s="28"/>
      <c r="B333" s="28" t="s">
        <v>2593</v>
      </c>
      <c r="C333" s="28"/>
      <c r="D333" s="28"/>
    </row>
    <row r="334" spans="1:4" ht="12.75" customHeight="1" x14ac:dyDescent="0.35">
      <c r="A334" s="28"/>
      <c r="B334" s="28"/>
      <c r="C334" s="28"/>
      <c r="D334" s="28"/>
    </row>
    <row r="335" spans="1:4" ht="12.75" customHeight="1" x14ac:dyDescent="0.35">
      <c r="A335" s="28"/>
      <c r="B335" s="28" t="s">
        <v>2594</v>
      </c>
      <c r="C335" s="28"/>
      <c r="D335" s="28" t="s">
        <v>2595</v>
      </c>
    </row>
    <row r="336" spans="1:4" ht="12.75" customHeight="1" x14ac:dyDescent="0.35">
      <c r="A336" s="28"/>
      <c r="B336" s="28" t="s">
        <v>2596</v>
      </c>
      <c r="C336" s="28"/>
      <c r="D336" s="28"/>
    </row>
    <row r="337" spans="1:4" ht="12.75" customHeight="1" x14ac:dyDescent="0.35">
      <c r="A337" s="28"/>
      <c r="B337" s="28" t="s">
        <v>2597</v>
      </c>
      <c r="C337" s="28"/>
      <c r="D337" s="28"/>
    </row>
    <row r="338" spans="1:4" ht="12.75" customHeight="1" x14ac:dyDescent="0.35">
      <c r="A338" s="28"/>
      <c r="B338" s="28" t="s">
        <v>2598</v>
      </c>
      <c r="C338" s="28"/>
      <c r="D338" s="28"/>
    </row>
    <row r="339" spans="1:4" ht="12.75" customHeight="1" x14ac:dyDescent="0.35">
      <c r="A339" s="28"/>
      <c r="B339" s="28" t="s">
        <v>2599</v>
      </c>
      <c r="C339" s="28"/>
      <c r="D339" s="28"/>
    </row>
    <row r="340" spans="1:4" ht="12.75" customHeight="1" x14ac:dyDescent="0.35">
      <c r="A340" s="28"/>
      <c r="B340" s="28" t="s">
        <v>2600</v>
      </c>
      <c r="C340" s="28"/>
      <c r="D340" s="28"/>
    </row>
    <row r="341" spans="1:4" ht="12.75" customHeight="1" x14ac:dyDescent="0.35">
      <c r="A341" s="28"/>
      <c r="B341" s="28" t="s">
        <v>2601</v>
      </c>
      <c r="C341" s="28"/>
      <c r="D341" s="28"/>
    </row>
    <row r="342" spans="1:4" ht="12.75" customHeight="1" x14ac:dyDescent="0.35">
      <c r="A342" s="28"/>
      <c r="B342" s="28" t="s">
        <v>2602</v>
      </c>
      <c r="C342" s="28"/>
      <c r="D342" s="28"/>
    </row>
    <row r="343" spans="1:4" ht="12.75" customHeight="1" x14ac:dyDescent="0.35">
      <c r="A343" s="28"/>
      <c r="B343" s="28" t="s">
        <v>2603</v>
      </c>
      <c r="C343" s="28"/>
      <c r="D343" s="28"/>
    </row>
    <row r="344" spans="1:4" ht="12.75" customHeight="1" x14ac:dyDescent="0.35">
      <c r="A344" s="28"/>
      <c r="B344" s="28" t="s">
        <v>2604</v>
      </c>
      <c r="C344" s="28"/>
      <c r="D344" s="28"/>
    </row>
    <row r="345" spans="1:4" ht="12.75" customHeight="1" x14ac:dyDescent="0.35">
      <c r="A345" s="28"/>
      <c r="B345" s="28" t="s">
        <v>2605</v>
      </c>
      <c r="C345" s="28"/>
      <c r="D345" s="28"/>
    </row>
    <row r="346" spans="1:4" ht="12.75" customHeight="1" x14ac:dyDescent="0.35">
      <c r="A346" s="28"/>
      <c r="B346" s="28" t="s">
        <v>2606</v>
      </c>
      <c r="C346" s="28"/>
      <c r="D346" s="28"/>
    </row>
    <row r="347" spans="1:4" ht="12.75" customHeight="1" x14ac:dyDescent="0.35">
      <c r="A347" s="28"/>
      <c r="B347" s="28"/>
      <c r="C347" s="28" t="s">
        <v>2607</v>
      </c>
      <c r="D347" s="28"/>
    </row>
    <row r="348" spans="1:4" ht="12.75" customHeight="1" x14ac:dyDescent="0.35">
      <c r="A348" s="28"/>
      <c r="B348" s="28"/>
      <c r="C348" s="28"/>
      <c r="D348" s="28"/>
    </row>
    <row r="349" spans="1:4" ht="12.75" customHeight="1" x14ac:dyDescent="0.35">
      <c r="A349" s="28"/>
      <c r="B349" s="28"/>
      <c r="C349" s="28" t="s">
        <v>2608</v>
      </c>
      <c r="D349" s="28"/>
    </row>
    <row r="350" spans="1:4" ht="12.75" customHeight="1" x14ac:dyDescent="0.35">
      <c r="A350" s="28"/>
      <c r="B350" s="28"/>
      <c r="C350" s="28" t="s">
        <v>2609</v>
      </c>
      <c r="D350" s="28"/>
    </row>
    <row r="351" spans="1:4" ht="12.75" customHeight="1" x14ac:dyDescent="0.35">
      <c r="A351" s="28"/>
      <c r="B351" s="28"/>
      <c r="C351" s="28" t="s">
        <v>2610</v>
      </c>
      <c r="D351" s="28"/>
    </row>
    <row r="352" spans="1:4" ht="12.75" customHeight="1" x14ac:dyDescent="0.35">
      <c r="A352" s="28"/>
      <c r="B352" s="28"/>
      <c r="C352" s="28"/>
      <c r="D352" s="28"/>
    </row>
    <row r="353" spans="1:4" ht="12.75" customHeight="1" x14ac:dyDescent="0.35">
      <c r="A353" s="28"/>
      <c r="B353" s="28"/>
      <c r="C353" s="28"/>
      <c r="D353" s="28"/>
    </row>
    <row r="354" spans="1:4" ht="12.75" customHeight="1" x14ac:dyDescent="0.35">
      <c r="A354" s="28"/>
      <c r="B354" s="28"/>
      <c r="C354" s="28"/>
      <c r="D354" s="28"/>
    </row>
    <row r="355" spans="1:4" ht="12.75" customHeight="1" x14ac:dyDescent="0.35">
      <c r="A355" s="28"/>
      <c r="B355" s="28"/>
      <c r="C355" s="28"/>
      <c r="D355" s="28"/>
    </row>
    <row r="356" spans="1:4" ht="12.75" customHeight="1" x14ac:dyDescent="0.35">
      <c r="A356" s="28"/>
      <c r="B356" s="28"/>
      <c r="C356" s="28"/>
      <c r="D356" s="28"/>
    </row>
    <row r="357" spans="1:4" ht="12.75" customHeight="1" x14ac:dyDescent="0.35">
      <c r="A357" s="28"/>
      <c r="B357" s="28"/>
      <c r="C357" s="28"/>
      <c r="D357" s="28"/>
    </row>
    <row r="358" spans="1:4" ht="12.75" customHeight="1" x14ac:dyDescent="0.35">
      <c r="A358" s="28"/>
      <c r="B358" s="28"/>
      <c r="C358" s="28"/>
      <c r="D358" s="28"/>
    </row>
    <row r="359" spans="1:4" ht="12.75" customHeight="1" x14ac:dyDescent="0.35">
      <c r="A359" s="28"/>
      <c r="B359" s="28"/>
      <c r="C359" s="28"/>
      <c r="D359" s="28"/>
    </row>
    <row r="360" spans="1:4" ht="12.75" customHeight="1" x14ac:dyDescent="0.35">
      <c r="A360" s="28"/>
      <c r="B360" s="28"/>
      <c r="C360" s="28"/>
      <c r="D360" s="28"/>
    </row>
    <row r="361" spans="1:4" ht="12.75" customHeight="1" x14ac:dyDescent="0.35">
      <c r="A361" s="28"/>
      <c r="B361" s="28"/>
      <c r="C361" s="28"/>
      <c r="D361" s="28"/>
    </row>
    <row r="362" spans="1:4" ht="12.75" customHeight="1" x14ac:dyDescent="0.35">
      <c r="A362" s="28"/>
      <c r="B362" s="28"/>
      <c r="C362" s="28"/>
      <c r="D362" s="28"/>
    </row>
    <row r="363" spans="1:4" ht="12.75" customHeight="1" x14ac:dyDescent="0.35">
      <c r="A363" s="28"/>
      <c r="B363" s="28"/>
      <c r="C363" s="28"/>
      <c r="D363" s="28"/>
    </row>
    <row r="364" spans="1:4" ht="12.75" customHeight="1" x14ac:dyDescent="0.35">
      <c r="A364" s="28"/>
      <c r="B364" s="28"/>
      <c r="C364" s="28"/>
      <c r="D364" s="28"/>
    </row>
    <row r="365" spans="1:4" ht="12.75" customHeight="1" x14ac:dyDescent="0.35">
      <c r="A365" s="28"/>
      <c r="B365" s="28"/>
      <c r="C365" s="28"/>
      <c r="D365" s="28"/>
    </row>
    <row r="366" spans="1:4" ht="12.75" customHeight="1" x14ac:dyDescent="0.35">
      <c r="A366" s="28"/>
      <c r="B366" s="28"/>
      <c r="C366" s="28"/>
      <c r="D366" s="28"/>
    </row>
    <row r="367" spans="1:4" ht="12.75" customHeight="1" x14ac:dyDescent="0.35">
      <c r="A367" s="28"/>
      <c r="B367" s="28"/>
      <c r="C367" s="28"/>
      <c r="D367" s="28"/>
    </row>
    <row r="368" spans="1:4" ht="12.75" customHeight="1" x14ac:dyDescent="0.35">
      <c r="A368" s="28"/>
      <c r="B368" s="28"/>
      <c r="C368" s="28"/>
      <c r="D368" s="28"/>
    </row>
    <row r="369" spans="1:4" ht="12.75" customHeight="1" x14ac:dyDescent="0.35">
      <c r="A369" s="28"/>
      <c r="B369" s="28"/>
      <c r="C369" s="28"/>
      <c r="D369" s="28"/>
    </row>
    <row r="370" spans="1:4" ht="12.75" customHeight="1" x14ac:dyDescent="0.35">
      <c r="A370" s="28"/>
      <c r="B370" s="28"/>
      <c r="C370" s="28"/>
      <c r="D370" s="28"/>
    </row>
    <row r="371" spans="1:4" ht="12.75" customHeight="1" x14ac:dyDescent="0.35">
      <c r="A371" s="28"/>
      <c r="B371" s="28"/>
      <c r="C371" s="28"/>
      <c r="D371" s="28"/>
    </row>
    <row r="372" spans="1:4" ht="12.75" customHeight="1" x14ac:dyDescent="0.35">
      <c r="A372" s="28"/>
      <c r="B372" s="28"/>
      <c r="C372" s="28"/>
      <c r="D372" s="28"/>
    </row>
    <row r="373" spans="1:4" ht="12.75" customHeight="1" x14ac:dyDescent="0.35">
      <c r="A373" s="28"/>
      <c r="B373" s="28"/>
      <c r="C373" s="28"/>
      <c r="D373" s="28"/>
    </row>
    <row r="374" spans="1:4" ht="12.75" customHeight="1" x14ac:dyDescent="0.35">
      <c r="A374" s="28"/>
      <c r="B374" s="28"/>
      <c r="C374" s="28"/>
      <c r="D374" s="28"/>
    </row>
    <row r="375" spans="1:4" ht="12.75" customHeight="1" x14ac:dyDescent="0.35">
      <c r="A375" s="28"/>
      <c r="B375" s="28"/>
      <c r="C375" s="28"/>
      <c r="D375" s="28"/>
    </row>
    <row r="376" spans="1:4" ht="12.75" customHeight="1" x14ac:dyDescent="0.35">
      <c r="A376" s="28"/>
      <c r="B376" s="28"/>
      <c r="C376" s="28"/>
      <c r="D376" s="28"/>
    </row>
    <row r="377" spans="1:4" ht="12.75" customHeight="1" x14ac:dyDescent="0.35">
      <c r="A377" s="28"/>
      <c r="B377" s="28"/>
      <c r="C377" s="28"/>
      <c r="D377" s="28"/>
    </row>
    <row r="378" spans="1:4" ht="12.75" customHeight="1" x14ac:dyDescent="0.35">
      <c r="A378" s="28"/>
      <c r="B378" s="28"/>
      <c r="C378" s="28"/>
      <c r="D378" s="28"/>
    </row>
    <row r="379" spans="1:4" ht="12.75" customHeight="1" x14ac:dyDescent="0.35">
      <c r="A379" s="28"/>
      <c r="B379" s="28"/>
      <c r="C379" s="28"/>
      <c r="D379" s="28"/>
    </row>
    <row r="380" spans="1:4" ht="12.75" customHeight="1" x14ac:dyDescent="0.35">
      <c r="A380" s="28"/>
      <c r="B380" s="28"/>
      <c r="C380" s="28"/>
      <c r="D380" s="28"/>
    </row>
    <row r="381" spans="1:4" ht="12.75" customHeight="1" x14ac:dyDescent="0.35">
      <c r="A381" s="28"/>
      <c r="B381" s="28"/>
      <c r="C381" s="28"/>
      <c r="D381" s="28"/>
    </row>
    <row r="382" spans="1:4" ht="12.75" customHeight="1" x14ac:dyDescent="0.35">
      <c r="A382" s="28"/>
      <c r="B382" s="28"/>
      <c r="C382" s="28"/>
      <c r="D382" s="28"/>
    </row>
    <row r="383" spans="1:4" ht="12.75" customHeight="1" x14ac:dyDescent="0.35">
      <c r="A383" s="28"/>
      <c r="B383" s="28"/>
      <c r="C383" s="28"/>
      <c r="D383" s="28"/>
    </row>
    <row r="384" spans="1:4" ht="12.75" customHeight="1" x14ac:dyDescent="0.35">
      <c r="A384" s="28"/>
      <c r="B384" s="28"/>
      <c r="C384" s="28"/>
      <c r="D384" s="28"/>
    </row>
    <row r="385" spans="1:4" ht="12.75" customHeight="1" x14ac:dyDescent="0.35">
      <c r="A385" s="28"/>
      <c r="B385" s="28"/>
      <c r="C385" s="28" t="s">
        <v>2611</v>
      </c>
      <c r="D385" s="28"/>
    </row>
    <row r="386" spans="1:4" ht="12.75" customHeight="1" x14ac:dyDescent="0.35">
      <c r="A386" s="28"/>
      <c r="B386" s="28"/>
      <c r="C386" s="28"/>
      <c r="D386" s="28"/>
    </row>
    <row r="387" spans="1:4" ht="12.75" customHeight="1" x14ac:dyDescent="0.35">
      <c r="A387" s="28"/>
      <c r="B387" s="28"/>
      <c r="C387" s="28"/>
      <c r="D387" s="28"/>
    </row>
    <row r="388" spans="1:4" ht="12.75" customHeight="1" x14ac:dyDescent="0.35">
      <c r="A388" s="28"/>
      <c r="B388" s="28"/>
      <c r="C388" s="28"/>
      <c r="D388" s="28"/>
    </row>
    <row r="389" spans="1:4" ht="12.75" customHeight="1" x14ac:dyDescent="0.35">
      <c r="A389" s="28"/>
      <c r="B389" s="28"/>
      <c r="C389" s="28"/>
      <c r="D389" s="28"/>
    </row>
    <row r="390" spans="1:4" ht="12.75" customHeight="1" x14ac:dyDescent="0.35">
      <c r="A390" s="28"/>
      <c r="B390" s="28"/>
      <c r="C390" s="28"/>
      <c r="D390" s="28"/>
    </row>
    <row r="391" spans="1:4" ht="12.75" customHeight="1" x14ac:dyDescent="0.35">
      <c r="A391" s="28"/>
      <c r="B391" s="28"/>
      <c r="C391" s="28"/>
      <c r="D391" s="28"/>
    </row>
    <row r="392" spans="1:4" ht="12.75" customHeight="1" x14ac:dyDescent="0.35">
      <c r="A392" s="28"/>
      <c r="B392" s="28"/>
      <c r="C392" s="28"/>
      <c r="D392" s="28"/>
    </row>
    <row r="393" spans="1:4" ht="12.75" customHeight="1" x14ac:dyDescent="0.35">
      <c r="A393" s="28"/>
      <c r="B393" s="28"/>
      <c r="C393" s="28"/>
      <c r="D393" s="28"/>
    </row>
    <row r="394" spans="1:4" ht="12.75" customHeight="1" x14ac:dyDescent="0.35">
      <c r="A394" s="28"/>
      <c r="B394" s="28"/>
      <c r="C394" s="28"/>
      <c r="D394" s="28"/>
    </row>
    <row r="395" spans="1:4" ht="12.75" customHeight="1" x14ac:dyDescent="0.35">
      <c r="A395" s="28"/>
      <c r="B395" s="28"/>
      <c r="C395" s="28"/>
      <c r="D395" s="28"/>
    </row>
    <row r="396" spans="1:4" ht="12.75" customHeight="1" x14ac:dyDescent="0.35">
      <c r="A396" s="28"/>
      <c r="B396" s="28"/>
      <c r="C396" s="28"/>
      <c r="D396" s="28"/>
    </row>
    <row r="397" spans="1:4" ht="12.75" customHeight="1" x14ac:dyDescent="0.35">
      <c r="A397" s="28"/>
      <c r="B397" s="28"/>
      <c r="C397" s="28"/>
      <c r="D397" s="28"/>
    </row>
    <row r="398" spans="1:4" ht="12.75" customHeight="1" x14ac:dyDescent="0.35">
      <c r="A398" s="28"/>
      <c r="B398" s="28"/>
      <c r="C398" s="28"/>
      <c r="D398" s="28"/>
    </row>
    <row r="399" spans="1:4" ht="12.75" customHeight="1" x14ac:dyDescent="0.35">
      <c r="A399" s="28"/>
      <c r="B399" s="28"/>
      <c r="C399" s="28"/>
      <c r="D399" s="28"/>
    </row>
    <row r="400" spans="1:4" ht="12.75" customHeight="1" x14ac:dyDescent="0.35">
      <c r="A400" s="28"/>
      <c r="B400" s="28"/>
      <c r="C400" s="28"/>
      <c r="D400" s="28"/>
    </row>
    <row r="401" spans="1:4" ht="12.75" customHeight="1" x14ac:dyDescent="0.35">
      <c r="A401" s="28"/>
      <c r="B401" s="28"/>
      <c r="C401" s="28"/>
      <c r="D401" s="28"/>
    </row>
    <row r="402" spans="1:4" ht="12.75" customHeight="1" x14ac:dyDescent="0.35">
      <c r="A402" s="28"/>
      <c r="B402" s="28"/>
      <c r="C402" s="28"/>
      <c r="D402" s="28"/>
    </row>
    <row r="403" spans="1:4" ht="12.75" customHeight="1" x14ac:dyDescent="0.35">
      <c r="A403" s="28"/>
      <c r="B403" s="28"/>
      <c r="C403" s="28"/>
      <c r="D403" s="28"/>
    </row>
    <row r="404" spans="1:4" ht="12.75" customHeight="1" x14ac:dyDescent="0.35">
      <c r="A404" s="28"/>
      <c r="B404" s="28"/>
      <c r="C404" s="28"/>
      <c r="D404" s="28"/>
    </row>
    <row r="405" spans="1:4" ht="12.75" customHeight="1" x14ac:dyDescent="0.35">
      <c r="A405" s="28"/>
      <c r="B405" s="28"/>
      <c r="C405" s="28"/>
      <c r="D405" s="28"/>
    </row>
    <row r="406" spans="1:4" ht="12.75" customHeight="1" x14ac:dyDescent="0.35">
      <c r="A406" s="28"/>
      <c r="B406" s="28"/>
      <c r="C406" s="28"/>
      <c r="D406" s="28"/>
    </row>
    <row r="407" spans="1:4" ht="12.75" customHeight="1" x14ac:dyDescent="0.35">
      <c r="A407" s="28"/>
      <c r="B407" s="28"/>
      <c r="C407" s="28"/>
      <c r="D407" s="28"/>
    </row>
    <row r="408" spans="1:4" ht="12.75" customHeight="1" x14ac:dyDescent="0.35">
      <c r="A408" s="28"/>
      <c r="B408" s="28"/>
      <c r="C408" s="28"/>
      <c r="D408" s="28"/>
    </row>
    <row r="409" spans="1:4" ht="12.75" customHeight="1" x14ac:dyDescent="0.35">
      <c r="A409" s="28"/>
      <c r="B409" s="28"/>
      <c r="C409" s="28"/>
      <c r="D409" s="28"/>
    </row>
    <row r="410" spans="1:4" ht="12.75" customHeight="1" x14ac:dyDescent="0.35">
      <c r="A410" s="28"/>
      <c r="B410" s="28"/>
      <c r="C410" s="28"/>
      <c r="D410" s="28"/>
    </row>
    <row r="411" spans="1:4" ht="12.75" customHeight="1" x14ac:dyDescent="0.35">
      <c r="A411" s="28"/>
      <c r="B411" s="28"/>
      <c r="C411" s="28"/>
      <c r="D411" s="28"/>
    </row>
    <row r="412" spans="1:4" ht="12.75" customHeight="1" x14ac:dyDescent="0.35">
      <c r="A412" s="28"/>
      <c r="B412" s="28"/>
      <c r="C412" s="28"/>
      <c r="D412" s="28"/>
    </row>
    <row r="413" spans="1:4" ht="12.75" customHeight="1" x14ac:dyDescent="0.35">
      <c r="A413" s="28"/>
      <c r="B413" s="28"/>
      <c r="C413" s="28"/>
      <c r="D413" s="28"/>
    </row>
    <row r="414" spans="1:4" ht="12.75" customHeight="1" x14ac:dyDescent="0.35">
      <c r="A414" s="28"/>
      <c r="B414" s="28"/>
      <c r="C414" s="28"/>
      <c r="D414" s="28"/>
    </row>
    <row r="415" spans="1:4" ht="12.75" customHeight="1" x14ac:dyDescent="0.35">
      <c r="A415" s="28"/>
      <c r="B415" s="28"/>
      <c r="C415" s="28"/>
      <c r="D415" s="28"/>
    </row>
    <row r="416" spans="1:4" ht="12.75" customHeight="1" x14ac:dyDescent="0.35">
      <c r="A416" s="28"/>
      <c r="B416" s="28"/>
      <c r="C416" s="28"/>
      <c r="D416" s="28"/>
    </row>
    <row r="417" spans="1:4" ht="12.75" customHeight="1" x14ac:dyDescent="0.35">
      <c r="A417" s="28"/>
      <c r="B417" s="28"/>
      <c r="C417" s="28"/>
      <c r="D417" s="28"/>
    </row>
    <row r="418" spans="1:4" ht="12.75" customHeight="1" x14ac:dyDescent="0.35">
      <c r="A418" s="28"/>
      <c r="B418" s="28"/>
      <c r="C418" s="28"/>
      <c r="D418" s="28"/>
    </row>
    <row r="419" spans="1:4" ht="12.75" customHeight="1" x14ac:dyDescent="0.35">
      <c r="A419" s="28"/>
      <c r="B419" s="28"/>
      <c r="C419" s="28"/>
      <c r="D419" s="28"/>
    </row>
    <row r="420" spans="1:4" ht="12.75" customHeight="1" x14ac:dyDescent="0.35">
      <c r="A420" s="28"/>
      <c r="B420" s="28"/>
      <c r="C420" s="28"/>
      <c r="D420" s="28"/>
    </row>
    <row r="421" spans="1:4" ht="12.75" customHeight="1" x14ac:dyDescent="0.35">
      <c r="A421" s="28"/>
      <c r="B421" s="28"/>
      <c r="C421" s="28"/>
      <c r="D421" s="28"/>
    </row>
    <row r="422" spans="1:4" ht="12.75" customHeight="1" x14ac:dyDescent="0.35">
      <c r="A422" s="28"/>
      <c r="B422" s="28"/>
      <c r="C422" s="28" t="s">
        <v>2612</v>
      </c>
      <c r="D422" s="28"/>
    </row>
    <row r="423" spans="1:4" ht="12.75" customHeight="1" x14ac:dyDescent="0.35">
      <c r="A423" s="28"/>
      <c r="B423" s="28" t="s">
        <v>2613</v>
      </c>
      <c r="C423" s="28"/>
      <c r="D423" s="28"/>
    </row>
    <row r="424" spans="1:4" ht="12.75" customHeight="1" x14ac:dyDescent="0.35">
      <c r="A424" s="28"/>
      <c r="B424" s="28" t="s">
        <v>2614</v>
      </c>
      <c r="C424" s="28"/>
      <c r="D424" s="28"/>
    </row>
    <row r="425" spans="1:4" ht="12.75" customHeight="1" x14ac:dyDescent="0.35">
      <c r="A425" s="28"/>
      <c r="B425" s="28" t="s">
        <v>2609</v>
      </c>
      <c r="C425" s="28"/>
      <c r="D425" s="28"/>
    </row>
    <row r="426" spans="1:4" ht="12.75" customHeight="1" x14ac:dyDescent="0.35">
      <c r="A426" s="28"/>
      <c r="B426" s="28" t="s">
        <v>2615</v>
      </c>
      <c r="C426" s="28"/>
      <c r="D426" s="28"/>
    </row>
    <row r="427" spans="1:4" ht="12.75" customHeight="1" x14ac:dyDescent="0.35">
      <c r="A427" s="28"/>
      <c r="B427" s="28" t="s">
        <v>2616</v>
      </c>
      <c r="C427" s="28"/>
      <c r="D427" s="28"/>
    </row>
    <row r="428" spans="1:4" ht="12.75" customHeight="1" x14ac:dyDescent="0.35">
      <c r="A428" s="28"/>
      <c r="B428" s="28" t="s">
        <v>2617</v>
      </c>
      <c r="C428" s="28"/>
      <c r="D428" s="28"/>
    </row>
    <row r="429" spans="1:4" ht="12.75" customHeight="1" x14ac:dyDescent="0.35">
      <c r="A429" s="28"/>
      <c r="B429" s="28" t="s">
        <v>2618</v>
      </c>
      <c r="C429" s="28"/>
      <c r="D429" s="28"/>
    </row>
    <row r="430" spans="1:4" ht="12.75" customHeight="1" x14ac:dyDescent="0.35">
      <c r="A430" s="28"/>
      <c r="B430" s="28" t="s">
        <v>2619</v>
      </c>
      <c r="C430" s="28"/>
      <c r="D430" s="28"/>
    </row>
    <row r="431" spans="1:4" ht="12.75" customHeight="1" x14ac:dyDescent="0.35">
      <c r="A431" s="28"/>
      <c r="B431" s="28" t="s">
        <v>2620</v>
      </c>
      <c r="C431" s="28"/>
      <c r="D431" s="28"/>
    </row>
    <row r="432" spans="1:4" ht="12.75" customHeight="1" x14ac:dyDescent="0.35">
      <c r="A432" s="28"/>
      <c r="B432" s="28" t="s">
        <v>2621</v>
      </c>
      <c r="C432" s="28"/>
      <c r="D432" s="28"/>
    </row>
    <row r="433" spans="1:4" ht="12.75" customHeight="1" x14ac:dyDescent="0.35">
      <c r="A433" s="28"/>
      <c r="B433" s="28"/>
      <c r="C433" s="28"/>
      <c r="D433" s="28"/>
    </row>
    <row r="434" spans="1:4" ht="12.75" customHeight="1" x14ac:dyDescent="0.35">
      <c r="A434" s="28"/>
      <c r="B434" s="28"/>
      <c r="C434" s="28"/>
      <c r="D434" s="28"/>
    </row>
    <row r="435" spans="1:4" ht="12.75" customHeight="1" x14ac:dyDescent="0.35">
      <c r="A435" s="28"/>
      <c r="B435" s="28"/>
      <c r="C435" s="28"/>
      <c r="D435" s="28"/>
    </row>
    <row r="436" spans="1:4" ht="12.75" customHeight="1" x14ac:dyDescent="0.35">
      <c r="A436" s="28"/>
      <c r="B436" s="28"/>
      <c r="C436" s="28"/>
      <c r="D436" s="28"/>
    </row>
    <row r="437" spans="1:4" ht="12.75" customHeight="1" x14ac:dyDescent="0.35">
      <c r="A437" s="28"/>
      <c r="B437" s="28"/>
      <c r="C437" s="28"/>
      <c r="D437" s="28"/>
    </row>
    <row r="438" spans="1:4" ht="12.75" customHeight="1" x14ac:dyDescent="0.35">
      <c r="A438" s="28"/>
      <c r="B438" s="28"/>
      <c r="C438" s="28"/>
      <c r="D438" s="28"/>
    </row>
    <row r="439" spans="1:4" ht="12.75" customHeight="1" x14ac:dyDescent="0.35">
      <c r="A439" s="28"/>
      <c r="B439" s="28" t="s">
        <v>2622</v>
      </c>
      <c r="C439" s="28"/>
      <c r="D439" s="28"/>
    </row>
    <row r="440" spans="1:4" ht="12.75" customHeight="1" x14ac:dyDescent="0.35">
      <c r="A440" s="28"/>
      <c r="B440" s="28"/>
      <c r="C440" s="28"/>
      <c r="D440" s="28"/>
    </row>
    <row r="441" spans="1:4" ht="12.75" customHeight="1" x14ac:dyDescent="0.35">
      <c r="A441" s="28"/>
      <c r="B441" s="28" t="s">
        <v>2577</v>
      </c>
      <c r="C441" s="28"/>
      <c r="D441" s="28"/>
    </row>
    <row r="442" spans="1:4" ht="12.75" customHeight="1" x14ac:dyDescent="0.35">
      <c r="A442" s="28"/>
      <c r="B442" s="28" t="s">
        <v>2623</v>
      </c>
      <c r="C442" s="28"/>
      <c r="D442" s="28"/>
    </row>
    <row r="443" spans="1:4" ht="12.75" customHeight="1" x14ac:dyDescent="0.35">
      <c r="A443" s="28"/>
      <c r="B443" s="28"/>
      <c r="C443" s="28"/>
      <c r="D443" s="28"/>
    </row>
    <row r="444" spans="1:4" ht="12.75" customHeight="1" x14ac:dyDescent="0.35">
      <c r="A444" s="28"/>
      <c r="B444" s="28"/>
      <c r="C444" s="28"/>
      <c r="D444" s="28"/>
    </row>
    <row r="445" spans="1:4" ht="12.75" customHeight="1" x14ac:dyDescent="0.35">
      <c r="A445" s="28"/>
      <c r="B445" s="28"/>
      <c r="C445" s="28"/>
      <c r="D445" s="28"/>
    </row>
    <row r="446" spans="1:4" ht="12.75" customHeight="1" x14ac:dyDescent="0.35">
      <c r="A446" s="28"/>
      <c r="B446" s="28"/>
      <c r="C446" s="28"/>
      <c r="D446" s="28"/>
    </row>
    <row r="447" spans="1:4" ht="12.75" customHeight="1" x14ac:dyDescent="0.35">
      <c r="A447" s="28"/>
      <c r="B447" s="28"/>
      <c r="C447" s="28"/>
      <c r="D447" s="28"/>
    </row>
    <row r="448" spans="1:4" ht="12.75" customHeight="1" x14ac:dyDescent="0.35">
      <c r="A448" s="28"/>
      <c r="B448" s="28"/>
      <c r="C448" s="28"/>
      <c r="D448" s="28"/>
    </row>
    <row r="449" spans="1:4" ht="12.75" customHeight="1" x14ac:dyDescent="0.35">
      <c r="A449" s="28"/>
      <c r="B449" s="28"/>
      <c r="C449" s="28"/>
      <c r="D449" s="28"/>
    </row>
    <row r="450" spans="1:4" ht="12.75" customHeight="1" x14ac:dyDescent="0.35">
      <c r="A450" s="28"/>
      <c r="B450" s="28"/>
      <c r="C450" s="28"/>
      <c r="D450" s="28"/>
    </row>
    <row r="451" spans="1:4" ht="12.75" customHeight="1" x14ac:dyDescent="0.35">
      <c r="A451" s="28"/>
      <c r="B451" s="28"/>
      <c r="C451" s="28"/>
      <c r="D451" s="28"/>
    </row>
    <row r="452" spans="1:4" ht="12.75" customHeight="1" x14ac:dyDescent="0.35">
      <c r="A452" s="28"/>
      <c r="B452" s="28"/>
      <c r="C452" s="28"/>
      <c r="D452" s="28"/>
    </row>
    <row r="453" spans="1:4" ht="12.75" customHeight="1" x14ac:dyDescent="0.35">
      <c r="A453" s="28"/>
      <c r="B453" s="28" t="s">
        <v>2624</v>
      </c>
      <c r="C453" s="28"/>
      <c r="D453" s="28"/>
    </row>
    <row r="454" spans="1:4" ht="12.75" customHeight="1" x14ac:dyDescent="0.35">
      <c r="A454" s="28"/>
      <c r="B454" s="28" t="s">
        <v>5290</v>
      </c>
      <c r="C454" s="28"/>
      <c r="D454" s="28"/>
    </row>
    <row r="455" spans="1:4" ht="12.75" customHeight="1" x14ac:dyDescent="0.35">
      <c r="A455" s="28"/>
      <c r="B455" s="28" t="str">
        <f>IF(PrintMode=0,"      ","")&amp;"Liiketoiminnan muut tuotot"</f>
        <v xml:space="preserve">      Liiketoiminnan muut tuotot</v>
      </c>
      <c r="C455" s="28"/>
      <c r="D455" s="28"/>
    </row>
    <row r="456" spans="1:4" ht="12.75" customHeight="1" x14ac:dyDescent="0.35">
      <c r="A456" s="28"/>
      <c r="B456" s="28" t="s">
        <v>2625</v>
      </c>
      <c r="C456" s="28"/>
      <c r="D456" s="28"/>
    </row>
    <row r="457" spans="1:4" ht="12.75" customHeight="1" x14ac:dyDescent="0.35">
      <c r="A457" s="28"/>
      <c r="B457" s="28"/>
      <c r="C457" s="28" t="s">
        <v>2626</v>
      </c>
      <c r="D457" s="28"/>
    </row>
    <row r="458" spans="1:4" ht="12.75" customHeight="1" x14ac:dyDescent="0.35">
      <c r="A458" s="28"/>
      <c r="B458" s="28"/>
      <c r="C458" s="28" t="s">
        <v>2627</v>
      </c>
      <c r="D458" s="28"/>
    </row>
    <row r="459" spans="1:4" ht="12.75" customHeight="1" x14ac:dyDescent="0.35">
      <c r="A459" s="28"/>
      <c r="B459" s="28"/>
      <c r="C459" s="28" t="s">
        <v>2628</v>
      </c>
      <c r="D459" s="28"/>
    </row>
    <row r="460" spans="1:4" ht="12.75" customHeight="1" x14ac:dyDescent="0.35">
      <c r="A460" s="28"/>
      <c r="B460" s="28"/>
      <c r="C460" s="28" t="s">
        <v>2629</v>
      </c>
      <c r="D460" s="28"/>
    </row>
    <row r="461" spans="1:4" ht="12.75" customHeight="1" x14ac:dyDescent="0.35">
      <c r="A461" s="28"/>
      <c r="B461" s="28"/>
      <c r="C461" s="28"/>
      <c r="D461" s="28"/>
    </row>
    <row r="462" spans="1:4" ht="12.75" customHeight="1" x14ac:dyDescent="0.35">
      <c r="A462" s="28"/>
      <c r="B462" s="28"/>
      <c r="C462" s="28"/>
      <c r="D462" s="28"/>
    </row>
    <row r="463" spans="1:4" ht="12.75" customHeight="1" x14ac:dyDescent="0.35">
      <c r="A463" s="28"/>
      <c r="B463" s="28"/>
      <c r="C463" s="28"/>
      <c r="D463" s="28"/>
    </row>
    <row r="464" spans="1:4" ht="12.75" customHeight="1" x14ac:dyDescent="0.35">
      <c r="A464" s="28"/>
      <c r="B464" s="28"/>
      <c r="C464" s="28"/>
      <c r="D464" s="28"/>
    </row>
    <row r="465" spans="1:4" ht="12.75" customHeight="1" x14ac:dyDescent="0.35">
      <c r="A465" s="28"/>
      <c r="B465" s="28"/>
      <c r="C465" s="28"/>
      <c r="D465" s="28"/>
    </row>
    <row r="466" spans="1:4" ht="12.75" customHeight="1" x14ac:dyDescent="0.35">
      <c r="A466" s="28"/>
      <c r="B466" s="28"/>
      <c r="C466" s="28"/>
      <c r="D466" s="28"/>
    </row>
    <row r="467" spans="1:4" ht="12.75" customHeight="1" x14ac:dyDescent="0.35">
      <c r="A467" s="28"/>
      <c r="B467" s="28" t="s">
        <v>2630</v>
      </c>
      <c r="C467" s="28"/>
      <c r="D467" s="28"/>
    </row>
    <row r="468" spans="1:4" ht="12.75" customHeight="1" x14ac:dyDescent="0.35">
      <c r="A468" s="28"/>
      <c r="B468" s="28" t="s">
        <v>5290</v>
      </c>
      <c r="C468" s="28"/>
      <c r="D468" s="28"/>
    </row>
    <row r="469" spans="1:4" ht="12.75" customHeight="1" x14ac:dyDescent="0.35">
      <c r="A469" s="28"/>
      <c r="B469" s="28" t="s">
        <v>5291</v>
      </c>
      <c r="C469" s="28"/>
      <c r="D469" s="28"/>
    </row>
    <row r="470" spans="1:4" ht="12.75" customHeight="1" x14ac:dyDescent="0.35">
      <c r="A470" s="28"/>
      <c r="B470" s="28" t="s">
        <v>2631</v>
      </c>
      <c r="C470" s="28"/>
      <c r="D470" s="28"/>
    </row>
    <row r="471" spans="1:4" ht="12.75" customHeight="1" x14ac:dyDescent="0.35">
      <c r="A471" s="28"/>
      <c r="B471" s="28"/>
      <c r="C471" s="28" t="s">
        <v>2628</v>
      </c>
      <c r="D471" s="28"/>
    </row>
    <row r="472" spans="1:4" ht="12.75" customHeight="1" x14ac:dyDescent="0.35">
      <c r="A472" s="28"/>
      <c r="B472" s="28"/>
      <c r="C472" s="28" t="s">
        <v>2632</v>
      </c>
      <c r="D472" s="28"/>
    </row>
    <row r="473" spans="1:4" ht="12.75" customHeight="1" x14ac:dyDescent="0.35">
      <c r="A473" s="28"/>
      <c r="B473" s="28"/>
      <c r="C473" s="28" t="s">
        <v>2633</v>
      </c>
      <c r="D473" s="28"/>
    </row>
    <row r="474" spans="1:4" ht="12.75" customHeight="1" x14ac:dyDescent="0.35">
      <c r="A474" s="28"/>
      <c r="B474" s="28"/>
      <c r="C474" s="28"/>
      <c r="D474" s="28"/>
    </row>
    <row r="475" spans="1:4" ht="12.75" customHeight="1" x14ac:dyDescent="0.35">
      <c r="A475" s="28"/>
      <c r="B475" s="28"/>
      <c r="C475" s="28"/>
      <c r="D475" s="28"/>
    </row>
    <row r="476" spans="1:4" ht="12.75" customHeight="1" x14ac:dyDescent="0.35">
      <c r="A476" s="28"/>
      <c r="B476" s="28"/>
      <c r="C476" s="28"/>
      <c r="D476" s="28"/>
    </row>
    <row r="477" spans="1:4" ht="12.75" customHeight="1" x14ac:dyDescent="0.35">
      <c r="A477" s="28"/>
      <c r="B477" s="28"/>
      <c r="C477" s="28"/>
      <c r="D477" s="28"/>
    </row>
    <row r="478" spans="1:4" ht="12.75" customHeight="1" x14ac:dyDescent="0.35">
      <c r="A478" s="28"/>
      <c r="B478" s="28"/>
      <c r="C478" s="28"/>
      <c r="D478" s="28"/>
    </row>
    <row r="479" spans="1:4" ht="12.75" customHeight="1" x14ac:dyDescent="0.35">
      <c r="A479" s="28"/>
      <c r="B479" s="28"/>
      <c r="C479" s="28"/>
      <c r="D479" s="28"/>
    </row>
    <row r="480" spans="1:4" ht="12.75" customHeight="1" x14ac:dyDescent="0.35">
      <c r="A480" s="28"/>
      <c r="B480" s="28"/>
      <c r="C480" s="28"/>
      <c r="D480" s="28"/>
    </row>
    <row r="481" spans="1:4" ht="12.75" customHeight="1" x14ac:dyDescent="0.35">
      <c r="A481" s="28"/>
      <c r="B481" s="105" t="s">
        <v>2634</v>
      </c>
      <c r="C481" s="28"/>
      <c r="D481" s="28"/>
    </row>
    <row r="482" spans="1:4" ht="12.75" customHeight="1" x14ac:dyDescent="0.35">
      <c r="A482" s="28"/>
      <c r="B482" s="1241" t="s">
        <v>5354</v>
      </c>
      <c r="C482" s="28"/>
      <c r="D482" s="28"/>
    </row>
    <row r="483" spans="1:4" ht="12.75" customHeight="1" x14ac:dyDescent="0.35">
      <c r="A483" s="28"/>
      <c r="B483" s="28" t="s">
        <v>2635</v>
      </c>
      <c r="C483" s="28"/>
      <c r="D483" s="28"/>
    </row>
    <row r="484" spans="1:4" ht="12.75" customHeight="1" x14ac:dyDescent="0.35">
      <c r="A484" s="28"/>
      <c r="B484" s="28" t="s">
        <v>5290</v>
      </c>
      <c r="C484" s="28"/>
      <c r="D484" s="28"/>
    </row>
    <row r="485" spans="1:4" ht="12.75" customHeight="1" x14ac:dyDescent="0.35">
      <c r="A485" s="28"/>
      <c r="B485" s="28" t="s">
        <v>5084</v>
      </c>
      <c r="C485" s="28"/>
      <c r="D485" s="28"/>
    </row>
    <row r="486" spans="1:4" ht="12.75" customHeight="1" x14ac:dyDescent="0.35">
      <c r="A486" s="28"/>
      <c r="B486" s="28" t="s">
        <v>2257</v>
      </c>
      <c r="C486" s="28"/>
      <c r="D486" s="28"/>
    </row>
    <row r="487" spans="1:4" ht="12.75" customHeight="1" x14ac:dyDescent="0.35">
      <c r="A487" s="28"/>
      <c r="B487" s="28"/>
      <c r="C487" s="28" t="s">
        <v>2636</v>
      </c>
      <c r="D487" s="28"/>
    </row>
    <row r="488" spans="1:4" ht="12.75" customHeight="1" x14ac:dyDescent="0.35">
      <c r="A488" s="28"/>
      <c r="B488" s="28"/>
      <c r="C488" s="28" t="s">
        <v>2637</v>
      </c>
      <c r="D488" s="28"/>
    </row>
    <row r="489" spans="1:4" ht="12.75" customHeight="1" x14ac:dyDescent="0.35">
      <c r="A489" s="28"/>
      <c r="B489" s="28" t="s">
        <v>2638</v>
      </c>
      <c r="C489" s="28"/>
      <c r="D489" s="28"/>
    </row>
    <row r="490" spans="1:4" ht="12.75" customHeight="1" x14ac:dyDescent="0.35">
      <c r="A490" s="28"/>
      <c r="B490" s="28" t="s">
        <v>5290</v>
      </c>
      <c r="C490" s="28"/>
      <c r="D490" s="28"/>
    </row>
    <row r="491" spans="1:4" ht="12.75" customHeight="1" x14ac:dyDescent="0.35">
      <c r="A491" s="28"/>
      <c r="B491" s="28" t="s">
        <v>5083</v>
      </c>
      <c r="C491" s="28"/>
      <c r="D491" s="28"/>
    </row>
    <row r="492" spans="1:4" ht="12.75" customHeight="1" x14ac:dyDescent="0.35">
      <c r="A492" s="28"/>
      <c r="B492" s="28" t="s">
        <v>2639</v>
      </c>
      <c r="C492" s="28"/>
      <c r="D492" s="28"/>
    </row>
    <row r="493" spans="1:4" ht="12.75" customHeight="1" x14ac:dyDescent="0.35">
      <c r="A493" s="28"/>
      <c r="B493" s="28"/>
      <c r="C493" s="28" t="s">
        <v>2639</v>
      </c>
      <c r="D493" s="28"/>
    </row>
    <row r="494" spans="1:4" ht="12.75" customHeight="1" x14ac:dyDescent="0.35">
      <c r="A494" s="28"/>
      <c r="B494" s="28"/>
      <c r="C494" s="28" t="s">
        <v>2640</v>
      </c>
      <c r="D494" s="28"/>
    </row>
    <row r="495" spans="1:4" ht="12.75" customHeight="1" x14ac:dyDescent="0.35">
      <c r="A495" s="28"/>
      <c r="B495" s="28" t="s">
        <v>2641</v>
      </c>
      <c r="C495" s="28"/>
      <c r="D495" s="28"/>
    </row>
    <row r="496" spans="1:4" ht="12.75" customHeight="1" x14ac:dyDescent="0.35">
      <c r="A496" s="28"/>
      <c r="B496" s="28" t="s">
        <v>2642</v>
      </c>
      <c r="C496" s="28"/>
      <c r="D496" s="28"/>
    </row>
    <row r="497" spans="1:4" ht="12.75" customHeight="1" x14ac:dyDescent="0.35">
      <c r="A497" s="28"/>
      <c r="B497" s="28"/>
      <c r="C497" s="28" t="s">
        <v>2643</v>
      </c>
      <c r="D497" s="28"/>
    </row>
    <row r="498" spans="1:4" ht="12.75" customHeight="1" x14ac:dyDescent="0.35">
      <c r="A498" s="28"/>
      <c r="B498" s="28"/>
      <c r="C498" s="28" t="s">
        <v>2644</v>
      </c>
      <c r="D498" s="28"/>
    </row>
    <row r="499" spans="1:4" ht="12.75" customHeight="1" x14ac:dyDescent="0.35">
      <c r="A499" s="28"/>
      <c r="B499" s="28" t="s">
        <v>2645</v>
      </c>
      <c r="C499" s="28"/>
      <c r="D499" s="28"/>
    </row>
    <row r="500" spans="1:4" ht="12.75" customHeight="1" x14ac:dyDescent="0.35">
      <c r="A500" s="28"/>
      <c r="B500" s="28" t="s">
        <v>2646</v>
      </c>
      <c r="C500" s="28"/>
      <c r="D500" s="28"/>
    </row>
    <row r="501" spans="1:4" ht="12.75" customHeight="1" x14ac:dyDescent="0.35">
      <c r="A501" s="28"/>
      <c r="B501" s="28"/>
      <c r="C501" s="28" t="s">
        <v>2647</v>
      </c>
      <c r="D501" s="28"/>
    </row>
    <row r="502" spans="1:4" ht="12.75" customHeight="1" x14ac:dyDescent="0.35">
      <c r="A502" s="28"/>
      <c r="C502" s="28" t="str">
        <f>IF(CalculatedDepreciation,"Muut t","T")&amp;"ilinpäätössiirrot, lisäys (-) / vähennys (+)"</f>
        <v>Tilinpäätössiirrot, lisäys (-) / vähennys (+)</v>
      </c>
      <c r="D502" s="28"/>
    </row>
    <row r="503" spans="1:4" ht="12.75" customHeight="1" x14ac:dyDescent="0.35">
      <c r="A503" s="28"/>
      <c r="B503" s="28" t="s">
        <v>2648</v>
      </c>
      <c r="C503" s="28"/>
      <c r="D503" s="28"/>
    </row>
    <row r="504" spans="1:4" ht="12.75" customHeight="1" x14ac:dyDescent="0.35">
      <c r="A504" s="28"/>
      <c r="B504" s="105" t="s">
        <v>2649</v>
      </c>
      <c r="C504" s="28"/>
      <c r="D504" s="28"/>
    </row>
    <row r="505" spans="1:4" ht="12.75" customHeight="1" x14ac:dyDescent="0.35">
      <c r="A505" s="28"/>
      <c r="B505" s="28" t="s">
        <v>2650</v>
      </c>
      <c r="C505" s="28"/>
      <c r="D505" s="28"/>
    </row>
    <row r="506" spans="1:4" ht="12.75" customHeight="1" x14ac:dyDescent="0.35">
      <c r="A506" s="28"/>
      <c r="B506" s="28" t="s">
        <v>2651</v>
      </c>
      <c r="C506" s="28"/>
      <c r="D506" s="28"/>
    </row>
    <row r="507" spans="1:4" ht="12.75" customHeight="1" x14ac:dyDescent="0.35">
      <c r="A507" s="28"/>
      <c r="B507" s="28" t="s">
        <v>5290</v>
      </c>
      <c r="C507" s="28"/>
      <c r="D507" s="28"/>
    </row>
    <row r="508" spans="1:4" ht="12.75" customHeight="1" x14ac:dyDescent="0.35">
      <c r="A508" s="28"/>
      <c r="B508" s="28" t="s">
        <v>5292</v>
      </c>
      <c r="C508" s="28"/>
      <c r="D508" s="28"/>
    </row>
    <row r="509" spans="1:4" ht="12.75" customHeight="1" x14ac:dyDescent="0.35">
      <c r="A509" s="28"/>
      <c r="B509" s="28" t="s">
        <v>2652</v>
      </c>
      <c r="C509" s="28"/>
      <c r="D509" s="28"/>
    </row>
    <row r="510" spans="1:4" ht="12.75" customHeight="1" x14ac:dyDescent="0.35">
      <c r="A510" s="28"/>
      <c r="B510" s="28" t="s">
        <v>2653</v>
      </c>
      <c r="C510" s="28"/>
      <c r="D510" s="28"/>
    </row>
    <row r="511" spans="1:4" ht="12.75" customHeight="1" x14ac:dyDescent="0.35">
      <c r="A511" s="28"/>
      <c r="B511" s="28" t="s">
        <v>2654</v>
      </c>
      <c r="C511" s="28"/>
      <c r="D511" s="28"/>
    </row>
    <row r="512" spans="1:4" ht="12.75" customHeight="1" x14ac:dyDescent="0.35">
      <c r="A512" s="28"/>
      <c r="B512" s="28" t="s">
        <v>2655</v>
      </c>
      <c r="C512" s="28"/>
      <c r="D512" s="28"/>
    </row>
    <row r="513" spans="1:4" ht="12.75" customHeight="1" x14ac:dyDescent="0.35">
      <c r="A513" s="28"/>
      <c r="B513" s="28" t="s">
        <v>2656</v>
      </c>
      <c r="C513" s="28"/>
      <c r="D513" s="28"/>
    </row>
    <row r="514" spans="1:4" ht="12.75" customHeight="1" x14ac:dyDescent="0.35">
      <c r="A514" s="28"/>
      <c r="B514" s="28" t="s">
        <v>2657</v>
      </c>
      <c r="C514" s="28"/>
      <c r="D514" s="28"/>
    </row>
    <row r="515" spans="1:4" ht="12.75" customHeight="1" x14ac:dyDescent="0.35">
      <c r="A515" s="28"/>
      <c r="B515" s="28" t="s">
        <v>2658</v>
      </c>
      <c r="C515" s="28"/>
      <c r="D515" s="28"/>
    </row>
    <row r="516" spans="1:4" ht="12.75" customHeight="1" x14ac:dyDescent="0.35">
      <c r="A516" s="28"/>
      <c r="B516" s="28"/>
      <c r="C516" s="28"/>
      <c r="D516" s="28"/>
    </row>
    <row r="517" spans="1:4" ht="12.75" customHeight="1" x14ac:dyDescent="0.35">
      <c r="A517" s="28"/>
      <c r="B517" s="28"/>
      <c r="C517" s="28"/>
      <c r="D517" s="28"/>
    </row>
    <row r="518" spans="1:4" ht="12.75" customHeight="1" x14ac:dyDescent="0.35">
      <c r="A518" s="28"/>
      <c r="B518" s="28" t="s">
        <v>2659</v>
      </c>
      <c r="C518" s="28"/>
      <c r="D518" s="28"/>
    </row>
    <row r="519" spans="1:4" ht="12.75" customHeight="1" x14ac:dyDescent="0.35">
      <c r="A519" s="28"/>
      <c r="B519" s="28" t="s">
        <v>2660</v>
      </c>
      <c r="C519" s="28"/>
      <c r="D519" s="28"/>
    </row>
    <row r="520" spans="1:4" ht="12.75" customHeight="1" x14ac:dyDescent="0.35">
      <c r="A520" s="28"/>
      <c r="B520" s="28" t="s">
        <v>2257</v>
      </c>
      <c r="C520" s="28"/>
      <c r="D520" s="28"/>
    </row>
    <row r="521" spans="1:4" ht="12.75" customHeight="1" x14ac:dyDescent="0.35">
      <c r="A521" s="28"/>
      <c r="B521" s="28" t="s">
        <v>2661</v>
      </c>
      <c r="C521" s="28"/>
      <c r="D521" s="28"/>
    </row>
    <row r="522" spans="1:4" ht="12.75" customHeight="1" x14ac:dyDescent="0.35">
      <c r="A522" s="28"/>
      <c r="B522" s="28" t="s">
        <v>2662</v>
      </c>
      <c r="C522" s="28"/>
      <c r="D522" s="28"/>
    </row>
    <row r="523" spans="1:4" ht="12.75" customHeight="1" x14ac:dyDescent="0.35">
      <c r="A523" s="28"/>
      <c r="B523" s="28" t="s">
        <v>2663</v>
      </c>
      <c r="C523" s="28"/>
      <c r="D523" s="28"/>
    </row>
    <row r="524" spans="1:4" ht="12.75" customHeight="1" x14ac:dyDescent="0.35">
      <c r="A524" s="28"/>
      <c r="B524" s="28" t="s">
        <v>2664</v>
      </c>
      <c r="C524" s="28"/>
      <c r="D524" s="28"/>
    </row>
    <row r="525" spans="1:4" ht="12.75" customHeight="1" x14ac:dyDescent="0.35">
      <c r="A525" s="28"/>
      <c r="B525" s="28" t="s">
        <v>2665</v>
      </c>
      <c r="C525" s="28"/>
      <c r="D525" s="28"/>
    </row>
    <row r="526" spans="1:4" ht="12.75" customHeight="1" x14ac:dyDescent="0.35">
      <c r="A526" s="28"/>
      <c r="B526" s="28" t="s">
        <v>2666</v>
      </c>
      <c r="C526" s="28"/>
      <c r="D526" s="28"/>
    </row>
    <row r="527" spans="1:4" ht="12.75" customHeight="1" x14ac:dyDescent="0.35">
      <c r="A527" s="28"/>
      <c r="B527" s="28" t="s">
        <v>2667</v>
      </c>
      <c r="C527" s="28"/>
      <c r="D527" s="28"/>
    </row>
    <row r="528" spans="1:4" ht="12.75" customHeight="1" x14ac:dyDescent="0.35">
      <c r="A528" s="28"/>
      <c r="B528" s="28" t="s">
        <v>2668</v>
      </c>
      <c r="C528" s="28"/>
      <c r="D528" s="28"/>
    </row>
    <row r="529" spans="1:4" ht="12.75" customHeight="1" x14ac:dyDescent="0.35">
      <c r="A529" s="28"/>
      <c r="B529" s="28" t="s">
        <v>2669</v>
      </c>
      <c r="C529" s="28"/>
      <c r="D529" s="28"/>
    </row>
    <row r="530" spans="1:4" ht="12.75" customHeight="1" x14ac:dyDescent="0.35">
      <c r="A530" s="28"/>
      <c r="B530" s="28" t="s">
        <v>2670</v>
      </c>
      <c r="C530" s="28"/>
      <c r="D530" s="28"/>
    </row>
    <row r="531" spans="1:4" ht="12.75" customHeight="1" x14ac:dyDescent="0.35">
      <c r="A531" s="28"/>
      <c r="B531" s="28" t="s">
        <v>2671</v>
      </c>
      <c r="C531" s="28"/>
      <c r="D531" s="28"/>
    </row>
    <row r="532" spans="1:4" ht="12.75" customHeight="1" x14ac:dyDescent="0.35">
      <c r="A532" s="28"/>
      <c r="B532" s="28"/>
      <c r="C532" s="28"/>
      <c r="D532" s="28"/>
    </row>
    <row r="533" spans="1:4" ht="12.75" customHeight="1" x14ac:dyDescent="0.35">
      <c r="A533" s="28"/>
      <c r="B533" s="28"/>
      <c r="C533" s="28"/>
      <c r="D533" s="28"/>
    </row>
    <row r="534" spans="1:4" ht="12.75" customHeight="1" x14ac:dyDescent="0.35">
      <c r="A534" s="28"/>
      <c r="B534" s="28"/>
      <c r="C534" s="28"/>
      <c r="D534" s="28"/>
    </row>
    <row r="535" spans="1:4" ht="12.75" customHeight="1" x14ac:dyDescent="0.35">
      <c r="A535" s="28"/>
      <c r="B535" s="28"/>
      <c r="C535" s="28"/>
      <c r="D535" s="28"/>
    </row>
    <row r="536" spans="1:4" ht="12.75" customHeight="1" x14ac:dyDescent="0.35">
      <c r="A536" s="28"/>
      <c r="B536" s="28"/>
      <c r="C536" s="28"/>
      <c r="D536" s="28"/>
    </row>
    <row r="537" spans="1:4" ht="12.75" customHeight="1" x14ac:dyDescent="0.35">
      <c r="A537" s="28"/>
      <c r="B537" s="28" t="s">
        <v>2672</v>
      </c>
      <c r="C537" s="28"/>
      <c r="D537" s="28"/>
    </row>
    <row r="538" spans="1:4" ht="12.75" customHeight="1" x14ac:dyDescent="0.35">
      <c r="A538" s="28"/>
      <c r="B538" s="28"/>
      <c r="C538" s="28"/>
      <c r="D538" s="28"/>
    </row>
    <row r="539" spans="1:4" ht="12.75" customHeight="1" x14ac:dyDescent="0.35">
      <c r="A539" s="28"/>
      <c r="B539" s="28" t="s">
        <v>2577</v>
      </c>
      <c r="C539" s="28"/>
      <c r="D539" s="28"/>
    </row>
    <row r="540" spans="1:4" ht="12.75" customHeight="1" x14ac:dyDescent="0.35">
      <c r="A540" s="28"/>
      <c r="B540" s="28" t="s">
        <v>2673</v>
      </c>
      <c r="C540" s="28"/>
      <c r="D540" s="28"/>
    </row>
    <row r="541" spans="1:4" ht="12.75" customHeight="1" x14ac:dyDescent="0.35">
      <c r="A541" s="28"/>
      <c r="B541" s="28"/>
      <c r="C541" s="194" t="s">
        <v>5150</v>
      </c>
      <c r="D541" s="28"/>
    </row>
    <row r="542" spans="1:4" ht="12.75" customHeight="1" x14ac:dyDescent="0.35">
      <c r="A542" s="28"/>
      <c r="B542" s="28"/>
      <c r="C542" s="194" t="s">
        <v>2674</v>
      </c>
      <c r="D542" s="28"/>
    </row>
    <row r="543" spans="1:4" ht="12.75" customHeight="1" x14ac:dyDescent="0.35">
      <c r="A543" s="28"/>
      <c r="B543" s="28"/>
      <c r="C543" s="194" t="s">
        <v>2675</v>
      </c>
      <c r="D543" s="28"/>
    </row>
    <row r="544" spans="1:4" ht="12.75" customHeight="1" x14ac:dyDescent="0.35">
      <c r="A544" s="28"/>
      <c r="B544" s="28"/>
      <c r="C544" s="194" t="s">
        <v>5152</v>
      </c>
      <c r="D544" s="28"/>
    </row>
    <row r="545" spans="1:4" ht="12.75" customHeight="1" x14ac:dyDescent="0.35">
      <c r="A545" s="28"/>
      <c r="C545" s="194" t="s">
        <v>5150</v>
      </c>
    </row>
    <row r="546" spans="1:4" ht="12.75" customHeight="1" x14ac:dyDescent="0.35">
      <c r="A546" s="28"/>
      <c r="C546" s="194" t="s">
        <v>2674</v>
      </c>
    </row>
    <row r="547" spans="1:4" ht="12.75" customHeight="1" x14ac:dyDescent="0.35">
      <c r="A547" s="28"/>
      <c r="C547" s="194" t="s">
        <v>2675</v>
      </c>
    </row>
    <row r="548" spans="1:4" ht="12.75" customHeight="1" x14ac:dyDescent="0.35">
      <c r="A548" s="28"/>
      <c r="C548" s="194" t="s">
        <v>5152</v>
      </c>
    </row>
    <row r="549" spans="1:4" ht="12.75" customHeight="1" x14ac:dyDescent="0.35">
      <c r="A549" s="28"/>
      <c r="C549" s="194" t="s">
        <v>5150</v>
      </c>
    </row>
    <row r="550" spans="1:4" ht="12.75" customHeight="1" x14ac:dyDescent="0.35">
      <c r="A550" s="28"/>
      <c r="B550" s="28"/>
      <c r="C550" s="194" t="s">
        <v>2674</v>
      </c>
      <c r="D550" s="28"/>
    </row>
    <row r="551" spans="1:4" ht="12.75" customHeight="1" x14ac:dyDescent="0.35">
      <c r="A551" s="28"/>
      <c r="B551" s="28"/>
      <c r="C551" s="194" t="s">
        <v>2675</v>
      </c>
      <c r="D551" s="28"/>
    </row>
    <row r="552" spans="1:4" ht="12.75" customHeight="1" x14ac:dyDescent="0.35">
      <c r="A552" s="28"/>
      <c r="B552" s="28"/>
      <c r="C552" s="194" t="s">
        <v>5152</v>
      </c>
      <c r="D552" s="28"/>
    </row>
    <row r="553" spans="1:4" ht="12.75" customHeight="1" x14ac:dyDescent="0.35">
      <c r="A553" s="28"/>
      <c r="B553" s="28"/>
      <c r="C553" s="194" t="s">
        <v>5150</v>
      </c>
      <c r="D553" s="28"/>
    </row>
    <row r="554" spans="1:4" ht="12.75" customHeight="1" x14ac:dyDescent="0.35">
      <c r="A554" s="28"/>
      <c r="B554" s="28"/>
      <c r="C554" s="194" t="s">
        <v>2674</v>
      </c>
      <c r="D554" s="28"/>
    </row>
    <row r="555" spans="1:4" ht="12.75" customHeight="1" x14ac:dyDescent="0.35">
      <c r="A555" s="28"/>
      <c r="B555" s="28"/>
      <c r="C555" s="194" t="s">
        <v>2675</v>
      </c>
      <c r="D555" s="28"/>
    </row>
    <row r="556" spans="1:4" ht="12.75" customHeight="1" x14ac:dyDescent="0.35">
      <c r="A556" s="28"/>
      <c r="B556" s="28"/>
      <c r="C556" s="194" t="s">
        <v>5152</v>
      </c>
      <c r="D556" s="28"/>
    </row>
    <row r="557" spans="1:4" ht="12.75" customHeight="1" x14ac:dyDescent="0.35">
      <c r="A557" s="28"/>
      <c r="B557" s="28"/>
      <c r="C557" s="194" t="s">
        <v>5150</v>
      </c>
      <c r="D557" s="28"/>
    </row>
    <row r="558" spans="1:4" ht="12.75" customHeight="1" x14ac:dyDescent="0.35">
      <c r="A558" s="28"/>
      <c r="B558" s="28"/>
      <c r="C558" s="194" t="s">
        <v>2674</v>
      </c>
      <c r="D558" s="28"/>
    </row>
    <row r="559" spans="1:4" ht="12.75" customHeight="1" x14ac:dyDescent="0.35">
      <c r="A559" s="28"/>
      <c r="B559" s="28"/>
      <c r="C559" s="194" t="s">
        <v>2675</v>
      </c>
      <c r="D559" s="28"/>
    </row>
    <row r="560" spans="1:4" ht="12.75" customHeight="1" x14ac:dyDescent="0.35">
      <c r="A560" s="28"/>
      <c r="B560" s="28"/>
      <c r="C560" s="194" t="s">
        <v>5152</v>
      </c>
      <c r="D560" s="28"/>
    </row>
    <row r="561" spans="1:4" ht="12.75" customHeight="1" x14ac:dyDescent="0.35">
      <c r="A561" s="28"/>
      <c r="B561" s="28"/>
      <c r="C561" s="1241" t="s">
        <v>5360</v>
      </c>
      <c r="D561" s="28"/>
    </row>
    <row r="562" spans="1:4" ht="12.75" customHeight="1" x14ac:dyDescent="0.35">
      <c r="A562" s="28"/>
      <c r="B562" s="28"/>
      <c r="C562" s="1241" t="s">
        <v>5363</v>
      </c>
      <c r="D562" s="28"/>
    </row>
    <row r="563" spans="1:4" ht="12.75" customHeight="1" x14ac:dyDescent="0.35">
      <c r="A563" s="28"/>
      <c r="B563" s="28"/>
      <c r="C563" s="28" t="s">
        <v>2676</v>
      </c>
      <c r="D563" s="28"/>
    </row>
    <row r="564" spans="1:4" ht="12.75" customHeight="1" x14ac:dyDescent="0.35">
      <c r="A564" s="28"/>
      <c r="B564" s="28"/>
      <c r="C564" s="28" t="s">
        <v>5212</v>
      </c>
      <c r="D564" s="28"/>
    </row>
    <row r="565" spans="1:4" ht="12.75" customHeight="1" x14ac:dyDescent="0.35">
      <c r="A565" s="28"/>
      <c r="B565" s="28"/>
      <c r="C565" s="1241" t="s">
        <v>5367</v>
      </c>
      <c r="D565" s="28"/>
    </row>
    <row r="566" spans="1:4" ht="12.75" customHeight="1" x14ac:dyDescent="0.35">
      <c r="A566" s="28"/>
      <c r="B566" s="28"/>
      <c r="C566" s="1241" t="s">
        <v>5368</v>
      </c>
      <c r="D566" s="28"/>
    </row>
    <row r="567" spans="1:4" ht="12.75" customHeight="1" x14ac:dyDescent="0.35">
      <c r="A567" s="28"/>
      <c r="B567" s="28"/>
      <c r="C567" s="28" t="s">
        <v>2677</v>
      </c>
      <c r="D567" s="28"/>
    </row>
    <row r="568" spans="1:4" ht="12.75" customHeight="1" x14ac:dyDescent="0.35">
      <c r="A568" s="28"/>
      <c r="B568" s="28"/>
      <c r="C568" s="28" t="s">
        <v>2678</v>
      </c>
      <c r="D568" s="28"/>
    </row>
    <row r="569" spans="1:4" ht="12.75" customHeight="1" x14ac:dyDescent="0.35">
      <c r="A569" s="28"/>
      <c r="B569" s="28"/>
      <c r="C569" s="28" t="s">
        <v>5210</v>
      </c>
      <c r="D569" s="28"/>
    </row>
    <row r="570" spans="1:4" ht="12.75" customHeight="1" x14ac:dyDescent="0.35">
      <c r="A570" s="28"/>
      <c r="B570" s="28" t="s">
        <v>2679</v>
      </c>
      <c r="C570" s="28"/>
      <c r="D570" s="28"/>
    </row>
    <row r="571" spans="1:4" ht="12.75" customHeight="1" x14ac:dyDescent="0.35">
      <c r="A571" s="28"/>
      <c r="B571" s="28"/>
      <c r="C571" s="194" t="s">
        <v>5150</v>
      </c>
      <c r="D571" s="28"/>
    </row>
    <row r="572" spans="1:4" ht="12.75" customHeight="1" x14ac:dyDescent="0.35">
      <c r="A572" s="28"/>
      <c r="B572" s="28"/>
      <c r="C572" s="194" t="s">
        <v>2679</v>
      </c>
      <c r="D572" s="28"/>
    </row>
    <row r="573" spans="1:4" ht="12.75" customHeight="1" x14ac:dyDescent="0.35">
      <c r="A573" s="28"/>
      <c r="B573" s="28"/>
      <c r="C573" s="194" t="s">
        <v>5151</v>
      </c>
      <c r="D573" s="28"/>
    </row>
    <row r="574" spans="1:4" ht="12.75" customHeight="1" x14ac:dyDescent="0.35">
      <c r="A574" s="28"/>
      <c r="C574" s="194" t="s">
        <v>5152</v>
      </c>
      <c r="D574" s="28"/>
    </row>
    <row r="575" spans="1:4" ht="12.75" customHeight="1" x14ac:dyDescent="0.35">
      <c r="A575" s="28"/>
      <c r="B575" s="28"/>
      <c r="C575" s="194" t="s">
        <v>5150</v>
      </c>
      <c r="D575" s="28"/>
    </row>
    <row r="576" spans="1:4" ht="12.75" customHeight="1" x14ac:dyDescent="0.35">
      <c r="A576" s="28"/>
      <c r="B576" s="28"/>
      <c r="C576" s="194" t="s">
        <v>5146</v>
      </c>
      <c r="D576" s="28"/>
    </row>
    <row r="577" spans="1:4" ht="12.75" customHeight="1" x14ac:dyDescent="0.35">
      <c r="A577" s="28"/>
      <c r="B577" s="28"/>
      <c r="C577" s="194" t="s">
        <v>5151</v>
      </c>
      <c r="D577" s="28"/>
    </row>
    <row r="578" spans="1:4" ht="12.75" customHeight="1" x14ac:dyDescent="0.35">
      <c r="A578" s="28"/>
      <c r="C578" s="194" t="s">
        <v>5152</v>
      </c>
      <c r="D578" s="28"/>
    </row>
    <row r="579" spans="1:4" ht="12.75" customHeight="1" x14ac:dyDescent="0.35">
      <c r="A579" s="28"/>
      <c r="B579" s="28"/>
      <c r="C579" s="194" t="s">
        <v>5150</v>
      </c>
      <c r="D579" s="28"/>
    </row>
    <row r="580" spans="1:4" ht="12.75" customHeight="1" x14ac:dyDescent="0.35">
      <c r="A580" s="28"/>
      <c r="B580" s="28"/>
      <c r="C580" s="194" t="s">
        <v>5147</v>
      </c>
      <c r="D580" s="28"/>
    </row>
    <row r="581" spans="1:4" ht="12.75" customHeight="1" x14ac:dyDescent="0.35">
      <c r="A581" s="28"/>
      <c r="B581" s="28"/>
      <c r="C581" s="194" t="s">
        <v>5151</v>
      </c>
      <c r="D581" s="28"/>
    </row>
    <row r="582" spans="1:4" ht="12.75" customHeight="1" x14ac:dyDescent="0.35">
      <c r="A582" s="28"/>
      <c r="C582" s="194" t="s">
        <v>5152</v>
      </c>
      <c r="D582" s="28"/>
    </row>
    <row r="583" spans="1:4" ht="12.75" customHeight="1" x14ac:dyDescent="0.35">
      <c r="A583" s="28"/>
      <c r="B583" s="28"/>
      <c r="C583" s="194" t="s">
        <v>5150</v>
      </c>
      <c r="D583" s="28"/>
    </row>
    <row r="584" spans="1:4" ht="12.75" customHeight="1" x14ac:dyDescent="0.35">
      <c r="A584" s="28"/>
      <c r="B584" s="28"/>
      <c r="C584" s="194" t="s">
        <v>5148</v>
      </c>
      <c r="D584" s="28"/>
    </row>
    <row r="585" spans="1:4" ht="12.75" customHeight="1" x14ac:dyDescent="0.35">
      <c r="A585" s="28"/>
      <c r="B585" s="28"/>
      <c r="C585" s="194" t="s">
        <v>5151</v>
      </c>
      <c r="D585" s="28"/>
    </row>
    <row r="586" spans="1:4" ht="12.75" customHeight="1" x14ac:dyDescent="0.35">
      <c r="A586" s="28"/>
      <c r="C586" s="194" t="s">
        <v>5152</v>
      </c>
      <c r="D586" s="28"/>
    </row>
    <row r="587" spans="1:4" ht="12.75" customHeight="1" x14ac:dyDescent="0.35">
      <c r="A587" s="28"/>
      <c r="B587" s="28"/>
      <c r="C587" s="194" t="s">
        <v>5150</v>
      </c>
      <c r="D587" s="28"/>
    </row>
    <row r="588" spans="1:4" ht="12.75" customHeight="1" x14ac:dyDescent="0.35">
      <c r="A588" s="28"/>
      <c r="B588" s="28"/>
      <c r="C588" s="194" t="s">
        <v>5149</v>
      </c>
      <c r="D588" s="28"/>
    </row>
    <row r="589" spans="1:4" ht="12.75" customHeight="1" x14ac:dyDescent="0.35">
      <c r="A589" s="28"/>
      <c r="B589" s="28"/>
      <c r="C589" s="194" t="s">
        <v>5151</v>
      </c>
      <c r="D589" s="28"/>
    </row>
    <row r="590" spans="1:4" ht="12.75" customHeight="1" x14ac:dyDescent="0.35">
      <c r="A590" s="28"/>
      <c r="C590" s="194" t="s">
        <v>5152</v>
      </c>
      <c r="D590" s="28"/>
    </row>
    <row r="591" spans="1:4" ht="12.75" customHeight="1" x14ac:dyDescent="0.35">
      <c r="A591" s="28"/>
      <c r="B591" s="28"/>
      <c r="C591" s="28" t="s">
        <v>5213</v>
      </c>
      <c r="D591" s="28"/>
    </row>
    <row r="592" spans="1:4" ht="12.75" customHeight="1" x14ac:dyDescent="0.35">
      <c r="A592" s="28"/>
      <c r="B592" s="28" t="s">
        <v>2680</v>
      </c>
      <c r="C592" s="28"/>
      <c r="D592" s="28"/>
    </row>
    <row r="593" spans="1:4" ht="12.75" customHeight="1" x14ac:dyDescent="0.35">
      <c r="A593" s="28"/>
      <c r="B593" s="28"/>
      <c r="C593" s="194" t="s">
        <v>5153</v>
      </c>
      <c r="D593" s="28"/>
    </row>
    <row r="594" spans="1:4" ht="12.75" customHeight="1" x14ac:dyDescent="0.35">
      <c r="A594" s="28"/>
      <c r="B594" s="28"/>
      <c r="C594" s="194" t="s">
        <v>2681</v>
      </c>
      <c r="D594" s="28"/>
    </row>
    <row r="595" spans="1:4" ht="12.75" customHeight="1" x14ac:dyDescent="0.35">
      <c r="A595" s="28"/>
      <c r="B595" s="28"/>
      <c r="C595" s="194" t="s">
        <v>2682</v>
      </c>
      <c r="D595" s="28"/>
    </row>
    <row r="596" spans="1:4" ht="12.75" customHeight="1" x14ac:dyDescent="0.35">
      <c r="A596" s="28"/>
      <c r="B596" s="28"/>
      <c r="C596" s="194" t="s">
        <v>5154</v>
      </c>
      <c r="D596" s="28"/>
    </row>
    <row r="597" spans="1:4" ht="12.75" customHeight="1" x14ac:dyDescent="0.35">
      <c r="A597" s="28"/>
      <c r="B597" s="28"/>
      <c r="C597" s="194" t="s">
        <v>5153</v>
      </c>
      <c r="D597" s="28"/>
    </row>
    <row r="598" spans="1:4" ht="12.75" customHeight="1" x14ac:dyDescent="0.35">
      <c r="A598" s="28"/>
      <c r="B598" s="28"/>
      <c r="C598" s="194" t="s">
        <v>5155</v>
      </c>
      <c r="D598" s="28"/>
    </row>
    <row r="599" spans="1:4" ht="12.75" customHeight="1" x14ac:dyDescent="0.35">
      <c r="A599" s="28"/>
      <c r="B599" s="28"/>
      <c r="C599" s="194" t="s">
        <v>2682</v>
      </c>
      <c r="D599" s="28"/>
    </row>
    <row r="600" spans="1:4" ht="12.75" customHeight="1" x14ac:dyDescent="0.35">
      <c r="A600" s="28"/>
      <c r="B600" s="28"/>
      <c r="C600" s="194" t="s">
        <v>5154</v>
      </c>
      <c r="D600" s="28"/>
    </row>
    <row r="601" spans="1:4" ht="12.75" customHeight="1" x14ac:dyDescent="0.35">
      <c r="A601" s="28"/>
      <c r="B601" s="28"/>
      <c r="C601" s="194" t="s">
        <v>5153</v>
      </c>
      <c r="D601" s="28"/>
    </row>
    <row r="602" spans="1:4" ht="12.75" customHeight="1" x14ac:dyDescent="0.35">
      <c r="A602" s="28"/>
      <c r="B602" s="28"/>
      <c r="C602" s="194" t="s">
        <v>5156</v>
      </c>
      <c r="D602" s="28"/>
    </row>
    <row r="603" spans="1:4" ht="12.75" customHeight="1" x14ac:dyDescent="0.35">
      <c r="A603" s="28"/>
      <c r="B603" s="28"/>
      <c r="C603" s="194" t="s">
        <v>2682</v>
      </c>
      <c r="D603" s="28"/>
    </row>
    <row r="604" spans="1:4" ht="12.75" customHeight="1" x14ac:dyDescent="0.35">
      <c r="A604" s="28"/>
      <c r="B604" s="28"/>
      <c r="C604" s="194" t="s">
        <v>5154</v>
      </c>
      <c r="D604" s="28"/>
    </row>
    <row r="605" spans="1:4" ht="12.75" customHeight="1" x14ac:dyDescent="0.35">
      <c r="A605" s="28"/>
      <c r="B605" s="28"/>
      <c r="C605" s="194" t="s">
        <v>5153</v>
      </c>
      <c r="D605" s="28"/>
    </row>
    <row r="606" spans="1:4" ht="12.75" customHeight="1" x14ac:dyDescent="0.35">
      <c r="A606" s="28"/>
      <c r="B606" s="28"/>
      <c r="C606" s="194" t="s">
        <v>5157</v>
      </c>
      <c r="D606" s="28"/>
    </row>
    <row r="607" spans="1:4" ht="12.75" customHeight="1" x14ac:dyDescent="0.35">
      <c r="A607" s="28"/>
      <c r="B607" s="28"/>
      <c r="C607" s="194" t="s">
        <v>2682</v>
      </c>
      <c r="D607" s="28"/>
    </row>
    <row r="608" spans="1:4" ht="12.75" customHeight="1" x14ac:dyDescent="0.35">
      <c r="A608" s="28"/>
      <c r="B608" s="28"/>
      <c r="C608" s="194" t="s">
        <v>5154</v>
      </c>
      <c r="D608" s="28"/>
    </row>
    <row r="609" spans="1:4" ht="12.75" customHeight="1" x14ac:dyDescent="0.35">
      <c r="A609" s="28"/>
      <c r="B609" s="28"/>
      <c r="C609" s="194" t="s">
        <v>5153</v>
      </c>
      <c r="D609" s="28"/>
    </row>
    <row r="610" spans="1:4" ht="12.75" customHeight="1" x14ac:dyDescent="0.35">
      <c r="A610" s="28"/>
      <c r="B610" s="28"/>
      <c r="C610" s="194" t="s">
        <v>5158</v>
      </c>
      <c r="D610" s="28"/>
    </row>
    <row r="611" spans="1:4" ht="12.75" customHeight="1" x14ac:dyDescent="0.35">
      <c r="A611" s="28"/>
      <c r="B611" s="28"/>
      <c r="C611" s="194" t="s">
        <v>2682</v>
      </c>
      <c r="D611" s="28"/>
    </row>
    <row r="612" spans="1:4" ht="12.75" customHeight="1" x14ac:dyDescent="0.35">
      <c r="A612" s="28"/>
      <c r="B612" s="28"/>
      <c r="C612" s="194" t="s">
        <v>5154</v>
      </c>
      <c r="D612" s="28"/>
    </row>
    <row r="613" spans="1:4" ht="12.75" customHeight="1" x14ac:dyDescent="0.35">
      <c r="A613" s="28"/>
      <c r="B613" s="28"/>
      <c r="C613" s="1241" t="s">
        <v>5379</v>
      </c>
      <c r="D613" s="28"/>
    </row>
    <row r="614" spans="1:4" ht="12.75" customHeight="1" x14ac:dyDescent="0.35">
      <c r="A614" s="28"/>
      <c r="B614" s="28"/>
      <c r="C614" s="1241" t="s">
        <v>5380</v>
      </c>
      <c r="D614" s="28"/>
    </row>
    <row r="615" spans="1:4" ht="12.75" customHeight="1" x14ac:dyDescent="0.35">
      <c r="A615" s="28"/>
      <c r="B615" s="28"/>
      <c r="C615" s="28" t="s">
        <v>2683</v>
      </c>
      <c r="D615" s="28"/>
    </row>
    <row r="616" spans="1:4" ht="12.75" customHeight="1" x14ac:dyDescent="0.35">
      <c r="A616" s="28"/>
      <c r="B616" s="28"/>
      <c r="C616" s="28" t="s">
        <v>2684</v>
      </c>
      <c r="D616" s="28"/>
    </row>
    <row r="617" spans="1:4" ht="12.75" customHeight="1" x14ac:dyDescent="0.35">
      <c r="A617" s="28"/>
      <c r="B617" s="28"/>
      <c r="C617" s="1241" t="s">
        <v>5391</v>
      </c>
      <c r="D617" s="28"/>
    </row>
    <row r="618" spans="1:4" ht="12.75" customHeight="1" x14ac:dyDescent="0.35">
      <c r="A618" s="28"/>
      <c r="B618" s="28"/>
      <c r="C618" s="1241" t="s">
        <v>5392</v>
      </c>
      <c r="D618" s="28"/>
    </row>
    <row r="619" spans="1:4" ht="12.75" customHeight="1" x14ac:dyDescent="0.35">
      <c r="A619" s="28"/>
      <c r="B619" s="28"/>
      <c r="C619" s="28" t="s">
        <v>2685</v>
      </c>
      <c r="D619" s="28"/>
    </row>
    <row r="620" spans="1:4" ht="12.75" customHeight="1" x14ac:dyDescent="0.35">
      <c r="A620" s="28"/>
      <c r="B620" s="28" t="s">
        <v>2686</v>
      </c>
      <c r="C620" s="28"/>
      <c r="D620" s="28"/>
    </row>
    <row r="621" spans="1:4" ht="12.75" customHeight="1" x14ac:dyDescent="0.35">
      <c r="A621" s="28"/>
      <c r="B621" s="28" t="s">
        <v>2687</v>
      </c>
      <c r="C621" s="28"/>
      <c r="D621" s="28"/>
    </row>
    <row r="622" spans="1:4" ht="12.75" customHeight="1" x14ac:dyDescent="0.35">
      <c r="A622" s="28"/>
      <c r="B622" s="28"/>
      <c r="C622" s="28"/>
      <c r="D622" s="28"/>
    </row>
    <row r="623" spans="1:4" ht="12.75" customHeight="1" x14ac:dyDescent="0.35">
      <c r="A623" s="28"/>
      <c r="B623" s="28"/>
      <c r="C623" s="28"/>
      <c r="D623" s="28"/>
    </row>
    <row r="624" spans="1:4" ht="12.75" customHeight="1" x14ac:dyDescent="0.35">
      <c r="A624" s="28"/>
      <c r="B624" s="28"/>
      <c r="C624" s="28"/>
      <c r="D624" s="28"/>
    </row>
    <row r="625" spans="1:4" ht="12.75" customHeight="1" x14ac:dyDescent="0.35">
      <c r="A625" s="28"/>
      <c r="B625" s="28" t="s">
        <v>2688</v>
      </c>
      <c r="C625" s="28"/>
      <c r="D625" s="28"/>
    </row>
    <row r="626" spans="1:4" ht="12.75" customHeight="1" x14ac:dyDescent="0.35">
      <c r="A626" s="28"/>
      <c r="B626" s="28"/>
      <c r="C626" s="28"/>
      <c r="D626" s="28"/>
    </row>
    <row r="627" spans="1:4" ht="12.75" customHeight="1" x14ac:dyDescent="0.35">
      <c r="A627" s="28"/>
      <c r="B627" s="28" t="s">
        <v>2577</v>
      </c>
      <c r="C627" s="28"/>
      <c r="D627" s="28"/>
    </row>
    <row r="628" spans="1:4" ht="12.75" customHeight="1" x14ac:dyDescent="0.35">
      <c r="A628" s="28"/>
      <c r="B628" s="28" t="s">
        <v>2689</v>
      </c>
      <c r="C628" s="28"/>
      <c r="D628" s="28"/>
    </row>
    <row r="629" spans="1:4" ht="12.75" customHeight="1" x14ac:dyDescent="0.35">
      <c r="A629" s="28"/>
      <c r="B629" s="28"/>
      <c r="C629" s="28" t="s">
        <v>2624</v>
      </c>
      <c r="D629" s="28"/>
    </row>
    <row r="630" spans="1:4" ht="12.75" customHeight="1" x14ac:dyDescent="0.35">
      <c r="A630" s="28"/>
      <c r="B630" s="28"/>
      <c r="C630" s="28"/>
      <c r="D630" s="28"/>
    </row>
    <row r="631" spans="1:4" ht="12.75" customHeight="1" x14ac:dyDescent="0.35">
      <c r="A631" s="28"/>
      <c r="B631" s="28"/>
      <c r="C631" s="28"/>
      <c r="D631" s="28"/>
    </row>
    <row r="632" spans="1:4" ht="12.75" customHeight="1" x14ac:dyDescent="0.35">
      <c r="A632" s="28"/>
      <c r="B632" s="28"/>
      <c r="C632" s="28"/>
      <c r="D632" s="28"/>
    </row>
    <row r="633" spans="1:4" ht="12.75" customHeight="1" x14ac:dyDescent="0.35">
      <c r="A633" s="28"/>
      <c r="B633" s="28"/>
      <c r="C633" s="28"/>
      <c r="D633" s="28"/>
    </row>
    <row r="634" spans="1:4" ht="12.75" customHeight="1" x14ac:dyDescent="0.35">
      <c r="A634" s="28"/>
      <c r="B634" s="28"/>
      <c r="C634" s="28"/>
      <c r="D634" s="28"/>
    </row>
    <row r="635" spans="1:4" ht="12.75" customHeight="1" x14ac:dyDescent="0.35">
      <c r="A635" s="28"/>
      <c r="B635" s="28"/>
      <c r="C635" s="28"/>
      <c r="D635" s="28"/>
    </row>
    <row r="636" spans="1:4" ht="12.75" customHeight="1" x14ac:dyDescent="0.35">
      <c r="A636" s="28"/>
      <c r="B636" s="28"/>
      <c r="C636" s="28"/>
      <c r="D636" s="28"/>
    </row>
    <row r="637" spans="1:4" ht="12.75" customHeight="1" x14ac:dyDescent="0.35">
      <c r="A637" s="28"/>
      <c r="B637" s="28"/>
      <c r="C637" s="28"/>
      <c r="D637" s="28"/>
    </row>
    <row r="638" spans="1:4" ht="12.75" customHeight="1" x14ac:dyDescent="0.35">
      <c r="A638" s="28"/>
      <c r="B638" s="28"/>
      <c r="C638" s="28"/>
      <c r="D638" s="28"/>
    </row>
    <row r="639" spans="1:4" ht="12.75" customHeight="1" x14ac:dyDescent="0.35">
      <c r="A639" s="28"/>
      <c r="B639" s="28"/>
      <c r="C639" s="28"/>
      <c r="D639" s="28"/>
    </row>
    <row r="640" spans="1:4" ht="12.75" customHeight="1" x14ac:dyDescent="0.35">
      <c r="A640" s="28"/>
      <c r="B640" s="28"/>
      <c r="C640" s="28" t="s">
        <v>2625</v>
      </c>
      <c r="D640" s="28"/>
    </row>
    <row r="641" spans="1:4" ht="12.75" customHeight="1" x14ac:dyDescent="0.35">
      <c r="A641" s="28"/>
      <c r="B641" s="28"/>
      <c r="C641" s="28"/>
      <c r="D641" s="28"/>
    </row>
    <row r="642" spans="1:4" ht="12.75" customHeight="1" x14ac:dyDescent="0.35">
      <c r="A642" s="28"/>
      <c r="B642" s="28"/>
      <c r="C642" s="28"/>
      <c r="D642" s="28"/>
    </row>
    <row r="643" spans="1:4" ht="12.75" customHeight="1" x14ac:dyDescent="0.35">
      <c r="A643" s="28"/>
      <c r="B643" s="28"/>
      <c r="C643" s="28"/>
      <c r="D643" s="28"/>
    </row>
    <row r="644" spans="1:4" ht="12.75" customHeight="1" x14ac:dyDescent="0.35">
      <c r="A644" s="28"/>
      <c r="B644" s="28"/>
      <c r="C644" s="28"/>
      <c r="D644" s="28"/>
    </row>
    <row r="645" spans="1:4" ht="12.75" customHeight="1" x14ac:dyDescent="0.35">
      <c r="A645" s="28"/>
      <c r="B645" s="28"/>
      <c r="C645" s="28"/>
      <c r="D645" s="28"/>
    </row>
    <row r="646" spans="1:4" ht="12.75" customHeight="1" x14ac:dyDescent="0.35">
      <c r="A646" s="28"/>
      <c r="B646" s="28"/>
      <c r="C646" s="28"/>
      <c r="D646" s="28"/>
    </row>
    <row r="647" spans="1:4" ht="12.75" customHeight="1" x14ac:dyDescent="0.35">
      <c r="A647" s="28"/>
      <c r="B647" s="28"/>
      <c r="C647" s="28"/>
      <c r="D647" s="28"/>
    </row>
    <row r="648" spans="1:4" ht="12.75" customHeight="1" x14ac:dyDescent="0.35">
      <c r="A648" s="28"/>
      <c r="B648" s="28"/>
      <c r="C648" s="28"/>
      <c r="D648" s="28"/>
    </row>
    <row r="649" spans="1:4" ht="12.75" customHeight="1" x14ac:dyDescent="0.35">
      <c r="A649" s="28"/>
      <c r="B649" s="28"/>
      <c r="C649" s="28"/>
      <c r="D649" s="28"/>
    </row>
    <row r="650" spans="1:4" ht="12.75" customHeight="1" x14ac:dyDescent="0.35">
      <c r="A650" s="28"/>
      <c r="B650" s="28"/>
      <c r="C650" s="28"/>
      <c r="D650" s="28"/>
    </row>
    <row r="651" spans="1:4" ht="12.75" customHeight="1" x14ac:dyDescent="0.35">
      <c r="A651" s="28"/>
      <c r="B651" s="28"/>
      <c r="C651" s="28" t="s">
        <v>2631</v>
      </c>
      <c r="D651" s="28"/>
    </row>
    <row r="652" spans="1:4" ht="12.75" customHeight="1" x14ac:dyDescent="0.35">
      <c r="A652" s="28"/>
      <c r="B652" s="28"/>
      <c r="C652" s="28"/>
      <c r="D652" s="28"/>
    </row>
    <row r="653" spans="1:4" ht="12.75" customHeight="1" x14ac:dyDescent="0.35">
      <c r="A653" s="28"/>
      <c r="B653" s="28"/>
      <c r="C653" s="28"/>
      <c r="D653" s="28"/>
    </row>
    <row r="654" spans="1:4" ht="12.75" customHeight="1" x14ac:dyDescent="0.35">
      <c r="A654" s="28"/>
      <c r="B654" s="28"/>
      <c r="C654" s="28"/>
      <c r="D654" s="28"/>
    </row>
    <row r="655" spans="1:4" ht="12.75" customHeight="1" x14ac:dyDescent="0.35">
      <c r="A655" s="28"/>
      <c r="B655" s="28"/>
      <c r="C655" s="28"/>
      <c r="D655" s="28"/>
    </row>
    <row r="656" spans="1:4" ht="12.75" customHeight="1" x14ac:dyDescent="0.35">
      <c r="A656" s="28"/>
      <c r="B656" s="28"/>
      <c r="C656" s="28"/>
      <c r="D656" s="28"/>
    </row>
    <row r="657" spans="1:4" ht="12.75" customHeight="1" x14ac:dyDescent="0.35">
      <c r="A657" s="28"/>
      <c r="B657" s="28"/>
      <c r="C657" s="28"/>
      <c r="D657" s="28"/>
    </row>
    <row r="658" spans="1:4" ht="12.75" customHeight="1" x14ac:dyDescent="0.35">
      <c r="A658" s="28"/>
      <c r="B658" s="28"/>
      <c r="C658" s="28"/>
      <c r="D658" s="28"/>
    </row>
    <row r="659" spans="1:4" ht="12.75" customHeight="1" x14ac:dyDescent="0.35">
      <c r="A659" s="28"/>
      <c r="B659" s="28"/>
      <c r="C659" s="28"/>
      <c r="D659" s="28"/>
    </row>
    <row r="660" spans="1:4" ht="12.75" customHeight="1" x14ac:dyDescent="0.35">
      <c r="A660" s="28"/>
      <c r="B660" s="28"/>
      <c r="C660" s="28"/>
      <c r="D660" s="28"/>
    </row>
    <row r="661" spans="1:4" ht="12.75" customHeight="1" x14ac:dyDescent="0.35">
      <c r="A661" s="28"/>
      <c r="B661" s="28"/>
      <c r="C661" s="28"/>
      <c r="D661" s="28"/>
    </row>
    <row r="662" spans="1:4" ht="12.75" customHeight="1" x14ac:dyDescent="0.35">
      <c r="A662" s="28"/>
      <c r="B662" s="28"/>
      <c r="C662" s="28" t="s">
        <v>2642</v>
      </c>
      <c r="D662" s="28"/>
    </row>
    <row r="663" spans="1:4" ht="12.75" customHeight="1" x14ac:dyDescent="0.35">
      <c r="A663" s="28"/>
      <c r="B663" s="28"/>
      <c r="C663" s="28"/>
      <c r="D663" s="28"/>
    </row>
    <row r="664" spans="1:4" ht="12.75" customHeight="1" x14ac:dyDescent="0.35">
      <c r="A664" s="28"/>
      <c r="B664" s="28"/>
      <c r="C664" s="28" t="s">
        <v>2690</v>
      </c>
      <c r="D664" s="28"/>
    </row>
    <row r="665" spans="1:4" ht="12.75" customHeight="1" x14ac:dyDescent="0.35">
      <c r="A665" s="28"/>
      <c r="B665" s="28"/>
      <c r="C665" s="28"/>
      <c r="D665" s="28"/>
    </row>
    <row r="666" spans="1:4" ht="12.75" customHeight="1" x14ac:dyDescent="0.35">
      <c r="A666" s="28"/>
      <c r="B666" s="28"/>
      <c r="C666" s="28"/>
      <c r="D666" s="28"/>
    </row>
    <row r="667" spans="1:4" ht="12.75" customHeight="1" x14ac:dyDescent="0.35">
      <c r="A667" s="28"/>
      <c r="B667" s="28"/>
      <c r="C667" s="28"/>
      <c r="D667" s="28"/>
    </row>
    <row r="668" spans="1:4" ht="12.75" customHeight="1" x14ac:dyDescent="0.35">
      <c r="A668" s="28"/>
      <c r="B668" s="28" t="s">
        <v>2689</v>
      </c>
      <c r="C668" s="28"/>
      <c r="D668" s="28"/>
    </row>
    <row r="669" spans="1:4" ht="12.75" customHeight="1" x14ac:dyDescent="0.35">
      <c r="A669" s="28"/>
      <c r="B669" s="28" t="s">
        <v>2576</v>
      </c>
      <c r="C669" s="28"/>
      <c r="D669" s="28"/>
    </row>
    <row r="670" spans="1:4" ht="12.75" customHeight="1" x14ac:dyDescent="0.35">
      <c r="A670" s="28"/>
      <c r="B670" s="28" t="s">
        <v>2691</v>
      </c>
      <c r="C670" s="28"/>
      <c r="D670" s="28"/>
    </row>
    <row r="671" spans="1:4" ht="12.75" customHeight="1" x14ac:dyDescent="0.35">
      <c r="A671" s="28"/>
      <c r="B671" s="28" t="s">
        <v>2692</v>
      </c>
      <c r="C671" s="28"/>
      <c r="D671" s="28"/>
    </row>
    <row r="672" spans="1:4" ht="12.75" customHeight="1" x14ac:dyDescent="0.35">
      <c r="A672" s="28"/>
      <c r="B672" s="28"/>
      <c r="C672" s="28" t="s">
        <v>2693</v>
      </c>
      <c r="D672" s="28"/>
    </row>
    <row r="673" spans="1:4" ht="12.75" customHeight="1" x14ac:dyDescent="0.35">
      <c r="A673" s="28"/>
      <c r="B673" s="28"/>
      <c r="C673" s="28"/>
      <c r="D673" s="28"/>
    </row>
    <row r="674" spans="1:4" ht="12.75" customHeight="1" x14ac:dyDescent="0.35">
      <c r="A674" s="28"/>
      <c r="B674" s="28"/>
      <c r="C674" s="28" t="s">
        <v>2694</v>
      </c>
      <c r="D674" s="28"/>
    </row>
    <row r="675" spans="1:4" ht="12.75" customHeight="1" x14ac:dyDescent="0.35">
      <c r="A675" s="28"/>
      <c r="B675" s="28" t="str">
        <f>"Vapaa kassavirta "&amp;IF(FCFEinUse&lt;&gt;1,"(FCF)","yhtiölle (FCFF)")</f>
        <v>Vapaa kassavirta (FCF)</v>
      </c>
      <c r="C675" s="28"/>
      <c r="D675" s="28"/>
    </row>
    <row r="676" spans="1:4" ht="12.75" customHeight="1" x14ac:dyDescent="0.35">
      <c r="A676" s="28"/>
      <c r="B676" s="28" t="str">
        <f>"Diskontattu vapaa kassavirta "&amp;IF(FCFEinUse&lt;&gt;1,"(DFCF)","yhtiölle (DFCFF)")</f>
        <v>Diskontattu vapaa kassavirta (DFCF)</v>
      </c>
      <c r="C676" s="28"/>
      <c r="D676" s="28"/>
    </row>
    <row r="677" spans="1:4" ht="12.75" customHeight="1" x14ac:dyDescent="0.35">
      <c r="A677" s="28"/>
      <c r="B677" s="28" t="str">
        <f>"Kumulatiivinen diskontattu vapaa kassavirta"&amp;IF(FCFEinUse&lt;&gt;1,""," yhtiölle")</f>
        <v>Kumulatiivinen diskontattu vapaa kassavirta</v>
      </c>
      <c r="C677" s="28"/>
      <c r="D677" s="28"/>
    </row>
    <row r="678" spans="1:4" ht="12.75" customHeight="1" x14ac:dyDescent="0.35">
      <c r="A678" s="28"/>
      <c r="B678" s="28" t="s">
        <v>2695</v>
      </c>
      <c r="C678" s="28"/>
      <c r="D678" s="28"/>
    </row>
    <row r="679" spans="1:4" ht="12.75" customHeight="1" x14ac:dyDescent="0.35">
      <c r="A679" s="28"/>
      <c r="B679" s="28" t="s">
        <v>2696</v>
      </c>
      <c r="C679" s="28"/>
      <c r="D679" s="28"/>
    </row>
    <row r="680" spans="1:4" ht="12.75" customHeight="1" x14ac:dyDescent="0.35">
      <c r="A680" s="28"/>
      <c r="B680" s="28" t="s">
        <v>2697</v>
      </c>
      <c r="C680" s="28"/>
      <c r="D680" s="28"/>
    </row>
    <row r="681" spans="1:4" ht="12.75" customHeight="1" x14ac:dyDescent="0.35">
      <c r="A681" s="28"/>
      <c r="B681" s="28" t="s">
        <v>2698</v>
      </c>
      <c r="C681" s="28"/>
      <c r="D681" s="28"/>
    </row>
    <row r="682" spans="1:4" ht="12.75" customHeight="1" x14ac:dyDescent="0.35">
      <c r="A682" s="28"/>
      <c r="B682" s="28"/>
      <c r="C682" s="28" t="s">
        <v>2639</v>
      </c>
      <c r="D682" s="28"/>
    </row>
    <row r="683" spans="1:4" ht="12.75" customHeight="1" x14ac:dyDescent="0.35">
      <c r="A683" s="28"/>
      <c r="B683" s="28"/>
      <c r="C683" s="28" t="s">
        <v>2699</v>
      </c>
      <c r="D683" s="28"/>
    </row>
    <row r="684" spans="1:4" ht="12.75" customHeight="1" x14ac:dyDescent="0.35">
      <c r="A684" s="28"/>
      <c r="B684" s="28"/>
      <c r="C684" s="28" t="s">
        <v>2700</v>
      </c>
      <c r="D684" s="28"/>
    </row>
    <row r="685" spans="1:4" ht="12.75" customHeight="1" x14ac:dyDescent="0.35">
      <c r="A685" s="28"/>
      <c r="B685" s="28"/>
      <c r="C685" s="28" t="s">
        <v>2701</v>
      </c>
      <c r="D685" s="28"/>
    </row>
    <row r="686" spans="1:4" ht="12.75" customHeight="1" x14ac:dyDescent="0.35">
      <c r="A686" s="28"/>
      <c r="B686" s="28"/>
      <c r="C686" s="28" t="str">
        <f>C684</f>
        <v>Vieraan pääoman lisäykset (+) / lyhenn. (-)</v>
      </c>
      <c r="D686" s="28"/>
    </row>
    <row r="687" spans="1:4" ht="12.75" customHeight="1" x14ac:dyDescent="0.35">
      <c r="A687" s="28"/>
      <c r="B687" s="28"/>
      <c r="C687" s="28" t="s">
        <v>2702</v>
      </c>
      <c r="D687" s="28"/>
    </row>
    <row r="688" spans="1:4" ht="12.75" customHeight="1" x14ac:dyDescent="0.35">
      <c r="A688" s="28"/>
      <c r="B688" s="28"/>
      <c r="C688" s="28" t="s">
        <v>2703</v>
      </c>
      <c r="D688" s="28"/>
    </row>
    <row r="689" spans="1:4" ht="12.75" customHeight="1" x14ac:dyDescent="0.35">
      <c r="A689" s="28"/>
      <c r="B689" s="28"/>
      <c r="C689" s="1241" t="s">
        <v>5399</v>
      </c>
      <c r="D689" s="28"/>
    </row>
    <row r="690" spans="1:4" ht="12.75" customHeight="1" x14ac:dyDescent="0.35">
      <c r="A690" s="28"/>
      <c r="B690" s="28"/>
      <c r="C690" s="28" t="s">
        <v>2704</v>
      </c>
      <c r="D690" s="28"/>
    </row>
    <row r="691" spans="1:4" ht="12.75" customHeight="1" x14ac:dyDescent="0.35">
      <c r="A691" s="28"/>
      <c r="B691" s="28"/>
      <c r="C691" s="28" t="s">
        <v>2705</v>
      </c>
      <c r="D691" s="28"/>
    </row>
    <row r="692" spans="1:4" ht="12.75" customHeight="1" x14ac:dyDescent="0.35">
      <c r="A692" s="28"/>
      <c r="B692" s="28" t="s">
        <v>2706</v>
      </c>
      <c r="D692" s="28"/>
    </row>
    <row r="693" spans="1:4" ht="12.75" customHeight="1" x14ac:dyDescent="0.35">
      <c r="A693" s="28"/>
      <c r="B693" s="28" t="s">
        <v>2707</v>
      </c>
      <c r="D693" s="28"/>
    </row>
    <row r="694" spans="1:4" ht="12.75" customHeight="1" x14ac:dyDescent="0.35">
      <c r="A694" s="28"/>
      <c r="B694" s="28" t="s">
        <v>2708</v>
      </c>
      <c r="D694" s="28"/>
    </row>
    <row r="695" spans="1:4" ht="12.75" customHeight="1" x14ac:dyDescent="0.35">
      <c r="A695" s="28"/>
      <c r="B695" s="97" t="s">
        <v>2709</v>
      </c>
      <c r="D695" s="28"/>
    </row>
    <row r="696" spans="1:4" ht="12.75" customHeight="1" x14ac:dyDescent="0.35">
      <c r="A696" s="28"/>
      <c r="B696" s="28"/>
      <c r="C696" s="28" t="s">
        <v>2710</v>
      </c>
      <c r="D696" s="28"/>
    </row>
    <row r="697" spans="1:4" ht="12.75" customHeight="1" x14ac:dyDescent="0.35">
      <c r="A697" s="28"/>
      <c r="B697" s="28"/>
      <c r="C697" s="28" t="s">
        <v>2711</v>
      </c>
      <c r="D697" s="28"/>
    </row>
    <row r="698" spans="1:4" ht="12.75" customHeight="1" x14ac:dyDescent="0.35">
      <c r="A698" s="28"/>
      <c r="B698" s="28"/>
      <c r="C698" s="28" t="s">
        <v>2712</v>
      </c>
      <c r="D698" s="28"/>
    </row>
    <row r="699" spans="1:4" ht="12.75" customHeight="1" x14ac:dyDescent="0.35">
      <c r="A699" s="28"/>
      <c r="B699" s="28"/>
      <c r="C699" s="28" t="s">
        <v>2713</v>
      </c>
      <c r="D699" s="28"/>
    </row>
    <row r="700" spans="1:4" ht="12.75" customHeight="1" x14ac:dyDescent="0.35">
      <c r="A700" s="28"/>
      <c r="B700" s="28"/>
      <c r="C700" s="28" t="s">
        <v>2714</v>
      </c>
      <c r="D700" s="28"/>
    </row>
    <row r="701" spans="1:4" ht="12.75" customHeight="1" x14ac:dyDescent="0.35">
      <c r="A701" s="28"/>
      <c r="B701" s="28"/>
      <c r="C701" s="105" t="s">
        <v>2715</v>
      </c>
      <c r="D701" s="28"/>
    </row>
    <row r="702" spans="1:4" ht="12.75" customHeight="1" x14ac:dyDescent="0.35">
      <c r="A702" s="28"/>
      <c r="B702" s="28" t="s">
        <v>2716</v>
      </c>
      <c r="C702" s="28"/>
      <c r="D702" s="28"/>
    </row>
    <row r="703" spans="1:4" ht="12.75" customHeight="1" x14ac:dyDescent="0.35">
      <c r="A703" s="28"/>
      <c r="B703" s="28" t="s">
        <v>2717</v>
      </c>
      <c r="C703" s="28"/>
      <c r="D703" s="28"/>
    </row>
    <row r="704" spans="1:4" ht="12.75" customHeight="1" x14ac:dyDescent="0.35">
      <c r="A704" s="28"/>
      <c r="B704" s="28"/>
      <c r="C704" s="28"/>
      <c r="D704" s="28"/>
    </row>
    <row r="705" spans="1:4" ht="12.75" customHeight="1" x14ac:dyDescent="0.35">
      <c r="A705" s="28"/>
      <c r="B705" s="28"/>
      <c r="C705" s="28"/>
      <c r="D705" s="28"/>
    </row>
    <row r="706" spans="1:4" ht="12.75" customHeight="1" x14ac:dyDescent="0.35">
      <c r="A706" s="28"/>
      <c r="B706" s="28"/>
      <c r="C706" s="28"/>
      <c r="D706" s="28"/>
    </row>
    <row r="707" spans="1:4" ht="12.75" customHeight="1" x14ac:dyDescent="0.35">
      <c r="A707" s="28"/>
      <c r="B707" s="28" t="s">
        <v>2718</v>
      </c>
      <c r="C707" s="28"/>
      <c r="D707" s="28"/>
    </row>
    <row r="708" spans="1:4" ht="12.75" customHeight="1" x14ac:dyDescent="0.35">
      <c r="A708" s="28"/>
      <c r="B708" s="28"/>
      <c r="C708" s="28"/>
      <c r="D708" s="28"/>
    </row>
    <row r="709" spans="1:4" ht="12.75" customHeight="1" x14ac:dyDescent="0.35">
      <c r="A709" s="28"/>
      <c r="B709" s="28" t="s">
        <v>2577</v>
      </c>
      <c r="C709" s="28"/>
      <c r="D709" s="28"/>
    </row>
    <row r="710" spans="1:4" ht="12.75" customHeight="1" x14ac:dyDescent="0.35">
      <c r="A710" s="28"/>
      <c r="B710" s="28" t="s">
        <v>2719</v>
      </c>
      <c r="C710" s="28"/>
      <c r="D710" s="28" t="s">
        <v>2720</v>
      </c>
    </row>
    <row r="711" spans="1:4" ht="12.75" customHeight="1" x14ac:dyDescent="0.35">
      <c r="A711" s="28"/>
      <c r="B711" s="28" t="s">
        <v>2721</v>
      </c>
      <c r="C711" s="28"/>
      <c r="D711" s="28"/>
    </row>
    <row r="712" spans="1:4" ht="12.75" customHeight="1" x14ac:dyDescent="0.35">
      <c r="A712" s="28"/>
      <c r="B712" s="28"/>
      <c r="C712" s="28" t="s">
        <v>2722</v>
      </c>
      <c r="D712" s="28"/>
    </row>
    <row r="713" spans="1:4" ht="12.75" customHeight="1" x14ac:dyDescent="0.35">
      <c r="A713" s="28"/>
      <c r="B713" s="28"/>
      <c r="C713" s="28" t="s">
        <v>2723</v>
      </c>
      <c r="D713" s="28"/>
    </row>
    <row r="714" spans="1:4" ht="12.75" customHeight="1" x14ac:dyDescent="0.35">
      <c r="A714" s="28"/>
      <c r="B714" s="28"/>
      <c r="C714" s="28" t="s">
        <v>2724</v>
      </c>
      <c r="D714" s="28"/>
    </row>
    <row r="715" spans="1:4" ht="12.75" customHeight="1" x14ac:dyDescent="0.35">
      <c r="A715" s="28"/>
      <c r="B715" s="28"/>
      <c r="C715" s="28" t="s">
        <v>2723</v>
      </c>
      <c r="D715" s="28"/>
    </row>
    <row r="716" spans="1:4" ht="12.75" customHeight="1" x14ac:dyDescent="0.35">
      <c r="A716" s="28"/>
      <c r="B716" s="28"/>
      <c r="C716" s="103" t="s">
        <v>2725</v>
      </c>
      <c r="D716" s="28"/>
    </row>
    <row r="717" spans="1:4" ht="12.75" customHeight="1" x14ac:dyDescent="0.35">
      <c r="A717" s="28"/>
      <c r="B717" s="28"/>
      <c r="C717" s="28" t="s">
        <v>2726</v>
      </c>
      <c r="D717" s="28"/>
    </row>
    <row r="718" spans="1:4" ht="12.75" customHeight="1" x14ac:dyDescent="0.35">
      <c r="A718" s="28"/>
      <c r="B718" s="28"/>
      <c r="C718" s="28" t="s">
        <v>2727</v>
      </c>
      <c r="D718" s="28"/>
    </row>
    <row r="719" spans="1:4" ht="12.75" customHeight="1" x14ac:dyDescent="0.35">
      <c r="A719" s="28"/>
      <c r="B719" s="28"/>
      <c r="C719" s="28" t="s">
        <v>2726</v>
      </c>
      <c r="D719" s="28"/>
    </row>
    <row r="720" spans="1:4" ht="12.75" customHeight="1" x14ac:dyDescent="0.35">
      <c r="A720" s="28"/>
      <c r="B720" s="28"/>
      <c r="C720" s="103" t="s">
        <v>2725</v>
      </c>
      <c r="D720" s="28"/>
    </row>
    <row r="721" spans="1:4" ht="12.75" customHeight="1" x14ac:dyDescent="0.35">
      <c r="A721" s="28"/>
      <c r="B721" s="28"/>
      <c r="C721" s="28" t="s">
        <v>2728</v>
      </c>
      <c r="D721" s="28"/>
    </row>
    <row r="722" spans="1:4" ht="12.75" customHeight="1" x14ac:dyDescent="0.35">
      <c r="A722" s="28"/>
      <c r="B722" s="28"/>
      <c r="C722" s="28" t="s">
        <v>2729</v>
      </c>
      <c r="D722" s="28"/>
    </row>
    <row r="723" spans="1:4" ht="12.75" customHeight="1" x14ac:dyDescent="0.35">
      <c r="A723" s="28"/>
      <c r="B723" s="28"/>
      <c r="C723" s="28" t="s">
        <v>2728</v>
      </c>
      <c r="D723" s="28"/>
    </row>
    <row r="724" spans="1:4" ht="12.75" customHeight="1" x14ac:dyDescent="0.35">
      <c r="A724" s="28"/>
      <c r="B724" s="28"/>
      <c r="C724" s="103" t="s">
        <v>2725</v>
      </c>
      <c r="D724" s="28"/>
    </row>
    <row r="725" spans="1:4" ht="12.75" customHeight="1" x14ac:dyDescent="0.35">
      <c r="A725" s="28"/>
      <c r="B725" s="28"/>
      <c r="C725" s="28" t="s">
        <v>2730</v>
      </c>
      <c r="D725" s="28"/>
    </row>
    <row r="726" spans="1:4" ht="12.75" customHeight="1" x14ac:dyDescent="0.35">
      <c r="A726" s="28"/>
      <c r="B726" s="28"/>
      <c r="C726" s="28" t="s">
        <v>2731</v>
      </c>
      <c r="D726" s="28"/>
    </row>
    <row r="727" spans="1:4" ht="12.75" customHeight="1" x14ac:dyDescent="0.35">
      <c r="A727" s="28"/>
      <c r="B727" s="28"/>
      <c r="C727" s="28" t="s">
        <v>2730</v>
      </c>
      <c r="D727" s="28"/>
    </row>
    <row r="728" spans="1:4" ht="12.75" customHeight="1" x14ac:dyDescent="0.35">
      <c r="A728" s="28"/>
      <c r="B728" s="28"/>
      <c r="C728" s="103" t="s">
        <v>2725</v>
      </c>
      <c r="D728" s="28"/>
    </row>
    <row r="729" spans="1:4" ht="12.75" customHeight="1" x14ac:dyDescent="0.35">
      <c r="A729" s="28"/>
      <c r="B729" s="28"/>
      <c r="C729" s="28" t="s">
        <v>2732</v>
      </c>
      <c r="D729" s="28"/>
    </row>
    <row r="730" spans="1:4" ht="12.75" customHeight="1" x14ac:dyDescent="0.35">
      <c r="A730" s="28"/>
      <c r="B730" s="28"/>
      <c r="C730" s="28" t="s">
        <v>2733</v>
      </c>
      <c r="D730" s="28"/>
    </row>
    <row r="731" spans="1:4" ht="12.75" customHeight="1" x14ac:dyDescent="0.35">
      <c r="A731" s="28"/>
      <c r="B731" s="28"/>
      <c r="C731" s="28" t="s">
        <v>2734</v>
      </c>
      <c r="D731" s="28"/>
    </row>
    <row r="732" spans="1:4" ht="12.75" customHeight="1" x14ac:dyDescent="0.35">
      <c r="A732" s="28"/>
      <c r="B732" s="28"/>
      <c r="C732" s="28" t="s">
        <v>2733</v>
      </c>
      <c r="D732" s="28"/>
    </row>
    <row r="733" spans="1:4" ht="12.75" customHeight="1" x14ac:dyDescent="0.35">
      <c r="A733" s="28"/>
      <c r="B733" s="28"/>
      <c r="C733" s="103" t="s">
        <v>2725</v>
      </c>
      <c r="D733" s="28"/>
    </row>
    <row r="734" spans="1:4" ht="12.75" customHeight="1" x14ac:dyDescent="0.35">
      <c r="A734" s="28"/>
      <c r="B734" s="28"/>
      <c r="C734" s="28" t="s">
        <v>2735</v>
      </c>
      <c r="D734" s="28"/>
    </row>
    <row r="735" spans="1:4" ht="12.75" customHeight="1" x14ac:dyDescent="0.35">
      <c r="A735" s="28"/>
      <c r="B735" s="28"/>
      <c r="C735" s="28" t="s">
        <v>2736</v>
      </c>
      <c r="D735" s="28"/>
    </row>
    <row r="736" spans="1:4" ht="12.75" customHeight="1" x14ac:dyDescent="0.35">
      <c r="A736" s="28"/>
      <c r="B736" s="28"/>
      <c r="C736" s="28" t="s">
        <v>2735</v>
      </c>
      <c r="D736" s="28"/>
    </row>
    <row r="737" spans="1:4" ht="12.75" customHeight="1" x14ac:dyDescent="0.35">
      <c r="A737" s="28"/>
      <c r="B737" s="28"/>
      <c r="C737" s="103" t="s">
        <v>2725</v>
      </c>
      <c r="D737" s="28"/>
    </row>
    <row r="738" spans="1:4" ht="12.75" customHeight="1" x14ac:dyDescent="0.35">
      <c r="A738" s="28"/>
      <c r="B738" s="28"/>
      <c r="C738" s="28" t="s">
        <v>2737</v>
      </c>
      <c r="D738" s="28"/>
    </row>
    <row r="739" spans="1:4" ht="12.75" customHeight="1" x14ac:dyDescent="0.35">
      <c r="A739" s="28"/>
      <c r="B739" s="28"/>
      <c r="C739" s="28" t="s">
        <v>2738</v>
      </c>
      <c r="D739" s="28"/>
    </row>
    <row r="740" spans="1:4" ht="12.75" customHeight="1" x14ac:dyDescent="0.35">
      <c r="A740" s="28"/>
      <c r="B740" s="28"/>
      <c r="C740" s="28" t="s">
        <v>2737</v>
      </c>
      <c r="D740" s="28"/>
    </row>
    <row r="741" spans="1:4" ht="12.75" customHeight="1" x14ac:dyDescent="0.35">
      <c r="A741" s="28"/>
      <c r="B741" s="28"/>
      <c r="C741" s="103" t="s">
        <v>2725</v>
      </c>
      <c r="D741" s="28"/>
    </row>
    <row r="742" spans="1:4" ht="12.75" customHeight="1" x14ac:dyDescent="0.35">
      <c r="A742" s="28"/>
      <c r="B742" s="28"/>
      <c r="C742" s="106" t="s">
        <v>2739</v>
      </c>
      <c r="D742" s="28"/>
    </row>
    <row r="743" spans="1:4" ht="12.75" customHeight="1" x14ac:dyDescent="0.35">
      <c r="A743" s="28"/>
      <c r="B743" s="28"/>
      <c r="C743" s="106" t="s">
        <v>2740</v>
      </c>
      <c r="D743" s="28"/>
    </row>
    <row r="744" spans="1:4" ht="12.75" customHeight="1" x14ac:dyDescent="0.35">
      <c r="A744" s="28"/>
      <c r="B744" s="28"/>
      <c r="C744" s="106" t="s">
        <v>2739</v>
      </c>
      <c r="D744" s="28"/>
    </row>
    <row r="745" spans="1:4" ht="12.75" customHeight="1" x14ac:dyDescent="0.35">
      <c r="A745" s="28"/>
      <c r="B745" s="28"/>
      <c r="C745" s="106" t="s">
        <v>2725</v>
      </c>
      <c r="D745" s="28"/>
    </row>
    <row r="746" spans="1:4" ht="12.75" customHeight="1" x14ac:dyDescent="0.35">
      <c r="A746" s="28"/>
      <c r="B746" s="28"/>
      <c r="C746" s="28" t="s">
        <v>2741</v>
      </c>
      <c r="D746" s="28"/>
    </row>
    <row r="747" spans="1:4" ht="12.75" customHeight="1" x14ac:dyDescent="0.35">
      <c r="A747" s="28"/>
      <c r="B747" s="28"/>
      <c r="C747" s="28" t="s">
        <v>2742</v>
      </c>
      <c r="D747" s="28"/>
    </row>
    <row r="748" spans="1:4" ht="12.75" customHeight="1" x14ac:dyDescent="0.35">
      <c r="A748" s="28"/>
      <c r="B748" s="28"/>
      <c r="C748" s="28" t="s">
        <v>2741</v>
      </c>
      <c r="D748" s="28"/>
    </row>
    <row r="749" spans="1:4" ht="12.75" customHeight="1" x14ac:dyDescent="0.35">
      <c r="A749" s="28"/>
      <c r="B749" s="28"/>
      <c r="C749" s="103" t="s">
        <v>2725</v>
      </c>
      <c r="D749" s="28"/>
    </row>
    <row r="750" spans="1:4" ht="12.75" customHeight="1" x14ac:dyDescent="0.35">
      <c r="A750" s="28"/>
      <c r="B750" s="28"/>
      <c r="C750" s="28" t="s">
        <v>2743</v>
      </c>
      <c r="D750" s="28"/>
    </row>
    <row r="751" spans="1:4" ht="12.75" customHeight="1" x14ac:dyDescent="0.35">
      <c r="A751" s="28"/>
      <c r="B751" s="28"/>
      <c r="C751" s="28" t="s">
        <v>2744</v>
      </c>
      <c r="D751" s="28"/>
    </row>
    <row r="752" spans="1:4" ht="12.75" customHeight="1" x14ac:dyDescent="0.35">
      <c r="A752" s="28"/>
      <c r="B752" s="28"/>
      <c r="C752" s="28" t="s">
        <v>2745</v>
      </c>
      <c r="D752" s="28"/>
    </row>
    <row r="753" spans="1:4" ht="12.75" customHeight="1" x14ac:dyDescent="0.35">
      <c r="A753" s="28"/>
      <c r="B753" s="28"/>
      <c r="C753" s="28" t="s">
        <v>2744</v>
      </c>
      <c r="D753" s="28"/>
    </row>
    <row r="754" spans="1:4" ht="12.75" customHeight="1" x14ac:dyDescent="0.35">
      <c r="A754" s="28"/>
      <c r="B754" s="28"/>
      <c r="C754" s="103" t="s">
        <v>2725</v>
      </c>
      <c r="D754" s="28"/>
    </row>
    <row r="755" spans="1:4" ht="12.75" customHeight="1" x14ac:dyDescent="0.35">
      <c r="A755" s="28"/>
      <c r="B755" s="28"/>
      <c r="C755" s="103" t="s">
        <v>2746</v>
      </c>
      <c r="D755" s="28"/>
    </row>
    <row r="756" spans="1:4" ht="12.75" customHeight="1" x14ac:dyDescent="0.35">
      <c r="A756" s="28"/>
      <c r="B756" s="28"/>
      <c r="C756" s="103" t="s">
        <v>2747</v>
      </c>
      <c r="D756" s="28"/>
    </row>
    <row r="757" spans="1:4" ht="12.75" customHeight="1" x14ac:dyDescent="0.35">
      <c r="A757" s="28"/>
      <c r="B757" s="28"/>
      <c r="C757" s="103" t="s">
        <v>2746</v>
      </c>
      <c r="D757" s="28"/>
    </row>
    <row r="758" spans="1:4" ht="12.75" customHeight="1" x14ac:dyDescent="0.35">
      <c r="A758" s="28"/>
      <c r="B758" s="28"/>
      <c r="C758" s="103" t="s">
        <v>2725</v>
      </c>
      <c r="D758" s="28"/>
    </row>
    <row r="759" spans="1:4" ht="12.75" customHeight="1" x14ac:dyDescent="0.35">
      <c r="A759" s="28"/>
      <c r="B759" s="28"/>
      <c r="C759" s="28" t="s">
        <v>2748</v>
      </c>
      <c r="D759" s="28"/>
    </row>
    <row r="760" spans="1:4" ht="12.75" customHeight="1" x14ac:dyDescent="0.35">
      <c r="A760" s="28"/>
      <c r="B760" s="28"/>
      <c r="C760" s="28" t="s">
        <v>2749</v>
      </c>
      <c r="D760" s="28"/>
    </row>
    <row r="761" spans="1:4" ht="12.75" customHeight="1" x14ac:dyDescent="0.35">
      <c r="A761" s="28"/>
      <c r="B761" s="28"/>
      <c r="C761" s="28" t="s">
        <v>2748</v>
      </c>
      <c r="D761" s="28"/>
    </row>
    <row r="762" spans="1:4" ht="12.75" customHeight="1" x14ac:dyDescent="0.35">
      <c r="A762" s="28"/>
      <c r="B762" s="28"/>
      <c r="C762" s="103" t="s">
        <v>2725</v>
      </c>
      <c r="D762" s="28"/>
    </row>
    <row r="763" spans="1:4" ht="12.75" customHeight="1" x14ac:dyDescent="0.35">
      <c r="A763" s="28"/>
      <c r="B763" s="28"/>
      <c r="C763" s="28" t="s">
        <v>2750</v>
      </c>
      <c r="D763" s="28"/>
    </row>
    <row r="764" spans="1:4" ht="12.75" customHeight="1" x14ac:dyDescent="0.35">
      <c r="A764" s="28"/>
      <c r="B764" s="28"/>
      <c r="C764" s="28" t="s">
        <v>2751</v>
      </c>
      <c r="D764" s="28"/>
    </row>
    <row r="765" spans="1:4" ht="12.75" customHeight="1" x14ac:dyDescent="0.35">
      <c r="A765" s="28"/>
      <c r="B765" s="28"/>
      <c r="C765" s="28" t="s">
        <v>2750</v>
      </c>
      <c r="D765" s="28"/>
    </row>
    <row r="766" spans="1:4" ht="12.75" customHeight="1" x14ac:dyDescent="0.35">
      <c r="A766" s="28"/>
      <c r="B766" s="28"/>
      <c r="C766" s="103" t="s">
        <v>2725</v>
      </c>
      <c r="D766" s="28"/>
    </row>
    <row r="767" spans="1:4" ht="12.75" customHeight="1" x14ac:dyDescent="0.35">
      <c r="A767" s="28"/>
      <c r="B767" s="28"/>
      <c r="C767" s="28" t="s">
        <v>2752</v>
      </c>
      <c r="D767" s="28"/>
    </row>
    <row r="768" spans="1:4" ht="12.75" customHeight="1" x14ac:dyDescent="0.35">
      <c r="A768" s="28"/>
      <c r="B768" s="28" t="s">
        <v>2753</v>
      </c>
      <c r="C768" s="28"/>
      <c r="D768" s="28"/>
    </row>
    <row r="769" spans="1:4" ht="12.75" customHeight="1" x14ac:dyDescent="0.35">
      <c r="A769" s="28"/>
      <c r="B769" s="28"/>
      <c r="C769" s="28" t="s">
        <v>2679</v>
      </c>
      <c r="D769" s="28"/>
    </row>
    <row r="770" spans="1:4" ht="12.75" customHeight="1" x14ac:dyDescent="0.35">
      <c r="A770" s="28"/>
      <c r="B770" s="28"/>
      <c r="C770" s="28" t="s">
        <v>2674</v>
      </c>
      <c r="D770" s="28"/>
    </row>
    <row r="771" spans="1:4" ht="12.75" customHeight="1" x14ac:dyDescent="0.35">
      <c r="A771" s="28"/>
      <c r="B771" s="28"/>
      <c r="C771" s="1241" t="s">
        <v>5360</v>
      </c>
      <c r="D771" s="28"/>
    </row>
    <row r="772" spans="1:4" ht="12.75" customHeight="1" x14ac:dyDescent="0.35">
      <c r="A772" s="28"/>
      <c r="B772" s="28"/>
      <c r="C772" s="28" t="s">
        <v>2676</v>
      </c>
      <c r="D772" s="28"/>
    </row>
    <row r="773" spans="1:4" ht="12.75" customHeight="1" x14ac:dyDescent="0.35">
      <c r="A773" s="28"/>
      <c r="B773" s="28"/>
      <c r="C773" s="1241" t="s">
        <v>5367</v>
      </c>
      <c r="D773" s="28"/>
    </row>
    <row r="774" spans="1:4" ht="12.75" customHeight="1" x14ac:dyDescent="0.35">
      <c r="A774" s="28"/>
      <c r="B774" s="28"/>
      <c r="C774" s="28" t="s">
        <v>2754</v>
      </c>
      <c r="D774" s="28"/>
    </row>
    <row r="775" spans="1:4" ht="12.75" customHeight="1" x14ac:dyDescent="0.35">
      <c r="A775" s="28"/>
      <c r="B775" s="28"/>
      <c r="C775" s="28" t="s">
        <v>2755</v>
      </c>
      <c r="D775" s="28"/>
    </row>
    <row r="776" spans="1:4" ht="12.75" customHeight="1" x14ac:dyDescent="0.35">
      <c r="A776" s="28"/>
      <c r="B776" s="28" t="s">
        <v>2719</v>
      </c>
      <c r="C776" s="28"/>
      <c r="D776" s="28"/>
    </row>
    <row r="777" spans="1:4" ht="12.75" customHeight="1" x14ac:dyDescent="0.35">
      <c r="A777" s="28"/>
      <c r="B777" s="28"/>
      <c r="C777" s="28"/>
      <c r="D777" s="28"/>
    </row>
    <row r="778" spans="1:4" ht="12.75" customHeight="1" x14ac:dyDescent="0.35">
      <c r="A778" s="28"/>
      <c r="B778" s="28"/>
      <c r="C778" s="28"/>
      <c r="D778" s="28"/>
    </row>
    <row r="779" spans="1:4" ht="12.75" customHeight="1" x14ac:dyDescent="0.35">
      <c r="A779" s="28"/>
      <c r="B779" s="28"/>
      <c r="C779" s="28"/>
      <c r="D779" s="28"/>
    </row>
    <row r="780" spans="1:4" ht="12.75" customHeight="1" x14ac:dyDescent="0.35">
      <c r="A780" s="28"/>
      <c r="B780" s="28"/>
      <c r="C780" s="28"/>
      <c r="D780" s="28"/>
    </row>
    <row r="781" spans="1:4" ht="12.75" customHeight="1" x14ac:dyDescent="0.35">
      <c r="A781" s="28"/>
      <c r="B781" s="28"/>
      <c r="C781" s="28"/>
      <c r="D781" s="28"/>
    </row>
    <row r="782" spans="1:4" ht="12.75" customHeight="1" x14ac:dyDescent="0.35">
      <c r="A782" s="28"/>
      <c r="B782" s="28"/>
      <c r="C782" s="28"/>
      <c r="D782" s="28"/>
    </row>
    <row r="783" spans="1:4" ht="12.75" customHeight="1" x14ac:dyDescent="0.35">
      <c r="A783" s="28"/>
      <c r="B783" s="28"/>
      <c r="C783" s="28"/>
      <c r="D783" s="28"/>
    </row>
    <row r="784" spans="1:4" ht="12.75" customHeight="1" x14ac:dyDescent="0.35">
      <c r="A784" s="28"/>
      <c r="B784" s="28"/>
      <c r="C784" s="28"/>
      <c r="D784" s="28"/>
    </row>
    <row r="785" spans="1:4" ht="12.75" customHeight="1" x14ac:dyDescent="0.35">
      <c r="A785" s="28"/>
      <c r="B785" s="28"/>
      <c r="C785" s="28"/>
      <c r="D785" s="28"/>
    </row>
    <row r="786" spans="1:4" ht="12.75" customHeight="1" x14ac:dyDescent="0.35">
      <c r="A786" s="28"/>
      <c r="B786" s="28"/>
      <c r="C786" s="28"/>
      <c r="D786" s="28"/>
    </row>
    <row r="787" spans="1:4" ht="12.75" customHeight="1" x14ac:dyDescent="0.35">
      <c r="A787" s="28"/>
      <c r="B787" s="28"/>
      <c r="C787" s="28"/>
      <c r="D787" s="28"/>
    </row>
    <row r="788" spans="1:4" ht="12.75" customHeight="1" x14ac:dyDescent="0.35">
      <c r="A788" s="28"/>
      <c r="B788" s="28"/>
      <c r="C788" s="28"/>
      <c r="D788" s="28"/>
    </row>
    <row r="789" spans="1:4" ht="12.75" customHeight="1" x14ac:dyDescent="0.35">
      <c r="A789" s="28"/>
      <c r="B789" s="28" t="s">
        <v>2756</v>
      </c>
      <c r="C789" s="28"/>
      <c r="D789" s="28"/>
    </row>
    <row r="790" spans="1:4" ht="12.75" customHeight="1" x14ac:dyDescent="0.35">
      <c r="A790" s="28"/>
      <c r="B790" s="28" t="s">
        <v>2757</v>
      </c>
      <c r="C790" s="28"/>
      <c r="D790" s="28"/>
    </row>
    <row r="791" spans="1:4" ht="12.75" customHeight="1" x14ac:dyDescent="0.35">
      <c r="A791" s="28"/>
      <c r="B791" s="28" t="s">
        <v>2758</v>
      </c>
      <c r="C791" s="28"/>
      <c r="D791" s="28"/>
    </row>
    <row r="792" spans="1:4" ht="12.75" customHeight="1" x14ac:dyDescent="0.35">
      <c r="A792" s="28"/>
      <c r="B792" s="28"/>
      <c r="C792" s="28"/>
      <c r="D792" s="28"/>
    </row>
    <row r="793" spans="1:4" ht="12.75" customHeight="1" x14ac:dyDescent="0.35">
      <c r="A793" s="28"/>
      <c r="B793" s="28" t="s">
        <v>2759</v>
      </c>
      <c r="C793" s="28"/>
      <c r="D793" s="28"/>
    </row>
    <row r="794" spans="1:4" ht="12.75" customHeight="1" x14ac:dyDescent="0.35">
      <c r="A794" s="28"/>
      <c r="B794" s="28" t="s">
        <v>2618</v>
      </c>
      <c r="C794" s="28"/>
      <c r="D794" s="28"/>
    </row>
    <row r="795" spans="1:4" ht="12.75" customHeight="1" x14ac:dyDescent="0.35">
      <c r="A795" s="28"/>
      <c r="B795" s="28"/>
      <c r="C795" s="28" t="s">
        <v>2598</v>
      </c>
      <c r="D795" s="28"/>
    </row>
    <row r="796" spans="1:4" ht="12.75" customHeight="1" x14ac:dyDescent="0.35">
      <c r="A796" s="28"/>
      <c r="B796" s="28"/>
      <c r="C796" s="28" t="s">
        <v>2599</v>
      </c>
      <c r="D796" s="28"/>
    </row>
    <row r="797" spans="1:4" ht="12.75" customHeight="1" x14ac:dyDescent="0.35">
      <c r="A797" s="28"/>
      <c r="B797" s="28"/>
      <c r="C797" s="28" t="s">
        <v>2600</v>
      </c>
      <c r="D797" s="28"/>
    </row>
    <row r="798" spans="1:4" ht="12.75" customHeight="1" x14ac:dyDescent="0.35">
      <c r="A798" s="28"/>
      <c r="B798" s="28"/>
      <c r="C798" s="28" t="s">
        <v>2601</v>
      </c>
      <c r="D798" s="28"/>
    </row>
    <row r="799" spans="1:4" ht="12.75" customHeight="1" x14ac:dyDescent="0.35">
      <c r="A799" s="28"/>
      <c r="B799" s="28"/>
      <c r="C799" s="28" t="s">
        <v>2602</v>
      </c>
      <c r="D799" s="28"/>
    </row>
    <row r="800" spans="1:4" ht="12.75" customHeight="1" x14ac:dyDescent="0.35">
      <c r="A800" s="28"/>
      <c r="B800" s="28"/>
      <c r="C800" s="28" t="s">
        <v>2760</v>
      </c>
      <c r="D800" s="28"/>
    </row>
    <row r="801" spans="1:4" ht="12.75" customHeight="1" x14ac:dyDescent="0.35">
      <c r="A801" s="28"/>
      <c r="B801" s="28" t="s">
        <v>2761</v>
      </c>
      <c r="C801" s="28"/>
      <c r="D801" s="28"/>
    </row>
    <row r="802" spans="1:4" ht="12.75" customHeight="1" x14ac:dyDescent="0.35">
      <c r="A802" s="28"/>
      <c r="B802" s="105" t="s">
        <v>2762</v>
      </c>
      <c r="C802" s="28"/>
      <c r="D802" s="28"/>
    </row>
    <row r="803" spans="1:4" ht="12.75" customHeight="1" x14ac:dyDescent="0.35">
      <c r="A803" s="28"/>
      <c r="B803" s="28" t="s">
        <v>2664</v>
      </c>
      <c r="C803" s="28"/>
      <c r="D803" s="28"/>
    </row>
    <row r="804" spans="1:4" ht="12.75" customHeight="1" x14ac:dyDescent="0.35">
      <c r="A804" s="28"/>
      <c r="B804" s="28" t="s">
        <v>2763</v>
      </c>
      <c r="C804" s="28"/>
      <c r="D804" s="28"/>
    </row>
    <row r="805" spans="1:4" ht="12.75" customHeight="1" x14ac:dyDescent="0.35">
      <c r="A805" s="28"/>
      <c r="B805" s="28"/>
      <c r="C805" s="28" t="s">
        <v>2764</v>
      </c>
      <c r="D805" s="28"/>
    </row>
    <row r="806" spans="1:4" ht="12.75" customHeight="1" x14ac:dyDescent="0.35">
      <c r="A806" s="28"/>
      <c r="B806" s="28"/>
      <c r="C806" s="28" t="s">
        <v>2765</v>
      </c>
      <c r="D806" s="28"/>
    </row>
    <row r="807" spans="1:4" ht="12.75" customHeight="1" x14ac:dyDescent="0.35">
      <c r="A807" s="28"/>
      <c r="B807" s="28"/>
      <c r="C807" s="1241" t="s">
        <v>5406</v>
      </c>
      <c r="D807" s="28"/>
    </row>
    <row r="808" spans="1:4" ht="12.75" customHeight="1" x14ac:dyDescent="0.35">
      <c r="A808" s="28"/>
      <c r="B808" s="28"/>
      <c r="C808" s="28" t="s">
        <v>2766</v>
      </c>
      <c r="D808" s="28"/>
    </row>
    <row r="809" spans="1:4" ht="12.75" customHeight="1" x14ac:dyDescent="0.35">
      <c r="A809" s="28"/>
      <c r="B809" s="28"/>
      <c r="C809" s="105" t="s">
        <v>2767</v>
      </c>
      <c r="D809" s="28"/>
    </row>
    <row r="810" spans="1:4" ht="12.75" customHeight="1" x14ac:dyDescent="0.35">
      <c r="A810" s="28"/>
      <c r="B810" s="28"/>
      <c r="C810" s="28" t="s">
        <v>2576</v>
      </c>
      <c r="D810" s="28"/>
    </row>
    <row r="811" spans="1:4" ht="12.75" customHeight="1" x14ac:dyDescent="0.35">
      <c r="A811" s="28"/>
      <c r="B811" s="28"/>
      <c r="C811" s="28" t="s">
        <v>2768</v>
      </c>
      <c r="D811" s="28"/>
    </row>
    <row r="812" spans="1:4" ht="12.75" customHeight="1" x14ac:dyDescent="0.35">
      <c r="A812" s="28"/>
      <c r="B812" s="28"/>
      <c r="C812" s="28" t="s">
        <v>2769</v>
      </c>
      <c r="D812" s="28"/>
    </row>
    <row r="813" spans="1:4" ht="12.75" customHeight="1" x14ac:dyDescent="0.35">
      <c r="A813" s="28"/>
      <c r="B813" s="28"/>
      <c r="C813" s="28" t="s">
        <v>2770</v>
      </c>
      <c r="D813" s="28"/>
    </row>
    <row r="814" spans="1:4" ht="12.75" customHeight="1" x14ac:dyDescent="0.35">
      <c r="A814" s="28"/>
      <c r="B814" s="28"/>
      <c r="C814" s="28" t="s">
        <v>2771</v>
      </c>
      <c r="D814" s="28"/>
    </row>
    <row r="815" spans="1:4" ht="12.75" customHeight="1" x14ac:dyDescent="0.35">
      <c r="A815" s="28"/>
      <c r="B815" s="28"/>
      <c r="C815" s="28" t="s">
        <v>2772</v>
      </c>
      <c r="D815" s="28"/>
    </row>
    <row r="816" spans="1:4" ht="12.75" customHeight="1" x14ac:dyDescent="0.35">
      <c r="A816" s="28"/>
      <c r="B816" s="28"/>
      <c r="C816" s="28" t="s">
        <v>2681</v>
      </c>
      <c r="D816" s="28"/>
    </row>
    <row r="817" spans="1:4" ht="12.75" customHeight="1" x14ac:dyDescent="0.35">
      <c r="A817" s="28"/>
      <c r="B817" s="28"/>
      <c r="C817" s="1241" t="s">
        <v>5379</v>
      </c>
      <c r="D817" s="28"/>
    </row>
    <row r="818" spans="1:4" ht="12.75" customHeight="1" x14ac:dyDescent="0.35">
      <c r="A818" s="28"/>
      <c r="B818" s="28"/>
      <c r="C818" s="28" t="s">
        <v>2773</v>
      </c>
      <c r="D818" s="28"/>
    </row>
    <row r="819" spans="1:4" ht="12.75" customHeight="1" x14ac:dyDescent="0.35">
      <c r="A819" s="28"/>
      <c r="B819" s="28"/>
      <c r="C819" s="1241" t="s">
        <v>5391</v>
      </c>
      <c r="D819" s="28"/>
    </row>
    <row r="820" spans="1:4" ht="12.75" customHeight="1" x14ac:dyDescent="0.35">
      <c r="A820" s="28"/>
      <c r="B820" s="28"/>
      <c r="C820" s="28" t="s">
        <v>2774</v>
      </c>
      <c r="D820" s="28"/>
    </row>
    <row r="821" spans="1:4" ht="12.75" customHeight="1" x14ac:dyDescent="0.35">
      <c r="A821" s="28"/>
      <c r="B821" s="28"/>
      <c r="C821" s="28" t="s">
        <v>2605</v>
      </c>
      <c r="D821" s="28"/>
    </row>
    <row r="822" spans="1:4" ht="12.75" customHeight="1" x14ac:dyDescent="0.35">
      <c r="A822" s="28"/>
      <c r="B822" s="28"/>
      <c r="C822" s="28" t="s">
        <v>2775</v>
      </c>
      <c r="D822" s="28"/>
    </row>
    <row r="823" spans="1:4" ht="12.75" customHeight="1" x14ac:dyDescent="0.35">
      <c r="A823" s="28"/>
      <c r="B823" s="28" t="s">
        <v>2759</v>
      </c>
      <c r="C823" s="28"/>
      <c r="D823" s="28"/>
    </row>
    <row r="824" spans="1:4" ht="12.75" customHeight="1" x14ac:dyDescent="0.35">
      <c r="A824" s="28"/>
      <c r="B824" s="28" t="s">
        <v>2776</v>
      </c>
      <c r="C824" s="28"/>
      <c r="D824" s="28"/>
    </row>
    <row r="825" spans="1:4" ht="12.75" customHeight="1" x14ac:dyDescent="0.35">
      <c r="A825" s="28"/>
      <c r="B825" s="28" t="s">
        <v>2616</v>
      </c>
      <c r="C825" s="28"/>
      <c r="D825" s="28"/>
    </row>
    <row r="826" spans="1:4" ht="12.75" customHeight="1" x14ac:dyDescent="0.35">
      <c r="A826" s="28"/>
      <c r="B826" s="28" t="s">
        <v>2664</v>
      </c>
      <c r="C826" s="28"/>
      <c r="D826" s="28"/>
    </row>
    <row r="827" spans="1:4" ht="12.75" customHeight="1" x14ac:dyDescent="0.35">
      <c r="A827" s="28"/>
      <c r="B827" s="28" t="s">
        <v>2605</v>
      </c>
      <c r="C827" s="28"/>
      <c r="D827" s="28"/>
    </row>
    <row r="828" spans="1:4" ht="12.75" customHeight="1" x14ac:dyDescent="0.35">
      <c r="A828" s="28"/>
      <c r="B828" s="28" t="s">
        <v>2619</v>
      </c>
      <c r="C828" s="28"/>
      <c r="D828" s="28"/>
    </row>
    <row r="829" spans="1:4" ht="12.75" customHeight="1" x14ac:dyDescent="0.35">
      <c r="A829" s="28"/>
      <c r="B829" s="28" t="s">
        <v>2769</v>
      </c>
      <c r="C829" s="28"/>
      <c r="D829" s="28"/>
    </row>
    <row r="830" spans="1:4" ht="12.75" customHeight="1" x14ac:dyDescent="0.35">
      <c r="A830" s="28"/>
      <c r="B830" s="28" t="s">
        <v>2777</v>
      </c>
      <c r="C830" s="28"/>
      <c r="D830" s="28"/>
    </row>
    <row r="831" spans="1:4" ht="12.75" customHeight="1" x14ac:dyDescent="0.35">
      <c r="A831" s="28"/>
      <c r="B831" s="28" t="s">
        <v>2778</v>
      </c>
      <c r="C831" s="28"/>
      <c r="D831" s="28"/>
    </row>
    <row r="832" spans="1:4" ht="12.75" customHeight="1" x14ac:dyDescent="0.35">
      <c r="A832" s="28"/>
      <c r="B832" s="28"/>
      <c r="C832" s="28"/>
      <c r="D832" s="28"/>
    </row>
    <row r="833" spans="1:4" ht="12.75" customHeight="1" x14ac:dyDescent="0.35">
      <c r="A833" s="28"/>
      <c r="B833" s="28" t="s">
        <v>2779</v>
      </c>
      <c r="C833" s="28"/>
      <c r="D833" s="28"/>
    </row>
    <row r="834" spans="1:4" ht="12.75" customHeight="1" x14ac:dyDescent="0.35">
      <c r="A834" s="28"/>
      <c r="B834" s="6" t="s">
        <v>2780</v>
      </c>
      <c r="C834" s="28"/>
      <c r="D834" s="28"/>
    </row>
    <row r="835" spans="1:4" ht="12.75" customHeight="1" x14ac:dyDescent="0.35">
      <c r="A835" s="28"/>
      <c r="B835" s="6" t="s">
        <v>2697</v>
      </c>
      <c r="C835" s="28"/>
      <c r="D835" s="28"/>
    </row>
    <row r="836" spans="1:4" ht="12.75" customHeight="1" x14ac:dyDescent="0.35">
      <c r="A836" s="28"/>
      <c r="B836" s="28" t="s">
        <v>2781</v>
      </c>
      <c r="C836" s="28"/>
      <c r="D836" s="28"/>
    </row>
    <row r="837" spans="1:4" ht="12.75" customHeight="1" x14ac:dyDescent="0.35"/>
    <row r="838" spans="1:4" ht="12.75" customHeight="1" x14ac:dyDescent="0.35"/>
    <row r="839" spans="1:4" ht="12.75" customHeight="1" x14ac:dyDescent="0.35"/>
    <row r="840" spans="1:4" ht="12.75" customHeight="1" x14ac:dyDescent="0.35">
      <c r="B840" s="97" t="s">
        <v>2782</v>
      </c>
    </row>
    <row r="841" spans="1:4" ht="12.75" customHeight="1" x14ac:dyDescent="0.35"/>
    <row r="842" spans="1:4" ht="12.75" customHeight="1" x14ac:dyDescent="0.35">
      <c r="B842" s="28" t="s">
        <v>2577</v>
      </c>
    </row>
  </sheetData>
  <printOptions gridLines="1"/>
  <pageMargins left="0.75" right="0.75" top="1" bottom="1" header="0.5" footer="0.5"/>
  <pageSetup paperSize="9" orientation="portrait" r:id="rId1"/>
  <headerFooter>
    <oddHeader>&amp;C&amp;A</oddHeader>
    <oddFooter>&amp;CPage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0">
    <pageSetUpPr autoPageBreaks="0"/>
  </sheetPr>
  <dimension ref="A1:D842"/>
  <sheetViews>
    <sheetView topLeftCell="A759" workbookViewId="0">
      <selection activeCell="C819" sqref="C819"/>
    </sheetView>
  </sheetViews>
  <sheetFormatPr defaultColWidth="9.1796875" defaultRowHeight="14.5" x14ac:dyDescent="0.35"/>
  <cols>
    <col min="1" max="1" width="0.81640625" style="97" customWidth="1"/>
    <col min="2" max="16384" width="9.1796875" style="97"/>
  </cols>
  <sheetData>
    <row r="1" spans="1:4" ht="12.75" customHeight="1" x14ac:dyDescent="0.35">
      <c r="A1" s="28"/>
      <c r="B1" s="28" t="s">
        <v>2783</v>
      </c>
      <c r="C1" s="28"/>
      <c r="D1" s="28"/>
    </row>
    <row r="2" spans="1:4" ht="12.75" customHeight="1" x14ac:dyDescent="0.35">
      <c r="A2" s="28"/>
      <c r="B2" s="28" t="s">
        <v>2784</v>
      </c>
      <c r="C2" s="28"/>
      <c r="D2" s="28"/>
    </row>
    <row r="3" spans="1:4" ht="12.75" customHeight="1" x14ac:dyDescent="0.35">
      <c r="A3" s="28"/>
      <c r="B3" s="28" t="s">
        <v>2785</v>
      </c>
      <c r="C3" s="28"/>
      <c r="D3" s="28"/>
    </row>
    <row r="4" spans="1:4" ht="12.75" customHeight="1" x14ac:dyDescent="0.35">
      <c r="A4" s="28"/>
      <c r="B4" s="28" t="s">
        <v>2786</v>
      </c>
      <c r="C4" s="28"/>
      <c r="D4" s="28"/>
    </row>
    <row r="5" spans="1:4" ht="12.75" customHeight="1" x14ac:dyDescent="0.35">
      <c r="A5" s="28"/>
      <c r="B5" s="28" t="s">
        <v>47</v>
      </c>
      <c r="C5" s="28"/>
      <c r="D5" s="28"/>
    </row>
    <row r="6" spans="1:4" ht="12.75" customHeight="1" x14ac:dyDescent="0.35">
      <c r="A6" s="28"/>
      <c r="B6" s="28" t="s">
        <v>2787</v>
      </c>
      <c r="C6" s="28"/>
      <c r="D6" s="28"/>
    </row>
    <row r="7" spans="1:4" ht="12.75" customHeight="1" x14ac:dyDescent="0.35">
      <c r="A7" s="28"/>
      <c r="B7" s="28"/>
      <c r="C7" s="28"/>
      <c r="D7" s="28"/>
    </row>
    <row r="8" spans="1:4" ht="12.75" customHeight="1" x14ac:dyDescent="0.35">
      <c r="A8" s="28"/>
      <c r="B8" s="28"/>
      <c r="C8" s="28"/>
      <c r="D8" s="28"/>
    </row>
    <row r="9" spans="1:4" ht="12.75" customHeight="1" x14ac:dyDescent="0.35">
      <c r="A9" s="28"/>
      <c r="B9" s="28"/>
      <c r="C9" s="28"/>
      <c r="D9" s="28"/>
    </row>
    <row r="10" spans="1:4" ht="12.75" customHeight="1" x14ac:dyDescent="0.35">
      <c r="A10" s="28"/>
      <c r="B10" s="28"/>
      <c r="C10" s="28"/>
      <c r="D10" s="28"/>
    </row>
    <row r="11" spans="1:4" ht="12.75" customHeight="1" x14ac:dyDescent="0.35">
      <c r="A11" s="28"/>
      <c r="B11" s="28" t="s">
        <v>2788</v>
      </c>
      <c r="C11" s="28"/>
      <c r="D11" s="28"/>
    </row>
    <row r="12" spans="1:4" ht="12.75" customHeight="1" x14ac:dyDescent="0.35">
      <c r="A12" s="28"/>
      <c r="B12" s="28" t="s">
        <v>2789</v>
      </c>
      <c r="C12" s="28"/>
      <c r="D12" s="28"/>
    </row>
    <row r="13" spans="1:4" ht="12.75" customHeight="1" x14ac:dyDescent="0.35">
      <c r="A13" s="28"/>
      <c r="B13" s="28" t="s">
        <v>4859</v>
      </c>
      <c r="C13" s="28"/>
      <c r="D13" s="28"/>
    </row>
    <row r="14" spans="1:4" ht="12.75" customHeight="1" x14ac:dyDescent="0.35">
      <c r="A14" s="28"/>
      <c r="B14" s="28"/>
      <c r="C14" s="28"/>
      <c r="D14" s="28"/>
    </row>
    <row r="15" spans="1:4" ht="12.75" customHeight="1" x14ac:dyDescent="0.35">
      <c r="A15" s="28"/>
      <c r="B15" s="28" t="s">
        <v>2790</v>
      </c>
      <c r="C15" s="28"/>
      <c r="D15" s="28"/>
    </row>
    <row r="16" spans="1:4" ht="12.75" customHeight="1" x14ac:dyDescent="0.35">
      <c r="A16" s="28"/>
      <c r="B16" s="28"/>
      <c r="C16" s="28"/>
      <c r="D16" s="28"/>
    </row>
    <row r="17" spans="1:4" ht="12.75" customHeight="1" x14ac:dyDescent="0.35">
      <c r="A17" s="28"/>
      <c r="B17" s="28" t="s">
        <v>2789</v>
      </c>
      <c r="C17" s="28"/>
      <c r="D17" s="28" t="s">
        <v>2792</v>
      </c>
    </row>
    <row r="18" spans="1:4" ht="12.75" customHeight="1" x14ac:dyDescent="0.35">
      <c r="A18" s="28"/>
      <c r="B18" s="28"/>
      <c r="C18" s="28"/>
      <c r="D18" s="28"/>
    </row>
    <row r="19" spans="1:4" ht="12.75" customHeight="1" x14ac:dyDescent="0.35">
      <c r="A19" s="28"/>
      <c r="B19" s="28"/>
      <c r="C19" s="28"/>
      <c r="D19" s="28"/>
    </row>
    <row r="20" spans="1:4" ht="12.75" customHeight="1" x14ac:dyDescent="0.35">
      <c r="A20" s="28"/>
      <c r="B20" s="53"/>
      <c r="C20" s="28"/>
      <c r="D20" s="28"/>
    </row>
    <row r="21" spans="1:4" ht="12.75" customHeight="1" x14ac:dyDescent="0.35">
      <c r="A21" s="28"/>
      <c r="B21" s="53"/>
      <c r="C21" s="28" t="s">
        <v>2793</v>
      </c>
      <c r="D21" s="28"/>
    </row>
    <row r="22" spans="1:4" ht="12.75" customHeight="1" x14ac:dyDescent="0.35">
      <c r="A22" s="28"/>
      <c r="B22" s="53"/>
      <c r="C22" s="28"/>
      <c r="D22" s="28"/>
    </row>
    <row r="23" spans="1:4" ht="12.75" customHeight="1" x14ac:dyDescent="0.35">
      <c r="A23" s="28"/>
      <c r="B23" s="53"/>
      <c r="C23" s="28"/>
      <c r="D23" s="28"/>
    </row>
    <row r="24" spans="1:4" ht="12.75" customHeight="1" x14ac:dyDescent="0.35">
      <c r="A24" s="28"/>
      <c r="B24" s="53"/>
      <c r="C24" s="28"/>
      <c r="D24" s="28"/>
    </row>
    <row r="25" spans="1:4" ht="12.75" customHeight="1" x14ac:dyDescent="0.35">
      <c r="A25" s="28"/>
      <c r="B25" s="53"/>
      <c r="C25" s="104" t="s">
        <v>2794</v>
      </c>
      <c r="D25" s="28"/>
    </row>
    <row r="26" spans="1:4" ht="12.75" customHeight="1" x14ac:dyDescent="0.35">
      <c r="A26" s="28"/>
      <c r="B26" s="53"/>
      <c r="C26" s="28"/>
      <c r="D26" s="28"/>
    </row>
    <row r="27" spans="1:4" ht="12.75" customHeight="1" x14ac:dyDescent="0.35">
      <c r="A27" s="28"/>
      <c r="B27" s="53"/>
      <c r="C27" s="28"/>
      <c r="D27" s="28"/>
    </row>
    <row r="28" spans="1:4" ht="12.75" customHeight="1" x14ac:dyDescent="0.35">
      <c r="A28" s="28"/>
      <c r="B28" s="53"/>
      <c r="C28" s="28"/>
      <c r="D28" s="28"/>
    </row>
    <row r="29" spans="1:4" ht="12.75" customHeight="1" x14ac:dyDescent="0.35">
      <c r="A29" s="28"/>
      <c r="B29" s="53"/>
      <c r="C29" s="28"/>
      <c r="D29" s="28"/>
    </row>
    <row r="30" spans="1:4" ht="12.75" customHeight="1" x14ac:dyDescent="0.35">
      <c r="A30" s="28"/>
      <c r="B30" s="53"/>
      <c r="C30" s="28"/>
      <c r="D30" s="28"/>
    </row>
    <row r="31" spans="1:4" ht="12.75" customHeight="1" x14ac:dyDescent="0.35">
      <c r="A31" s="28"/>
      <c r="B31" s="53"/>
      <c r="C31" s="28" t="s">
        <v>2793</v>
      </c>
      <c r="D31" s="28"/>
    </row>
    <row r="32" spans="1:4" ht="12.75" customHeight="1" x14ac:dyDescent="0.35">
      <c r="A32" s="28"/>
      <c r="B32" s="53"/>
      <c r="C32" s="28"/>
      <c r="D32" s="28"/>
    </row>
    <row r="33" spans="1:4" ht="12.75" customHeight="1" x14ac:dyDescent="0.35">
      <c r="A33" s="28"/>
      <c r="B33" s="53"/>
      <c r="C33" s="28"/>
      <c r="D33" s="28"/>
    </row>
    <row r="34" spans="1:4" ht="12.75" customHeight="1" x14ac:dyDescent="0.35">
      <c r="A34" s="28"/>
      <c r="B34" s="53"/>
      <c r="C34" s="28"/>
      <c r="D34" s="28"/>
    </row>
    <row r="35" spans="1:4" ht="12.75" customHeight="1" x14ac:dyDescent="0.35">
      <c r="A35" s="28"/>
      <c r="B35" s="53"/>
      <c r="C35" s="104" t="s">
        <v>2794</v>
      </c>
      <c r="D35" s="28"/>
    </row>
    <row r="36" spans="1:4" ht="12.75" customHeight="1" x14ac:dyDescent="0.35">
      <c r="A36" s="28"/>
      <c r="B36" s="53"/>
      <c r="C36" s="28"/>
      <c r="D36" s="28"/>
    </row>
    <row r="37" spans="1:4" ht="12.75" customHeight="1" x14ac:dyDescent="0.35">
      <c r="A37" s="28"/>
      <c r="B37" s="53"/>
      <c r="C37" s="28"/>
      <c r="D37" s="28"/>
    </row>
    <row r="38" spans="1:4" ht="12.75" customHeight="1" x14ac:dyDescent="0.35">
      <c r="A38" s="28"/>
      <c r="B38" s="53"/>
      <c r="C38" s="28"/>
      <c r="D38" s="28"/>
    </row>
    <row r="39" spans="1:4" ht="12.75" customHeight="1" x14ac:dyDescent="0.35">
      <c r="A39" s="28"/>
      <c r="B39" s="53"/>
      <c r="C39" s="28"/>
      <c r="D39" s="28"/>
    </row>
    <row r="40" spans="1:4" ht="12.75" customHeight="1" x14ac:dyDescent="0.35">
      <c r="A40" s="28"/>
      <c r="B40" s="53"/>
      <c r="C40" s="28"/>
      <c r="D40" s="28"/>
    </row>
    <row r="41" spans="1:4" ht="12.75" customHeight="1" x14ac:dyDescent="0.35">
      <c r="A41" s="28"/>
      <c r="B41" s="28"/>
      <c r="C41" s="28" t="s">
        <v>2793</v>
      </c>
      <c r="D41" s="28"/>
    </row>
    <row r="42" spans="1:4" ht="12.75" customHeight="1" x14ac:dyDescent="0.35">
      <c r="A42" s="28"/>
      <c r="B42" s="28"/>
      <c r="C42" s="28"/>
      <c r="D42" s="28"/>
    </row>
    <row r="43" spans="1:4" ht="12.75" customHeight="1" x14ac:dyDescent="0.35">
      <c r="A43" s="28"/>
      <c r="B43" s="28"/>
      <c r="C43" s="28"/>
      <c r="D43" s="28"/>
    </row>
    <row r="44" spans="1:4" ht="12.75" customHeight="1" x14ac:dyDescent="0.35">
      <c r="A44" s="28"/>
      <c r="B44" s="28"/>
      <c r="C44" s="28"/>
      <c r="D44" s="28"/>
    </row>
    <row r="45" spans="1:4" ht="12.75" customHeight="1" x14ac:dyDescent="0.35">
      <c r="A45" s="28"/>
      <c r="B45" s="28"/>
      <c r="C45" s="104" t="s">
        <v>2794</v>
      </c>
      <c r="D45" s="28"/>
    </row>
    <row r="46" spans="1:4" ht="12.75" customHeight="1" x14ac:dyDescent="0.35">
      <c r="A46" s="28"/>
      <c r="B46" s="28"/>
      <c r="C46" s="28"/>
      <c r="D46" s="28"/>
    </row>
    <row r="47" spans="1:4" ht="12.75" customHeight="1" x14ac:dyDescent="0.35">
      <c r="A47" s="28"/>
      <c r="B47" s="28"/>
      <c r="C47" s="28"/>
      <c r="D47" s="28"/>
    </row>
    <row r="48" spans="1:4" ht="12.75" customHeight="1" x14ac:dyDescent="0.35">
      <c r="A48" s="28"/>
      <c r="B48" s="28"/>
      <c r="C48" s="28"/>
      <c r="D48" s="28"/>
    </row>
    <row r="49" spans="1:4" ht="12.75" customHeight="1" x14ac:dyDescent="0.35">
      <c r="A49" s="28"/>
      <c r="B49" s="28"/>
      <c r="C49" s="28"/>
      <c r="D49" s="28"/>
    </row>
    <row r="50" spans="1:4" ht="12.75" customHeight="1" x14ac:dyDescent="0.35">
      <c r="A50" s="28"/>
      <c r="B50" s="53"/>
      <c r="C50" s="28"/>
      <c r="D50" s="28"/>
    </row>
    <row r="51" spans="1:4" ht="12.75" customHeight="1" x14ac:dyDescent="0.35">
      <c r="A51" s="28"/>
      <c r="B51" s="28"/>
      <c r="C51" s="28" t="s">
        <v>2793</v>
      </c>
      <c r="D51" s="28"/>
    </row>
    <row r="52" spans="1:4" ht="12.75" customHeight="1" x14ac:dyDescent="0.35">
      <c r="A52" s="28"/>
      <c r="B52" s="28"/>
      <c r="C52" s="28"/>
      <c r="D52" s="28"/>
    </row>
    <row r="53" spans="1:4" ht="12.75" customHeight="1" x14ac:dyDescent="0.35">
      <c r="A53" s="28"/>
      <c r="B53" s="28"/>
      <c r="C53" s="28"/>
      <c r="D53" s="28"/>
    </row>
    <row r="54" spans="1:4" ht="12.75" customHeight="1" x14ac:dyDescent="0.35">
      <c r="A54" s="28"/>
      <c r="B54" s="28"/>
      <c r="C54" s="28"/>
      <c r="D54" s="28"/>
    </row>
    <row r="55" spans="1:4" ht="12.75" customHeight="1" x14ac:dyDescent="0.35">
      <c r="A55" s="28"/>
      <c r="B55" s="28"/>
      <c r="C55" s="104" t="s">
        <v>2794</v>
      </c>
      <c r="D55" s="28"/>
    </row>
    <row r="56" spans="1:4" ht="12.75" customHeight="1" x14ac:dyDescent="0.35">
      <c r="A56" s="28"/>
      <c r="B56" s="28"/>
      <c r="C56" s="28"/>
      <c r="D56" s="28"/>
    </row>
    <row r="57" spans="1:4" ht="12.75" customHeight="1" x14ac:dyDescent="0.35">
      <c r="A57" s="28"/>
      <c r="B57" s="28"/>
      <c r="C57" s="28"/>
      <c r="D57" s="28"/>
    </row>
    <row r="58" spans="1:4" ht="12.75" customHeight="1" x14ac:dyDescent="0.35">
      <c r="A58" s="28"/>
      <c r="B58" s="28"/>
      <c r="C58" s="28"/>
      <c r="D58" s="28"/>
    </row>
    <row r="59" spans="1:4" ht="12.75" customHeight="1" x14ac:dyDescent="0.35">
      <c r="A59" s="28"/>
      <c r="B59" s="28"/>
      <c r="C59" s="28"/>
      <c r="D59" s="28"/>
    </row>
    <row r="60" spans="1:4" ht="12.75" customHeight="1" x14ac:dyDescent="0.35">
      <c r="A60" s="28"/>
      <c r="B60" s="53"/>
      <c r="C60" s="28"/>
      <c r="D60" s="28"/>
    </row>
    <row r="61" spans="1:4" ht="12.75" customHeight="1" x14ac:dyDescent="0.35">
      <c r="A61" s="28"/>
      <c r="B61" s="28"/>
      <c r="C61" s="28" t="s">
        <v>2793</v>
      </c>
      <c r="D61" s="28"/>
    </row>
    <row r="62" spans="1:4" ht="12.75" customHeight="1" x14ac:dyDescent="0.35">
      <c r="A62" s="28"/>
      <c r="B62" s="28"/>
      <c r="C62" s="28"/>
      <c r="D62" s="28"/>
    </row>
    <row r="63" spans="1:4" ht="12.75" customHeight="1" x14ac:dyDescent="0.35">
      <c r="A63" s="28"/>
      <c r="B63" s="28"/>
      <c r="C63" s="28"/>
      <c r="D63" s="28"/>
    </row>
    <row r="64" spans="1:4" ht="12.75" customHeight="1" x14ac:dyDescent="0.35">
      <c r="A64" s="28"/>
      <c r="B64" s="28"/>
      <c r="C64" s="28"/>
      <c r="D64" s="28"/>
    </row>
    <row r="65" spans="1:4" ht="12.75" customHeight="1" x14ac:dyDescent="0.35">
      <c r="A65" s="28"/>
      <c r="B65" s="28"/>
      <c r="C65" s="104" t="s">
        <v>2794</v>
      </c>
      <c r="D65" s="28"/>
    </row>
    <row r="66" spans="1:4" ht="12.75" customHeight="1" x14ac:dyDescent="0.35">
      <c r="A66" s="28"/>
      <c r="B66" s="28"/>
      <c r="C66" s="28"/>
      <c r="D66" s="28"/>
    </row>
    <row r="67" spans="1:4" ht="12.75" customHeight="1" x14ac:dyDescent="0.35">
      <c r="A67" s="28"/>
      <c r="B67" s="28"/>
      <c r="C67" s="28"/>
      <c r="D67" s="28"/>
    </row>
    <row r="68" spans="1:4" ht="12.75" customHeight="1" x14ac:dyDescent="0.35">
      <c r="A68" s="28"/>
      <c r="B68" s="28"/>
      <c r="C68" s="28"/>
      <c r="D68" s="28"/>
    </row>
    <row r="69" spans="1:4" ht="12.75" customHeight="1" x14ac:dyDescent="0.35">
      <c r="A69" s="28"/>
      <c r="B69" s="28"/>
      <c r="C69" s="28"/>
      <c r="D69" s="28"/>
    </row>
    <row r="70" spans="1:4" ht="12.75" customHeight="1" x14ac:dyDescent="0.35">
      <c r="A70" s="28"/>
      <c r="B70" s="53"/>
      <c r="C70" s="28"/>
      <c r="D70" s="28"/>
    </row>
    <row r="71" spans="1:4" ht="12.75" customHeight="1" x14ac:dyDescent="0.35">
      <c r="A71" s="28"/>
      <c r="B71" s="53"/>
      <c r="C71" s="28" t="s">
        <v>2793</v>
      </c>
      <c r="D71" s="28"/>
    </row>
    <row r="72" spans="1:4" ht="12.75" customHeight="1" x14ac:dyDescent="0.35">
      <c r="A72" s="28"/>
      <c r="B72" s="53"/>
      <c r="C72" s="28"/>
      <c r="D72" s="28"/>
    </row>
    <row r="73" spans="1:4" ht="12.75" customHeight="1" x14ac:dyDescent="0.35">
      <c r="A73" s="28"/>
      <c r="B73" s="53"/>
      <c r="C73" s="28"/>
      <c r="D73" s="28"/>
    </row>
    <row r="74" spans="1:4" ht="12.75" customHeight="1" x14ac:dyDescent="0.35">
      <c r="A74" s="28"/>
      <c r="B74" s="53"/>
      <c r="C74" s="28"/>
      <c r="D74" s="28"/>
    </row>
    <row r="75" spans="1:4" ht="12.75" customHeight="1" x14ac:dyDescent="0.35">
      <c r="A75" s="28"/>
      <c r="B75" s="53"/>
      <c r="C75" s="104" t="s">
        <v>2794</v>
      </c>
      <c r="D75" s="28"/>
    </row>
    <row r="76" spans="1:4" ht="12.75" customHeight="1" x14ac:dyDescent="0.35">
      <c r="A76" s="28"/>
      <c r="B76" s="53"/>
      <c r="C76" s="28"/>
      <c r="D76" s="28"/>
    </row>
    <row r="77" spans="1:4" ht="12.75" customHeight="1" x14ac:dyDescent="0.35">
      <c r="A77" s="28"/>
      <c r="B77" s="53"/>
      <c r="C77" s="28"/>
      <c r="D77" s="28"/>
    </row>
    <row r="78" spans="1:4" ht="12.75" customHeight="1" x14ac:dyDescent="0.35">
      <c r="A78" s="28"/>
      <c r="B78" s="53"/>
      <c r="C78" s="28"/>
      <c r="D78" s="28"/>
    </row>
    <row r="79" spans="1:4" ht="12.75" customHeight="1" x14ac:dyDescent="0.35">
      <c r="A79" s="28"/>
      <c r="B79" s="53"/>
      <c r="C79" s="28"/>
      <c r="D79" s="28"/>
    </row>
    <row r="80" spans="1:4" ht="12.75" customHeight="1" x14ac:dyDescent="0.35">
      <c r="A80" s="28"/>
      <c r="B80" s="53"/>
      <c r="C80" s="28"/>
      <c r="D80" s="28"/>
    </row>
    <row r="81" spans="1:4" ht="12.75" customHeight="1" x14ac:dyDescent="0.35">
      <c r="A81" s="28"/>
      <c r="B81" s="53"/>
      <c r="C81" s="28" t="s">
        <v>2793</v>
      </c>
      <c r="D81" s="28"/>
    </row>
    <row r="82" spans="1:4" ht="12.75" customHeight="1" x14ac:dyDescent="0.35">
      <c r="A82" s="28"/>
      <c r="B82" s="53"/>
      <c r="C82" s="28"/>
      <c r="D82" s="28"/>
    </row>
    <row r="83" spans="1:4" ht="12.75" customHeight="1" x14ac:dyDescent="0.35">
      <c r="A83" s="28"/>
      <c r="B83" s="53"/>
      <c r="C83" s="28"/>
      <c r="D83" s="28"/>
    </row>
    <row r="84" spans="1:4" ht="12.75" customHeight="1" x14ac:dyDescent="0.35">
      <c r="A84" s="28"/>
      <c r="B84" s="53"/>
      <c r="C84" s="28"/>
      <c r="D84" s="28"/>
    </row>
    <row r="85" spans="1:4" ht="12.75" customHeight="1" x14ac:dyDescent="0.35">
      <c r="A85" s="28"/>
      <c r="B85" s="53"/>
      <c r="C85" s="104" t="s">
        <v>2794</v>
      </c>
      <c r="D85" s="28"/>
    </row>
    <row r="86" spans="1:4" ht="12.75" customHeight="1" x14ac:dyDescent="0.35">
      <c r="A86" s="28"/>
      <c r="B86" s="53"/>
      <c r="C86" s="28"/>
      <c r="D86" s="28"/>
    </row>
    <row r="87" spans="1:4" ht="12.75" customHeight="1" x14ac:dyDescent="0.35">
      <c r="A87" s="28"/>
      <c r="B87" s="53"/>
      <c r="C87" s="28"/>
      <c r="D87" s="28"/>
    </row>
    <row r="88" spans="1:4" ht="12.75" customHeight="1" x14ac:dyDescent="0.35">
      <c r="A88" s="28"/>
      <c r="B88" s="53"/>
      <c r="C88" s="28"/>
      <c r="D88" s="28"/>
    </row>
    <row r="89" spans="1:4" ht="12.75" customHeight="1" x14ac:dyDescent="0.35">
      <c r="A89" s="28"/>
      <c r="B89" s="53"/>
      <c r="C89" s="28"/>
      <c r="D89" s="28"/>
    </row>
    <row r="90" spans="1:4" ht="12.75" customHeight="1" x14ac:dyDescent="0.35">
      <c r="A90" s="28"/>
      <c r="B90" s="53"/>
      <c r="C90" s="28"/>
      <c r="D90" s="28"/>
    </row>
    <row r="91" spans="1:4" ht="12.75" customHeight="1" x14ac:dyDescent="0.35">
      <c r="A91" s="28"/>
      <c r="B91" s="28"/>
      <c r="C91" s="28" t="s">
        <v>2793</v>
      </c>
      <c r="D91" s="28"/>
    </row>
    <row r="92" spans="1:4" ht="12.75" customHeight="1" x14ac:dyDescent="0.35">
      <c r="A92" s="28"/>
      <c r="B92" s="28"/>
      <c r="C92" s="28"/>
      <c r="D92" s="28"/>
    </row>
    <row r="93" spans="1:4" ht="12.75" customHeight="1" x14ac:dyDescent="0.35">
      <c r="A93" s="28"/>
      <c r="B93" s="28"/>
      <c r="C93" s="28"/>
      <c r="D93" s="28"/>
    </row>
    <row r="94" spans="1:4" ht="12.75" customHeight="1" x14ac:dyDescent="0.35">
      <c r="A94" s="28"/>
      <c r="B94" s="28"/>
      <c r="C94" s="28"/>
      <c r="D94" s="28"/>
    </row>
    <row r="95" spans="1:4" ht="12.75" customHeight="1" x14ac:dyDescent="0.35">
      <c r="A95" s="28"/>
      <c r="B95" s="28"/>
      <c r="C95" s="104" t="s">
        <v>2794</v>
      </c>
      <c r="D95" s="28"/>
    </row>
    <row r="96" spans="1:4" ht="12.75" customHeight="1" x14ac:dyDescent="0.35">
      <c r="A96" s="28"/>
      <c r="B96" s="28"/>
      <c r="C96" s="28"/>
      <c r="D96" s="28"/>
    </row>
    <row r="97" spans="1:4" ht="12.75" customHeight="1" x14ac:dyDescent="0.35">
      <c r="A97" s="28"/>
      <c r="B97" s="28"/>
      <c r="C97" s="28"/>
      <c r="D97" s="28"/>
    </row>
    <row r="98" spans="1:4" ht="12.75" customHeight="1" x14ac:dyDescent="0.35">
      <c r="A98" s="28"/>
      <c r="B98" s="28"/>
      <c r="C98" s="28"/>
      <c r="D98" s="28"/>
    </row>
    <row r="99" spans="1:4" ht="12.75" customHeight="1" x14ac:dyDescent="0.35">
      <c r="A99" s="28"/>
      <c r="B99" s="28"/>
      <c r="C99" s="28"/>
      <c r="D99" s="28"/>
    </row>
    <row r="100" spans="1:4" ht="12.75" customHeight="1" x14ac:dyDescent="0.35">
      <c r="A100" s="28"/>
      <c r="B100" s="53"/>
      <c r="C100" s="28"/>
      <c r="D100" s="28"/>
    </row>
    <row r="101" spans="1:4" ht="12.75" customHeight="1" x14ac:dyDescent="0.35">
      <c r="A101" s="28"/>
      <c r="B101" s="28"/>
      <c r="C101" s="28" t="s">
        <v>2793</v>
      </c>
      <c r="D101" s="28"/>
    </row>
    <row r="102" spans="1:4" ht="12.75" customHeight="1" x14ac:dyDescent="0.35">
      <c r="A102" s="28"/>
      <c r="B102" s="28"/>
      <c r="C102" s="28"/>
      <c r="D102" s="28"/>
    </row>
    <row r="103" spans="1:4" ht="12.75" customHeight="1" x14ac:dyDescent="0.35">
      <c r="A103" s="28"/>
      <c r="B103" s="28"/>
      <c r="C103" s="28"/>
      <c r="D103" s="28"/>
    </row>
    <row r="104" spans="1:4" ht="12.75" customHeight="1" x14ac:dyDescent="0.35">
      <c r="A104" s="28"/>
      <c r="B104" s="28"/>
      <c r="C104" s="28"/>
      <c r="D104" s="28"/>
    </row>
    <row r="105" spans="1:4" ht="12.75" customHeight="1" x14ac:dyDescent="0.35">
      <c r="A105" s="28"/>
      <c r="B105" s="28"/>
      <c r="C105" s="104" t="s">
        <v>2794</v>
      </c>
      <c r="D105" s="28"/>
    </row>
    <row r="106" spans="1:4" ht="12.75" customHeight="1" x14ac:dyDescent="0.35">
      <c r="A106" s="28"/>
      <c r="B106" s="28"/>
      <c r="C106" s="28"/>
      <c r="D106" s="28"/>
    </row>
    <row r="107" spans="1:4" ht="12.75" customHeight="1" x14ac:dyDescent="0.35">
      <c r="A107" s="28"/>
      <c r="B107" s="28"/>
      <c r="C107" s="28"/>
      <c r="D107" s="28"/>
    </row>
    <row r="108" spans="1:4" ht="12.75" customHeight="1" x14ac:dyDescent="0.35">
      <c r="A108" s="28"/>
      <c r="B108" s="28"/>
      <c r="C108" s="28"/>
      <c r="D108" s="28"/>
    </row>
    <row r="109" spans="1:4" ht="12.75" customHeight="1" x14ac:dyDescent="0.35">
      <c r="A109" s="28"/>
      <c r="B109" s="28"/>
      <c r="C109" s="28"/>
      <c r="D109" s="28"/>
    </row>
    <row r="110" spans="1:4" ht="12.75" customHeight="1" x14ac:dyDescent="0.35">
      <c r="A110" s="28"/>
      <c r="B110" s="53"/>
      <c r="C110" s="28"/>
      <c r="D110" s="28"/>
    </row>
    <row r="111" spans="1:4" ht="12.75" customHeight="1" x14ac:dyDescent="0.35">
      <c r="A111" s="28"/>
      <c r="B111" s="28"/>
      <c r="C111" s="28" t="s">
        <v>2793</v>
      </c>
      <c r="D111" s="28"/>
    </row>
    <row r="112" spans="1:4" ht="12.75" customHeight="1" x14ac:dyDescent="0.35">
      <c r="A112" s="28"/>
      <c r="B112" s="28"/>
      <c r="C112" s="28"/>
      <c r="D112" s="28"/>
    </row>
    <row r="113" spans="1:4" ht="12.75" customHeight="1" x14ac:dyDescent="0.35">
      <c r="A113" s="28"/>
      <c r="B113" s="28"/>
      <c r="C113" s="28"/>
      <c r="D113" s="28"/>
    </row>
    <row r="114" spans="1:4" ht="12.75" customHeight="1" x14ac:dyDescent="0.35">
      <c r="A114" s="28"/>
      <c r="B114" s="28"/>
      <c r="C114" s="28"/>
      <c r="D114" s="28"/>
    </row>
    <row r="115" spans="1:4" ht="12.75" customHeight="1" x14ac:dyDescent="0.35">
      <c r="A115" s="28"/>
      <c r="B115" s="28"/>
      <c r="C115" s="104" t="s">
        <v>2794</v>
      </c>
      <c r="D115" s="28"/>
    </row>
    <row r="116" spans="1:4" ht="12.75" customHeight="1" x14ac:dyDescent="0.35">
      <c r="A116" s="28"/>
      <c r="B116" s="28"/>
      <c r="C116" s="28"/>
      <c r="D116" s="28"/>
    </row>
    <row r="117" spans="1:4" ht="12.75" customHeight="1" x14ac:dyDescent="0.35">
      <c r="A117" s="28"/>
      <c r="B117" s="28"/>
      <c r="C117" s="28"/>
      <c r="D117" s="28"/>
    </row>
    <row r="118" spans="1:4" ht="12.75" customHeight="1" x14ac:dyDescent="0.35">
      <c r="A118" s="28"/>
      <c r="B118" s="28"/>
      <c r="C118" s="28"/>
      <c r="D118" s="28"/>
    </row>
    <row r="119" spans="1:4" ht="12.75" customHeight="1" x14ac:dyDescent="0.35">
      <c r="A119" s="28"/>
      <c r="B119" s="28"/>
      <c r="C119" s="28"/>
      <c r="D119" s="28"/>
    </row>
    <row r="120" spans="1:4" ht="12.75" customHeight="1" x14ac:dyDescent="0.35">
      <c r="A120" s="28"/>
      <c r="B120" s="53"/>
      <c r="C120" s="28"/>
      <c r="D120" s="28"/>
    </row>
    <row r="121" spans="1:4" ht="12.75" customHeight="1" x14ac:dyDescent="0.35">
      <c r="A121" s="28"/>
      <c r="B121" s="28"/>
      <c r="C121" s="28" t="s">
        <v>2793</v>
      </c>
      <c r="D121" s="28"/>
    </row>
    <row r="122" spans="1:4" ht="12.75" customHeight="1" x14ac:dyDescent="0.35">
      <c r="A122" s="28"/>
      <c r="B122" s="28"/>
      <c r="C122" s="28"/>
      <c r="D122" s="28"/>
    </row>
    <row r="123" spans="1:4" ht="12.75" customHeight="1" x14ac:dyDescent="0.35">
      <c r="A123" s="28"/>
      <c r="B123" s="28"/>
      <c r="C123" s="28"/>
      <c r="D123" s="28"/>
    </row>
    <row r="124" spans="1:4" ht="12.75" customHeight="1" x14ac:dyDescent="0.35">
      <c r="A124" s="28"/>
      <c r="B124" s="28"/>
      <c r="C124" s="28"/>
      <c r="D124" s="28"/>
    </row>
    <row r="125" spans="1:4" ht="12.75" customHeight="1" x14ac:dyDescent="0.35">
      <c r="A125" s="28"/>
      <c r="B125" s="28"/>
      <c r="C125" s="104" t="s">
        <v>2794</v>
      </c>
      <c r="D125" s="28"/>
    </row>
    <row r="126" spans="1:4" ht="12.75" customHeight="1" x14ac:dyDescent="0.35">
      <c r="A126" s="28"/>
      <c r="B126" s="28"/>
      <c r="C126" s="28"/>
      <c r="D126" s="28"/>
    </row>
    <row r="127" spans="1:4" ht="12.75" customHeight="1" x14ac:dyDescent="0.35">
      <c r="A127" s="28"/>
      <c r="B127" s="28"/>
      <c r="C127" s="28"/>
      <c r="D127" s="28"/>
    </row>
    <row r="128" spans="1:4" ht="12.75" customHeight="1" x14ac:dyDescent="0.35">
      <c r="A128" s="28"/>
      <c r="B128" s="28"/>
      <c r="C128" s="28"/>
      <c r="D128" s="28"/>
    </row>
    <row r="129" spans="1:4" ht="12.75" customHeight="1" x14ac:dyDescent="0.35">
      <c r="A129" s="28"/>
      <c r="B129" s="28"/>
      <c r="C129" s="28"/>
      <c r="D129" s="28"/>
    </row>
    <row r="130" spans="1:4" ht="12.75" customHeight="1" x14ac:dyDescent="0.35">
      <c r="A130" s="28"/>
      <c r="B130" s="53"/>
      <c r="C130" s="28"/>
      <c r="D130" s="28"/>
    </row>
    <row r="131" spans="1:4" ht="12.75" customHeight="1" x14ac:dyDescent="0.35">
      <c r="A131" s="28"/>
      <c r="B131" s="28"/>
      <c r="C131" s="28" t="s">
        <v>2793</v>
      </c>
      <c r="D131" s="28"/>
    </row>
    <row r="132" spans="1:4" ht="12.75" customHeight="1" x14ac:dyDescent="0.35">
      <c r="A132" s="28"/>
      <c r="B132" s="28"/>
      <c r="C132" s="28"/>
      <c r="D132" s="28"/>
    </row>
    <row r="133" spans="1:4" ht="12.75" customHeight="1" x14ac:dyDescent="0.35">
      <c r="A133" s="28"/>
      <c r="B133" s="28"/>
      <c r="C133" s="28"/>
      <c r="D133" s="28"/>
    </row>
    <row r="134" spans="1:4" ht="12.75" customHeight="1" x14ac:dyDescent="0.35">
      <c r="A134" s="28"/>
      <c r="B134" s="28"/>
      <c r="C134" s="28"/>
      <c r="D134" s="28"/>
    </row>
    <row r="135" spans="1:4" ht="12.75" customHeight="1" x14ac:dyDescent="0.35">
      <c r="A135" s="28"/>
      <c r="B135" s="28"/>
      <c r="C135" s="104" t="s">
        <v>2794</v>
      </c>
      <c r="D135" s="28"/>
    </row>
    <row r="136" spans="1:4" ht="12.75" customHeight="1" x14ac:dyDescent="0.35">
      <c r="A136" s="28"/>
      <c r="B136" s="28"/>
      <c r="C136" s="28"/>
      <c r="D136" s="28"/>
    </row>
    <row r="137" spans="1:4" ht="12.75" customHeight="1" x14ac:dyDescent="0.35">
      <c r="A137" s="28"/>
      <c r="B137" s="28"/>
      <c r="C137" s="28"/>
      <c r="D137" s="28"/>
    </row>
    <row r="138" spans="1:4" ht="12.75" customHeight="1" x14ac:dyDescent="0.35">
      <c r="A138" s="28"/>
      <c r="B138" s="28"/>
      <c r="C138" s="28"/>
      <c r="D138" s="28"/>
    </row>
    <row r="139" spans="1:4" ht="12.75" customHeight="1" x14ac:dyDescent="0.35">
      <c r="A139" s="28"/>
      <c r="B139" s="28"/>
      <c r="C139" s="28"/>
      <c r="D139" s="28"/>
    </row>
    <row r="140" spans="1:4" ht="12.75" customHeight="1" x14ac:dyDescent="0.35">
      <c r="A140" s="28"/>
      <c r="B140" s="53"/>
      <c r="C140" s="28"/>
      <c r="D140" s="28"/>
    </row>
    <row r="141" spans="1:4" ht="12.75" customHeight="1" x14ac:dyDescent="0.35">
      <c r="A141" s="28"/>
      <c r="B141" s="28"/>
      <c r="C141" s="28" t="s">
        <v>2793</v>
      </c>
      <c r="D141" s="28"/>
    </row>
    <row r="142" spans="1:4" ht="12.75" customHeight="1" x14ac:dyDescent="0.35">
      <c r="A142" s="28"/>
      <c r="B142" s="28"/>
      <c r="C142" s="28"/>
      <c r="D142" s="28"/>
    </row>
    <row r="143" spans="1:4" ht="12.75" customHeight="1" x14ac:dyDescent="0.35">
      <c r="A143" s="28"/>
      <c r="B143" s="28"/>
      <c r="C143" s="28"/>
      <c r="D143" s="28"/>
    </row>
    <row r="144" spans="1:4" ht="12.75" customHeight="1" x14ac:dyDescent="0.35">
      <c r="A144" s="28"/>
      <c r="B144" s="28"/>
      <c r="C144" s="28"/>
      <c r="D144" s="28"/>
    </row>
    <row r="145" spans="1:4" ht="12.75" customHeight="1" x14ac:dyDescent="0.35">
      <c r="A145" s="28"/>
      <c r="B145" s="28"/>
      <c r="C145" s="104" t="s">
        <v>2794</v>
      </c>
      <c r="D145" s="28"/>
    </row>
    <row r="146" spans="1:4" ht="12.75" customHeight="1" x14ac:dyDescent="0.35">
      <c r="A146" s="28"/>
      <c r="B146" s="28"/>
      <c r="C146" s="28"/>
      <c r="D146" s="28"/>
    </row>
    <row r="147" spans="1:4" ht="12.75" customHeight="1" x14ac:dyDescent="0.35">
      <c r="A147" s="28"/>
      <c r="B147" s="28"/>
      <c r="C147" s="28"/>
      <c r="D147" s="28"/>
    </row>
    <row r="148" spans="1:4" ht="12.75" customHeight="1" x14ac:dyDescent="0.35">
      <c r="A148" s="28"/>
      <c r="B148" s="28"/>
      <c r="C148" s="28"/>
      <c r="D148" s="28"/>
    </row>
    <row r="149" spans="1:4" ht="12.75" customHeight="1" x14ac:dyDescent="0.35">
      <c r="A149" s="28"/>
      <c r="B149" s="28"/>
      <c r="C149" s="28"/>
      <c r="D149" s="28"/>
    </row>
    <row r="150" spans="1:4" ht="12.75" customHeight="1" x14ac:dyDescent="0.35">
      <c r="A150" s="28"/>
      <c r="B150" s="53" t="s">
        <v>4862</v>
      </c>
      <c r="C150" s="28"/>
      <c r="D150" s="28"/>
    </row>
    <row r="151" spans="1:4" ht="12.75" customHeight="1" x14ac:dyDescent="0.35">
      <c r="A151" s="28"/>
      <c r="B151" s="28"/>
      <c r="C151" s="28" t="s">
        <v>2793</v>
      </c>
      <c r="D151" s="28"/>
    </row>
    <row r="152" spans="1:4" ht="12.75" customHeight="1" x14ac:dyDescent="0.35">
      <c r="A152" s="28"/>
      <c r="B152" s="53"/>
      <c r="C152" s="28"/>
      <c r="D152" s="28"/>
    </row>
    <row r="153" spans="1:4" ht="12.75" customHeight="1" x14ac:dyDescent="0.35">
      <c r="A153" s="28"/>
      <c r="B153" s="53"/>
      <c r="C153" s="28"/>
      <c r="D153" s="28"/>
    </row>
    <row r="154" spans="1:4" ht="12.75" customHeight="1" x14ac:dyDescent="0.35">
      <c r="A154" s="28"/>
      <c r="B154" s="53" t="s">
        <v>4862</v>
      </c>
      <c r="C154" s="28"/>
      <c r="D154" s="28"/>
    </row>
    <row r="155" spans="1:4" ht="12.75" customHeight="1" x14ac:dyDescent="0.35">
      <c r="A155" s="28"/>
      <c r="B155" s="53"/>
      <c r="C155" s="104" t="s">
        <v>2794</v>
      </c>
      <c r="D155" s="28"/>
    </row>
    <row r="156" spans="1:4" ht="12.75" customHeight="1" x14ac:dyDescent="0.35">
      <c r="A156" s="28"/>
      <c r="B156" s="53"/>
      <c r="C156" s="28"/>
      <c r="D156" s="28"/>
    </row>
    <row r="157" spans="1:4" ht="12.75" customHeight="1" x14ac:dyDescent="0.35">
      <c r="A157" s="28"/>
      <c r="B157" s="53"/>
      <c r="C157" s="28"/>
      <c r="D157" s="28"/>
    </row>
    <row r="158" spans="1:4" ht="12.75" customHeight="1" x14ac:dyDescent="0.35">
      <c r="A158" s="28"/>
      <c r="B158" s="53"/>
      <c r="C158" s="28"/>
      <c r="D158" s="28"/>
    </row>
    <row r="159" spans="1:4" ht="12.75" customHeight="1" x14ac:dyDescent="0.35">
      <c r="A159" s="28"/>
      <c r="B159" s="53"/>
      <c r="C159" s="28"/>
      <c r="D159" s="28"/>
    </row>
    <row r="160" spans="1:4" ht="12.75" customHeight="1" x14ac:dyDescent="0.35">
      <c r="A160" s="28"/>
      <c r="B160" s="53" t="s">
        <v>4862</v>
      </c>
      <c r="C160" s="28"/>
      <c r="D160" s="28"/>
    </row>
    <row r="161" spans="1:4" ht="12.75" customHeight="1" x14ac:dyDescent="0.35">
      <c r="A161" s="28"/>
      <c r="B161" s="53"/>
      <c r="C161" s="28" t="s">
        <v>2793</v>
      </c>
      <c r="D161" s="28"/>
    </row>
    <row r="162" spans="1:4" ht="12.75" customHeight="1" x14ac:dyDescent="0.35">
      <c r="A162" s="28"/>
      <c r="B162" s="53"/>
      <c r="C162" s="28"/>
      <c r="D162" s="28"/>
    </row>
    <row r="163" spans="1:4" ht="12.75" customHeight="1" x14ac:dyDescent="0.35">
      <c r="A163" s="28"/>
      <c r="B163" s="53"/>
      <c r="C163" s="28"/>
      <c r="D163" s="28"/>
    </row>
    <row r="164" spans="1:4" ht="12.75" customHeight="1" x14ac:dyDescent="0.35">
      <c r="A164" s="28"/>
      <c r="B164" s="53" t="s">
        <v>4862</v>
      </c>
      <c r="C164" s="28"/>
      <c r="D164" s="28"/>
    </row>
    <row r="165" spans="1:4" ht="12.75" customHeight="1" x14ac:dyDescent="0.35">
      <c r="A165" s="28"/>
      <c r="B165" s="53"/>
      <c r="C165" s="104" t="s">
        <v>2794</v>
      </c>
      <c r="D165" s="28"/>
    </row>
    <row r="166" spans="1:4" ht="12.75" customHeight="1" x14ac:dyDescent="0.35">
      <c r="A166" s="28"/>
      <c r="B166" s="53"/>
      <c r="C166" s="28"/>
      <c r="D166" s="28"/>
    </row>
    <row r="167" spans="1:4" ht="12.75" customHeight="1" x14ac:dyDescent="0.35">
      <c r="A167" s="28"/>
      <c r="B167" s="53"/>
      <c r="C167" s="28"/>
      <c r="D167" s="28"/>
    </row>
    <row r="168" spans="1:4" ht="12.75" customHeight="1" x14ac:dyDescent="0.35">
      <c r="A168" s="28"/>
      <c r="B168" s="53"/>
      <c r="C168" s="28"/>
      <c r="D168" s="28"/>
    </row>
    <row r="169" spans="1:4" ht="12.75" customHeight="1" x14ac:dyDescent="0.35">
      <c r="A169" s="28"/>
      <c r="B169" s="53"/>
      <c r="C169" s="28"/>
      <c r="D169" s="28"/>
    </row>
    <row r="170" spans="1:4" ht="12.75" customHeight="1" x14ac:dyDescent="0.35">
      <c r="A170" s="28"/>
      <c r="B170" s="53" t="s">
        <v>4862</v>
      </c>
      <c r="C170" s="28"/>
      <c r="D170" s="28"/>
    </row>
    <row r="171" spans="1:4" ht="12.75" customHeight="1" x14ac:dyDescent="0.35">
      <c r="A171" s="28"/>
      <c r="B171" s="28"/>
      <c r="C171" s="28" t="s">
        <v>2793</v>
      </c>
      <c r="D171" s="28"/>
    </row>
    <row r="172" spans="1:4" ht="12.75" customHeight="1" x14ac:dyDescent="0.35">
      <c r="A172" s="28"/>
      <c r="B172" s="28"/>
      <c r="C172" s="28"/>
      <c r="D172" s="28"/>
    </row>
    <row r="173" spans="1:4" ht="12.75" customHeight="1" x14ac:dyDescent="0.35">
      <c r="A173" s="28"/>
      <c r="B173" s="28"/>
      <c r="C173" s="28"/>
      <c r="D173" s="28"/>
    </row>
    <row r="174" spans="1:4" ht="12.75" customHeight="1" x14ac:dyDescent="0.35">
      <c r="A174" s="28"/>
      <c r="B174" s="28" t="s">
        <v>4862</v>
      </c>
      <c r="C174" s="28"/>
      <c r="D174" s="28"/>
    </row>
    <row r="175" spans="1:4" ht="12.75" customHeight="1" x14ac:dyDescent="0.35">
      <c r="A175" s="28"/>
      <c r="B175" s="28"/>
      <c r="C175" s="104" t="s">
        <v>2794</v>
      </c>
      <c r="D175" s="28"/>
    </row>
    <row r="176" spans="1:4" ht="12.75" customHeight="1" x14ac:dyDescent="0.35">
      <c r="A176" s="28"/>
      <c r="B176" s="28"/>
      <c r="C176" s="28"/>
      <c r="D176" s="28"/>
    </row>
    <row r="177" spans="1:4" ht="12.75" customHeight="1" x14ac:dyDescent="0.35">
      <c r="A177" s="28"/>
      <c r="B177" s="28"/>
      <c r="C177" s="28"/>
      <c r="D177" s="28"/>
    </row>
    <row r="178" spans="1:4" ht="12.75" customHeight="1" x14ac:dyDescent="0.35">
      <c r="A178" s="28"/>
      <c r="B178" s="28"/>
      <c r="C178" s="28"/>
      <c r="D178" s="28"/>
    </row>
    <row r="179" spans="1:4" ht="12.75" customHeight="1" x14ac:dyDescent="0.35">
      <c r="A179" s="28"/>
      <c r="B179" s="28"/>
      <c r="C179" s="28"/>
      <c r="D179" s="28"/>
    </row>
    <row r="180" spans="1:4" ht="12.75" customHeight="1" x14ac:dyDescent="0.35">
      <c r="A180" s="28"/>
      <c r="B180" s="53" t="s">
        <v>4862</v>
      </c>
      <c r="C180" s="28"/>
      <c r="D180" s="28"/>
    </row>
    <row r="181" spans="1:4" ht="12.75" customHeight="1" x14ac:dyDescent="0.35">
      <c r="A181" s="28"/>
      <c r="B181" s="28"/>
      <c r="C181" s="28" t="s">
        <v>2793</v>
      </c>
      <c r="D181" s="28"/>
    </row>
    <row r="182" spans="1:4" ht="12.75" customHeight="1" x14ac:dyDescent="0.35">
      <c r="A182" s="28"/>
      <c r="B182" s="28"/>
      <c r="C182" s="28"/>
      <c r="D182" s="28"/>
    </row>
    <row r="183" spans="1:4" ht="12.75" customHeight="1" x14ac:dyDescent="0.35">
      <c r="A183" s="28"/>
      <c r="B183" s="28"/>
      <c r="C183" s="28"/>
      <c r="D183" s="28"/>
    </row>
    <row r="184" spans="1:4" ht="12.75" customHeight="1" x14ac:dyDescent="0.35">
      <c r="A184" s="28"/>
      <c r="B184" s="28" t="s">
        <v>4862</v>
      </c>
      <c r="C184" s="28"/>
      <c r="D184" s="28"/>
    </row>
    <row r="185" spans="1:4" ht="12.75" customHeight="1" x14ac:dyDescent="0.35">
      <c r="A185" s="28"/>
      <c r="B185" s="28"/>
      <c r="C185" s="104" t="s">
        <v>2794</v>
      </c>
      <c r="D185" s="28"/>
    </row>
    <row r="186" spans="1:4" ht="12.75" customHeight="1" x14ac:dyDescent="0.35">
      <c r="A186" s="28"/>
      <c r="B186" s="28"/>
      <c r="C186" s="28"/>
      <c r="D186" s="28"/>
    </row>
    <row r="187" spans="1:4" ht="12.75" customHeight="1" x14ac:dyDescent="0.35">
      <c r="A187" s="28"/>
      <c r="B187" s="28"/>
      <c r="C187" s="28"/>
      <c r="D187" s="28"/>
    </row>
    <row r="188" spans="1:4" ht="12.75" customHeight="1" x14ac:dyDescent="0.35">
      <c r="A188" s="28"/>
      <c r="B188" s="28"/>
      <c r="C188" s="28"/>
      <c r="D188" s="28"/>
    </row>
    <row r="189" spans="1:4" ht="12.75" customHeight="1" x14ac:dyDescent="0.35">
      <c r="A189" s="28"/>
      <c r="B189" s="28"/>
      <c r="C189" s="28"/>
      <c r="D189" s="28"/>
    </row>
    <row r="190" spans="1:4" ht="12.75" customHeight="1" x14ac:dyDescent="0.35">
      <c r="A190" s="28"/>
      <c r="B190" s="53" t="s">
        <v>4862</v>
      </c>
      <c r="C190" s="28"/>
      <c r="D190" s="28"/>
    </row>
    <row r="191" spans="1:4" ht="12.75" customHeight="1" x14ac:dyDescent="0.35">
      <c r="A191" s="28"/>
      <c r="B191" s="28"/>
      <c r="C191" s="28" t="s">
        <v>2793</v>
      </c>
      <c r="D191" s="28"/>
    </row>
    <row r="192" spans="1:4" ht="12.75" customHeight="1" x14ac:dyDescent="0.35">
      <c r="A192" s="28"/>
      <c r="B192" s="28"/>
      <c r="C192" s="28"/>
      <c r="D192" s="28"/>
    </row>
    <row r="193" spans="1:4" ht="12.75" customHeight="1" x14ac:dyDescent="0.35">
      <c r="A193" s="28"/>
      <c r="B193" s="28"/>
      <c r="C193" s="28"/>
      <c r="D193" s="28"/>
    </row>
    <row r="194" spans="1:4" ht="12.75" customHeight="1" x14ac:dyDescent="0.35">
      <c r="A194" s="28"/>
      <c r="B194" s="28" t="s">
        <v>4862</v>
      </c>
      <c r="C194" s="28"/>
      <c r="D194" s="28"/>
    </row>
    <row r="195" spans="1:4" ht="12.75" customHeight="1" x14ac:dyDescent="0.35">
      <c r="A195" s="28"/>
      <c r="B195" s="28"/>
      <c r="C195" s="104" t="s">
        <v>2794</v>
      </c>
      <c r="D195" s="28"/>
    </row>
    <row r="196" spans="1:4" ht="12.75" customHeight="1" x14ac:dyDescent="0.35">
      <c r="A196" s="28"/>
      <c r="B196" s="28"/>
      <c r="C196" s="28"/>
      <c r="D196" s="28"/>
    </row>
    <row r="197" spans="1:4" ht="12.75" customHeight="1" x14ac:dyDescent="0.35">
      <c r="A197" s="28"/>
      <c r="B197" s="28"/>
      <c r="C197" s="28"/>
      <c r="D197" s="28"/>
    </row>
    <row r="198" spans="1:4" ht="12.75" customHeight="1" x14ac:dyDescent="0.35">
      <c r="A198" s="28"/>
      <c r="B198" s="28"/>
      <c r="C198" s="28"/>
      <c r="D198" s="28"/>
    </row>
    <row r="199" spans="1:4" ht="12.75" customHeight="1" x14ac:dyDescent="0.35">
      <c r="A199" s="28"/>
      <c r="B199" s="28"/>
      <c r="C199" s="28"/>
      <c r="D199" s="28"/>
    </row>
    <row r="200" spans="1:4" ht="12.75" customHeight="1" x14ac:dyDescent="0.35">
      <c r="A200" s="28"/>
      <c r="B200" s="53" t="s">
        <v>4862</v>
      </c>
      <c r="C200" s="28"/>
      <c r="D200" s="28"/>
    </row>
    <row r="201" spans="1:4" ht="12.75" customHeight="1" x14ac:dyDescent="0.35">
      <c r="A201" s="28"/>
      <c r="B201" s="53"/>
      <c r="C201" s="28" t="s">
        <v>2793</v>
      </c>
      <c r="D201" s="28"/>
    </row>
    <row r="202" spans="1:4" ht="12.75" customHeight="1" x14ac:dyDescent="0.35">
      <c r="A202" s="28"/>
      <c r="B202" s="53"/>
      <c r="C202" s="28"/>
      <c r="D202" s="28"/>
    </row>
    <row r="203" spans="1:4" ht="12.75" customHeight="1" x14ac:dyDescent="0.35">
      <c r="A203" s="28"/>
      <c r="B203" s="53"/>
      <c r="C203" s="28"/>
      <c r="D203" s="28"/>
    </row>
    <row r="204" spans="1:4" ht="12.75" customHeight="1" x14ac:dyDescent="0.35">
      <c r="A204" s="28"/>
      <c r="B204" s="53" t="s">
        <v>4862</v>
      </c>
      <c r="C204" s="28"/>
      <c r="D204" s="28"/>
    </row>
    <row r="205" spans="1:4" ht="12.75" customHeight="1" x14ac:dyDescent="0.35">
      <c r="A205" s="28"/>
      <c r="B205" s="53"/>
      <c r="C205" s="104" t="s">
        <v>2794</v>
      </c>
      <c r="D205" s="28"/>
    </row>
    <row r="206" spans="1:4" ht="12.75" customHeight="1" x14ac:dyDescent="0.35">
      <c r="A206" s="28"/>
      <c r="B206" s="53"/>
      <c r="C206" s="28"/>
      <c r="D206" s="28"/>
    </row>
    <row r="207" spans="1:4" ht="12.75" customHeight="1" x14ac:dyDescent="0.35">
      <c r="A207" s="28"/>
      <c r="B207" s="53"/>
      <c r="C207" s="28"/>
      <c r="D207" s="28"/>
    </row>
    <row r="208" spans="1:4" ht="12.75" customHeight="1" x14ac:dyDescent="0.35">
      <c r="A208" s="28"/>
      <c r="B208" s="53"/>
      <c r="C208" s="28"/>
      <c r="D208" s="28"/>
    </row>
    <row r="209" spans="1:4" ht="12.75" customHeight="1" x14ac:dyDescent="0.35">
      <c r="A209" s="28"/>
      <c r="B209" s="53"/>
      <c r="C209" s="28"/>
      <c r="D209" s="28"/>
    </row>
    <row r="210" spans="1:4" ht="12.75" customHeight="1" x14ac:dyDescent="0.35">
      <c r="A210" s="28"/>
      <c r="B210" s="53" t="s">
        <v>4862</v>
      </c>
      <c r="C210" s="28"/>
      <c r="D210" s="28"/>
    </row>
    <row r="211" spans="1:4" ht="12.75" customHeight="1" x14ac:dyDescent="0.35">
      <c r="A211" s="28"/>
      <c r="B211" s="53"/>
      <c r="C211" s="28" t="s">
        <v>2793</v>
      </c>
      <c r="D211" s="28"/>
    </row>
    <row r="212" spans="1:4" ht="12.75" customHeight="1" x14ac:dyDescent="0.35">
      <c r="A212" s="28"/>
      <c r="B212" s="53"/>
      <c r="C212" s="28"/>
      <c r="D212" s="28"/>
    </row>
    <row r="213" spans="1:4" ht="12.75" customHeight="1" x14ac:dyDescent="0.35">
      <c r="A213" s="28"/>
      <c r="B213" s="53"/>
      <c r="C213" s="28"/>
      <c r="D213" s="28"/>
    </row>
    <row r="214" spans="1:4" ht="12.75" customHeight="1" x14ac:dyDescent="0.35">
      <c r="A214" s="28"/>
      <c r="B214" s="53" t="s">
        <v>4862</v>
      </c>
      <c r="C214" s="28"/>
      <c r="D214" s="28"/>
    </row>
    <row r="215" spans="1:4" ht="12.75" customHeight="1" x14ac:dyDescent="0.35">
      <c r="A215" s="28"/>
      <c r="B215" s="53"/>
      <c r="C215" s="104" t="s">
        <v>2794</v>
      </c>
      <c r="D215" s="28"/>
    </row>
    <row r="216" spans="1:4" ht="12.75" customHeight="1" x14ac:dyDescent="0.35">
      <c r="A216" s="28"/>
      <c r="B216" s="53"/>
      <c r="C216" s="28"/>
      <c r="D216" s="28"/>
    </row>
    <row r="217" spans="1:4" ht="12.75" customHeight="1" x14ac:dyDescent="0.35">
      <c r="A217" s="28"/>
      <c r="B217" s="53"/>
      <c r="C217" s="28"/>
      <c r="D217" s="28"/>
    </row>
    <row r="218" spans="1:4" ht="12.75" customHeight="1" x14ac:dyDescent="0.35">
      <c r="A218" s="28"/>
      <c r="B218" s="53"/>
      <c r="C218" s="28"/>
      <c r="D218" s="28"/>
    </row>
    <row r="219" spans="1:4" ht="12.75" customHeight="1" x14ac:dyDescent="0.35">
      <c r="A219" s="28"/>
      <c r="B219" s="53"/>
      <c r="C219" s="28"/>
      <c r="D219" s="28"/>
    </row>
    <row r="220" spans="1:4" ht="12.75" customHeight="1" x14ac:dyDescent="0.35">
      <c r="A220" s="28"/>
      <c r="B220" s="53" t="s">
        <v>4862</v>
      </c>
      <c r="C220" s="28"/>
      <c r="D220" s="28"/>
    </row>
    <row r="221" spans="1:4" ht="12.75" customHeight="1" x14ac:dyDescent="0.35">
      <c r="A221" s="28"/>
      <c r="B221" s="28"/>
      <c r="C221" s="28" t="s">
        <v>2793</v>
      </c>
      <c r="D221" s="28"/>
    </row>
    <row r="222" spans="1:4" ht="12.75" customHeight="1" x14ac:dyDescent="0.35">
      <c r="A222" s="28"/>
      <c r="B222" s="28"/>
      <c r="C222" s="28"/>
      <c r="D222" s="28"/>
    </row>
    <row r="223" spans="1:4" ht="12.75" customHeight="1" x14ac:dyDescent="0.35">
      <c r="A223" s="28"/>
      <c r="B223" s="28"/>
      <c r="C223" s="28"/>
      <c r="D223" s="28"/>
    </row>
    <row r="224" spans="1:4" ht="12.75" customHeight="1" x14ac:dyDescent="0.35">
      <c r="A224" s="28"/>
      <c r="B224" s="28" t="s">
        <v>4862</v>
      </c>
      <c r="C224" s="28"/>
      <c r="D224" s="28"/>
    </row>
    <row r="225" spans="1:4" ht="12.75" customHeight="1" x14ac:dyDescent="0.35">
      <c r="A225" s="28"/>
      <c r="B225" s="28"/>
      <c r="C225" s="104" t="s">
        <v>2794</v>
      </c>
      <c r="D225" s="28"/>
    </row>
    <row r="226" spans="1:4" ht="12.75" customHeight="1" x14ac:dyDescent="0.35">
      <c r="A226" s="28"/>
      <c r="B226" s="28"/>
      <c r="C226" s="28"/>
      <c r="D226" s="28"/>
    </row>
    <row r="227" spans="1:4" ht="12.75" customHeight="1" x14ac:dyDescent="0.35">
      <c r="A227" s="28"/>
      <c r="B227" s="28"/>
      <c r="C227" s="28"/>
      <c r="D227" s="28"/>
    </row>
    <row r="228" spans="1:4" ht="12.75" customHeight="1" x14ac:dyDescent="0.35">
      <c r="A228" s="28"/>
      <c r="B228" s="28"/>
      <c r="C228" s="28"/>
      <c r="D228" s="28"/>
    </row>
    <row r="229" spans="1:4" ht="12.75" customHeight="1" x14ac:dyDescent="0.35">
      <c r="A229" s="28"/>
      <c r="B229" s="28"/>
      <c r="D229" s="28"/>
    </row>
    <row r="230" spans="1:4" ht="12.75" customHeight="1" x14ac:dyDescent="0.35">
      <c r="A230" s="28"/>
      <c r="B230" s="53" t="s">
        <v>4862</v>
      </c>
      <c r="C230" s="28"/>
      <c r="D230" s="28"/>
    </row>
    <row r="231" spans="1:4" ht="12.75" customHeight="1" x14ac:dyDescent="0.35">
      <c r="A231" s="28"/>
      <c r="B231" s="28"/>
      <c r="C231" s="28" t="s">
        <v>2793</v>
      </c>
      <c r="D231" s="28"/>
    </row>
    <row r="232" spans="1:4" ht="12.75" customHeight="1" x14ac:dyDescent="0.35">
      <c r="A232" s="28"/>
      <c r="B232" s="28"/>
      <c r="C232" s="28"/>
      <c r="D232" s="28"/>
    </row>
    <row r="233" spans="1:4" ht="12.75" customHeight="1" x14ac:dyDescent="0.35">
      <c r="A233" s="28"/>
      <c r="B233" s="28"/>
      <c r="C233" s="28"/>
      <c r="D233" s="28"/>
    </row>
    <row r="234" spans="1:4" ht="12.75" customHeight="1" x14ac:dyDescent="0.35">
      <c r="A234" s="28"/>
      <c r="B234" s="28" t="s">
        <v>4862</v>
      </c>
      <c r="C234" s="28"/>
      <c r="D234" s="28"/>
    </row>
    <row r="235" spans="1:4" ht="12.75" customHeight="1" x14ac:dyDescent="0.35">
      <c r="A235" s="28"/>
      <c r="B235" s="28"/>
      <c r="C235" s="104" t="s">
        <v>2794</v>
      </c>
      <c r="D235" s="28"/>
    </row>
    <row r="236" spans="1:4" ht="12.75" customHeight="1" x14ac:dyDescent="0.35">
      <c r="A236" s="28"/>
      <c r="B236" s="28"/>
      <c r="C236" s="28"/>
      <c r="D236" s="28"/>
    </row>
    <row r="237" spans="1:4" ht="12.75" customHeight="1" x14ac:dyDescent="0.35">
      <c r="A237" s="28"/>
      <c r="B237" s="28"/>
      <c r="C237" s="28"/>
      <c r="D237" s="28"/>
    </row>
    <row r="238" spans="1:4" ht="12.75" customHeight="1" x14ac:dyDescent="0.35">
      <c r="A238" s="28"/>
      <c r="B238" s="28"/>
      <c r="C238" s="28"/>
      <c r="D238" s="28"/>
    </row>
    <row r="239" spans="1:4" ht="12.75" customHeight="1" x14ac:dyDescent="0.35">
      <c r="A239" s="28"/>
      <c r="B239" s="28"/>
      <c r="C239" s="28"/>
      <c r="D239" s="28"/>
    </row>
    <row r="240" spans="1:4" ht="12.75" customHeight="1" x14ac:dyDescent="0.35">
      <c r="A240" s="28"/>
      <c r="B240" s="53" t="s">
        <v>4862</v>
      </c>
      <c r="C240" s="28"/>
      <c r="D240" s="28"/>
    </row>
    <row r="241" spans="1:4" ht="12.75" customHeight="1" x14ac:dyDescent="0.35">
      <c r="A241" s="28"/>
      <c r="B241" s="28"/>
      <c r="C241" s="28" t="s">
        <v>2793</v>
      </c>
      <c r="D241" s="28"/>
    </row>
    <row r="242" spans="1:4" ht="12.75" customHeight="1" x14ac:dyDescent="0.35">
      <c r="A242" s="28"/>
      <c r="B242" s="28"/>
      <c r="C242" s="28"/>
      <c r="D242" s="28"/>
    </row>
    <row r="243" spans="1:4" ht="12.75" customHeight="1" x14ac:dyDescent="0.35">
      <c r="A243" s="28"/>
      <c r="B243" s="28"/>
      <c r="C243" s="28"/>
      <c r="D243" s="28"/>
    </row>
    <row r="244" spans="1:4" ht="12.75" customHeight="1" x14ac:dyDescent="0.35">
      <c r="A244" s="28"/>
      <c r="B244" s="28" t="s">
        <v>4862</v>
      </c>
      <c r="C244" s="28"/>
      <c r="D244" s="28"/>
    </row>
    <row r="245" spans="1:4" ht="12.75" customHeight="1" x14ac:dyDescent="0.35">
      <c r="A245" s="28"/>
      <c r="B245" s="28"/>
      <c r="C245" s="104" t="s">
        <v>2794</v>
      </c>
      <c r="D245" s="28"/>
    </row>
    <row r="246" spans="1:4" ht="12.75" customHeight="1" x14ac:dyDescent="0.35">
      <c r="A246" s="28"/>
      <c r="B246" s="28"/>
      <c r="C246" s="28"/>
      <c r="D246" s="28"/>
    </row>
    <row r="247" spans="1:4" ht="12.75" customHeight="1" x14ac:dyDescent="0.35">
      <c r="A247" s="28"/>
      <c r="B247" s="28"/>
      <c r="C247" s="28"/>
      <c r="D247" s="28"/>
    </row>
    <row r="248" spans="1:4" ht="12.75" customHeight="1" x14ac:dyDescent="0.35">
      <c r="A248" s="28"/>
      <c r="B248" s="28"/>
      <c r="C248" s="28"/>
      <c r="D248" s="28"/>
    </row>
    <row r="249" spans="1:4" ht="12.75" customHeight="1" x14ac:dyDescent="0.35">
      <c r="A249" s="28"/>
      <c r="B249" s="28"/>
      <c r="C249" s="28"/>
      <c r="D249" s="28"/>
    </row>
    <row r="250" spans="1:4" ht="12.75" customHeight="1" x14ac:dyDescent="0.35">
      <c r="A250" s="28"/>
      <c r="B250" s="53" t="s">
        <v>4862</v>
      </c>
      <c r="C250" s="28"/>
      <c r="D250" s="28"/>
    </row>
    <row r="251" spans="1:4" ht="12.75" customHeight="1" x14ac:dyDescent="0.35">
      <c r="A251" s="28"/>
      <c r="B251" s="28"/>
      <c r="C251" s="28" t="s">
        <v>2793</v>
      </c>
      <c r="D251" s="28"/>
    </row>
    <row r="252" spans="1:4" ht="12.75" customHeight="1" x14ac:dyDescent="0.35">
      <c r="A252" s="28"/>
      <c r="B252" s="28"/>
      <c r="C252" s="28"/>
      <c r="D252" s="28"/>
    </row>
    <row r="253" spans="1:4" ht="12.75" customHeight="1" x14ac:dyDescent="0.35">
      <c r="A253" s="28"/>
      <c r="B253" s="28"/>
      <c r="C253" s="28"/>
      <c r="D253" s="28"/>
    </row>
    <row r="254" spans="1:4" ht="12.75" customHeight="1" x14ac:dyDescent="0.35">
      <c r="A254" s="28"/>
      <c r="B254" s="28" t="s">
        <v>4862</v>
      </c>
      <c r="C254" s="28"/>
      <c r="D254" s="28"/>
    </row>
    <row r="255" spans="1:4" ht="12.75" customHeight="1" x14ac:dyDescent="0.35">
      <c r="A255" s="28"/>
      <c r="B255" s="28"/>
      <c r="C255" s="104" t="s">
        <v>2794</v>
      </c>
      <c r="D255" s="28"/>
    </row>
    <row r="256" spans="1:4" ht="12.75" customHeight="1" x14ac:dyDescent="0.35">
      <c r="A256" s="28"/>
      <c r="B256" s="28"/>
      <c r="C256" s="28"/>
      <c r="D256" s="28"/>
    </row>
    <row r="257" spans="1:4" ht="12.75" customHeight="1" x14ac:dyDescent="0.35">
      <c r="A257" s="28"/>
      <c r="B257" s="28"/>
      <c r="C257" s="28"/>
      <c r="D257" s="28"/>
    </row>
    <row r="258" spans="1:4" ht="12.75" customHeight="1" x14ac:dyDescent="0.35">
      <c r="A258" s="28"/>
      <c r="B258" s="28"/>
      <c r="C258" s="28"/>
      <c r="D258" s="28"/>
    </row>
    <row r="259" spans="1:4" ht="12.75" customHeight="1" x14ac:dyDescent="0.35">
      <c r="A259" s="28"/>
      <c r="B259" s="28"/>
      <c r="C259" s="28"/>
      <c r="D259" s="28"/>
    </row>
    <row r="260" spans="1:4" ht="12.75" customHeight="1" x14ac:dyDescent="0.35">
      <c r="A260" s="28"/>
      <c r="B260" s="53" t="s">
        <v>4862</v>
      </c>
      <c r="C260" s="28"/>
      <c r="D260" s="28"/>
    </row>
    <row r="261" spans="1:4" ht="12.75" customHeight="1" x14ac:dyDescent="0.35">
      <c r="A261" s="28"/>
      <c r="B261" s="28"/>
      <c r="C261" s="28" t="s">
        <v>2793</v>
      </c>
      <c r="D261" s="28"/>
    </row>
    <row r="262" spans="1:4" ht="12.75" customHeight="1" x14ac:dyDescent="0.35">
      <c r="A262" s="28"/>
      <c r="B262" s="28"/>
      <c r="C262" s="28"/>
      <c r="D262" s="28"/>
    </row>
    <row r="263" spans="1:4" ht="12.75" customHeight="1" x14ac:dyDescent="0.35">
      <c r="A263" s="28"/>
      <c r="B263" s="28"/>
      <c r="C263" s="28"/>
      <c r="D263" s="28"/>
    </row>
    <row r="264" spans="1:4" ht="12.75" customHeight="1" x14ac:dyDescent="0.35">
      <c r="A264" s="28"/>
      <c r="B264" s="28" t="s">
        <v>4862</v>
      </c>
      <c r="C264" s="28"/>
      <c r="D264" s="28"/>
    </row>
    <row r="265" spans="1:4" ht="12.75" customHeight="1" x14ac:dyDescent="0.35">
      <c r="A265" s="28"/>
      <c r="B265" s="28"/>
      <c r="C265" s="104" t="s">
        <v>2794</v>
      </c>
      <c r="D265" s="28"/>
    </row>
    <row r="266" spans="1:4" ht="12.75" customHeight="1" x14ac:dyDescent="0.35">
      <c r="A266" s="28"/>
      <c r="B266" s="28"/>
      <c r="C266" s="28"/>
      <c r="D266" s="28"/>
    </row>
    <row r="267" spans="1:4" ht="12.75" customHeight="1" x14ac:dyDescent="0.35">
      <c r="A267" s="28"/>
      <c r="B267" s="28"/>
      <c r="C267" s="28"/>
      <c r="D267" s="28"/>
    </row>
    <row r="268" spans="1:4" ht="12.75" customHeight="1" x14ac:dyDescent="0.35">
      <c r="A268" s="28"/>
      <c r="B268" s="28"/>
      <c r="C268" s="28"/>
      <c r="D268" s="28"/>
    </row>
    <row r="269" spans="1:4" ht="12.75" customHeight="1" x14ac:dyDescent="0.35">
      <c r="A269" s="28"/>
      <c r="B269" s="28"/>
      <c r="C269" s="28"/>
      <c r="D269" s="28"/>
    </row>
    <row r="270" spans="1:4" ht="12.75" customHeight="1" x14ac:dyDescent="0.35">
      <c r="A270" s="28"/>
      <c r="B270" s="53" t="s">
        <v>4862</v>
      </c>
      <c r="C270" s="28"/>
      <c r="D270" s="28"/>
    </row>
    <row r="271" spans="1:4" ht="12.75" customHeight="1" x14ac:dyDescent="0.35">
      <c r="A271" s="28"/>
      <c r="B271" s="28"/>
      <c r="C271" s="28" t="s">
        <v>2793</v>
      </c>
      <c r="D271" s="28"/>
    </row>
    <row r="272" spans="1:4" ht="12.75" customHeight="1" x14ac:dyDescent="0.35">
      <c r="A272" s="28"/>
      <c r="B272" s="28"/>
      <c r="C272" s="28"/>
      <c r="D272" s="28"/>
    </row>
    <row r="273" spans="1:4" ht="12.75" customHeight="1" x14ac:dyDescent="0.35">
      <c r="A273" s="28"/>
      <c r="B273" s="28"/>
      <c r="C273" s="28"/>
      <c r="D273" s="28"/>
    </row>
    <row r="274" spans="1:4" ht="12.75" customHeight="1" x14ac:dyDescent="0.35">
      <c r="A274" s="28"/>
      <c r="B274" s="28" t="s">
        <v>4862</v>
      </c>
      <c r="C274" s="28"/>
      <c r="D274" s="28"/>
    </row>
    <row r="275" spans="1:4" ht="12.75" customHeight="1" x14ac:dyDescent="0.35">
      <c r="A275" s="28"/>
      <c r="B275" s="28"/>
      <c r="C275" s="104" t="s">
        <v>2794</v>
      </c>
      <c r="D275" s="28"/>
    </row>
    <row r="276" spans="1:4" ht="12.75" customHeight="1" x14ac:dyDescent="0.35">
      <c r="A276" s="28"/>
      <c r="B276" s="28"/>
      <c r="C276" s="28"/>
      <c r="D276" s="28"/>
    </row>
    <row r="277" spans="1:4" ht="12.75" customHeight="1" x14ac:dyDescent="0.35">
      <c r="A277" s="28"/>
      <c r="B277" s="28"/>
      <c r="C277" s="28"/>
      <c r="D277" s="28"/>
    </row>
    <row r="278" spans="1:4" ht="12.75" customHeight="1" x14ac:dyDescent="0.35">
      <c r="A278" s="28"/>
      <c r="B278" s="28"/>
      <c r="C278" s="28"/>
      <c r="D278" s="28"/>
    </row>
    <row r="279" spans="1:4" ht="12.75" customHeight="1" x14ac:dyDescent="0.35">
      <c r="A279" s="28"/>
      <c r="B279" s="28"/>
      <c r="C279" s="28"/>
      <c r="D279" s="28"/>
    </row>
    <row r="280" spans="1:4" ht="12.75" customHeight="1" x14ac:dyDescent="0.35">
      <c r="A280" s="28"/>
      <c r="B280" s="53" t="s">
        <v>4862</v>
      </c>
      <c r="C280" s="28"/>
      <c r="D280" s="28"/>
    </row>
    <row r="281" spans="1:4" ht="12.75" customHeight="1" x14ac:dyDescent="0.35">
      <c r="A281" s="28"/>
      <c r="B281" s="28"/>
      <c r="C281" s="28" t="s">
        <v>2793</v>
      </c>
      <c r="D281" s="28"/>
    </row>
    <row r="282" spans="1:4" ht="12.75" customHeight="1" x14ac:dyDescent="0.35">
      <c r="A282" s="28"/>
      <c r="B282" s="28"/>
      <c r="C282" s="28"/>
      <c r="D282" s="28"/>
    </row>
    <row r="283" spans="1:4" ht="12.75" customHeight="1" x14ac:dyDescent="0.35">
      <c r="A283" s="28"/>
      <c r="B283" s="28"/>
      <c r="C283" s="28"/>
      <c r="D283" s="28"/>
    </row>
    <row r="284" spans="1:4" ht="12.75" customHeight="1" x14ac:dyDescent="0.35">
      <c r="A284" s="28"/>
      <c r="B284" s="28" t="s">
        <v>4862</v>
      </c>
      <c r="C284" s="28"/>
      <c r="D284" s="28"/>
    </row>
    <row r="285" spans="1:4" ht="12.75" customHeight="1" x14ac:dyDescent="0.35">
      <c r="A285" s="28"/>
      <c r="B285" s="28"/>
      <c r="C285" s="104" t="s">
        <v>2794</v>
      </c>
      <c r="D285" s="28"/>
    </row>
    <row r="286" spans="1:4" ht="12.75" customHeight="1" x14ac:dyDescent="0.35">
      <c r="A286" s="28"/>
      <c r="B286" s="28"/>
      <c r="C286" s="28"/>
      <c r="D286" s="28"/>
    </row>
    <row r="287" spans="1:4" ht="12.75" customHeight="1" x14ac:dyDescent="0.35">
      <c r="A287" s="28"/>
      <c r="B287" s="28"/>
      <c r="C287" s="28"/>
      <c r="D287" s="28"/>
    </row>
    <row r="288" spans="1:4" ht="12.75" customHeight="1" x14ac:dyDescent="0.35">
      <c r="A288" s="28"/>
      <c r="B288" s="28"/>
      <c r="C288" s="28"/>
      <c r="D288" s="28"/>
    </row>
    <row r="289" spans="1:4" ht="12.75" customHeight="1" x14ac:dyDescent="0.35">
      <c r="A289" s="28"/>
      <c r="B289" s="28"/>
      <c r="C289" s="28"/>
      <c r="D289" s="28"/>
    </row>
    <row r="290" spans="1:4" ht="12.75" customHeight="1" x14ac:dyDescent="0.35">
      <c r="A290" s="28"/>
      <c r="B290" s="53" t="s">
        <v>4862</v>
      </c>
      <c r="C290" s="28"/>
      <c r="D290" s="28"/>
    </row>
    <row r="291" spans="1:4" ht="12.75" customHeight="1" x14ac:dyDescent="0.35">
      <c r="A291" s="28"/>
      <c r="B291" s="28"/>
      <c r="C291" s="28" t="s">
        <v>2793</v>
      </c>
      <c r="D291" s="28"/>
    </row>
    <row r="292" spans="1:4" ht="12.75" customHeight="1" x14ac:dyDescent="0.35">
      <c r="A292" s="28"/>
      <c r="B292" s="28"/>
      <c r="C292" s="28"/>
      <c r="D292" s="28"/>
    </row>
    <row r="293" spans="1:4" ht="12.75" customHeight="1" x14ac:dyDescent="0.35">
      <c r="A293" s="28"/>
      <c r="B293" s="28"/>
      <c r="C293" s="28"/>
      <c r="D293" s="28"/>
    </row>
    <row r="294" spans="1:4" ht="12.75" customHeight="1" x14ac:dyDescent="0.35">
      <c r="A294" s="28"/>
      <c r="B294" s="28" t="s">
        <v>4862</v>
      </c>
      <c r="C294" s="28"/>
      <c r="D294" s="28"/>
    </row>
    <row r="295" spans="1:4" ht="12.75" customHeight="1" x14ac:dyDescent="0.35">
      <c r="A295" s="28"/>
      <c r="B295" s="28"/>
      <c r="C295" s="104" t="s">
        <v>2794</v>
      </c>
      <c r="D295" s="28"/>
    </row>
    <row r="296" spans="1:4" ht="12.75" customHeight="1" x14ac:dyDescent="0.35">
      <c r="A296" s="28"/>
      <c r="B296" s="28"/>
      <c r="C296" s="28"/>
      <c r="D296" s="28"/>
    </row>
    <row r="297" spans="1:4" ht="12.75" customHeight="1" x14ac:dyDescent="0.35">
      <c r="A297" s="28"/>
      <c r="B297" s="28"/>
      <c r="C297" s="28"/>
      <c r="D297" s="28"/>
    </row>
    <row r="298" spans="1:4" ht="12.75" customHeight="1" x14ac:dyDescent="0.35">
      <c r="A298" s="28"/>
      <c r="B298" s="28"/>
      <c r="C298" s="28"/>
      <c r="D298" s="28"/>
    </row>
    <row r="299" spans="1:4" ht="12.75" customHeight="1" x14ac:dyDescent="0.35">
      <c r="A299" s="28"/>
      <c r="B299" s="28"/>
      <c r="C299" s="28"/>
      <c r="D299" s="28"/>
    </row>
    <row r="300" spans="1:4" ht="12.75" customHeight="1" x14ac:dyDescent="0.35">
      <c r="A300" s="28"/>
      <c r="B300" s="53" t="s">
        <v>4862</v>
      </c>
      <c r="C300" s="28"/>
      <c r="D300" s="28"/>
    </row>
    <row r="301" spans="1:4" ht="12.75" customHeight="1" x14ac:dyDescent="0.35">
      <c r="A301" s="28"/>
      <c r="B301" s="28"/>
      <c r="C301" s="28" t="s">
        <v>2793</v>
      </c>
      <c r="D301" s="28"/>
    </row>
    <row r="302" spans="1:4" ht="12.75" customHeight="1" x14ac:dyDescent="0.35">
      <c r="A302" s="28"/>
      <c r="B302" s="28"/>
      <c r="C302" s="28"/>
      <c r="D302" s="28"/>
    </row>
    <row r="303" spans="1:4" ht="12.75" customHeight="1" x14ac:dyDescent="0.35">
      <c r="A303" s="28"/>
      <c r="B303" s="28"/>
      <c r="C303" s="28"/>
      <c r="D303" s="28"/>
    </row>
    <row r="304" spans="1:4" ht="12.75" customHeight="1" x14ac:dyDescent="0.35">
      <c r="A304" s="28"/>
      <c r="B304" s="28" t="s">
        <v>4862</v>
      </c>
      <c r="C304" s="28"/>
      <c r="D304" s="28"/>
    </row>
    <row r="305" spans="1:4" ht="12.75" customHeight="1" x14ac:dyDescent="0.35">
      <c r="A305" s="28"/>
      <c r="B305" s="28"/>
      <c r="C305" s="104" t="s">
        <v>2794</v>
      </c>
      <c r="D305" s="28"/>
    </row>
    <row r="306" spans="1:4" ht="12.75" customHeight="1" x14ac:dyDescent="0.35">
      <c r="A306" s="28"/>
      <c r="B306" s="28"/>
      <c r="C306" s="28"/>
      <c r="D306" s="28"/>
    </row>
    <row r="307" spans="1:4" ht="12.75" customHeight="1" x14ac:dyDescent="0.35">
      <c r="A307" s="28"/>
      <c r="B307" s="28"/>
      <c r="C307" s="28"/>
      <c r="D307" s="28"/>
    </row>
    <row r="308" spans="1:4" ht="12.75" customHeight="1" x14ac:dyDescent="0.35">
      <c r="A308" s="28"/>
      <c r="B308" s="28"/>
      <c r="C308" s="28"/>
      <c r="D308" s="28"/>
    </row>
    <row r="309" spans="1:4" ht="12.75" customHeight="1" x14ac:dyDescent="0.35">
      <c r="A309" s="28"/>
      <c r="B309" s="28"/>
      <c r="C309" s="28"/>
      <c r="D309" s="28"/>
    </row>
    <row r="310" spans="1:4" ht="12.75" customHeight="1" x14ac:dyDescent="0.35">
      <c r="A310" s="28"/>
      <c r="B310" s="53" t="s">
        <v>4862</v>
      </c>
      <c r="C310" s="28"/>
      <c r="D310" s="28"/>
    </row>
    <row r="311" spans="1:4" ht="12.75" customHeight="1" x14ac:dyDescent="0.35">
      <c r="A311" s="28"/>
      <c r="B311" s="28"/>
      <c r="C311" s="28" t="s">
        <v>2793</v>
      </c>
      <c r="D311" s="28"/>
    </row>
    <row r="312" spans="1:4" ht="12.75" customHeight="1" x14ac:dyDescent="0.35">
      <c r="A312" s="28"/>
      <c r="B312" s="28"/>
      <c r="C312" s="28"/>
      <c r="D312" s="28"/>
    </row>
    <row r="313" spans="1:4" ht="12.75" customHeight="1" x14ac:dyDescent="0.35">
      <c r="A313" s="28"/>
      <c r="B313" s="28"/>
      <c r="C313" s="28"/>
      <c r="D313" s="28"/>
    </row>
    <row r="314" spans="1:4" ht="12.75" customHeight="1" x14ac:dyDescent="0.35">
      <c r="A314" s="28"/>
      <c r="B314" s="28" t="s">
        <v>4862</v>
      </c>
      <c r="C314" s="28"/>
      <c r="D314" s="28"/>
    </row>
    <row r="315" spans="1:4" ht="12.75" customHeight="1" x14ac:dyDescent="0.35">
      <c r="A315" s="28"/>
      <c r="B315" s="28"/>
      <c r="C315" s="104" t="s">
        <v>2794</v>
      </c>
      <c r="D315" s="28"/>
    </row>
    <row r="316" spans="1:4" ht="12.75" customHeight="1" x14ac:dyDescent="0.35">
      <c r="A316" s="28"/>
      <c r="B316" s="28"/>
      <c r="C316" s="28"/>
      <c r="D316" s="28"/>
    </row>
    <row r="317" spans="1:4" ht="12.75" customHeight="1" x14ac:dyDescent="0.35">
      <c r="A317" s="28"/>
      <c r="B317" s="28"/>
      <c r="C317" s="28"/>
      <c r="D317" s="28"/>
    </row>
    <row r="318" spans="1:4" ht="12.75" customHeight="1" x14ac:dyDescent="0.35">
      <c r="A318" s="28"/>
      <c r="B318" s="28" t="s">
        <v>2795</v>
      </c>
      <c r="C318" s="28"/>
      <c r="D318" s="28"/>
    </row>
    <row r="319" spans="1:4" ht="12.75" customHeight="1" x14ac:dyDescent="0.35">
      <c r="A319" s="28"/>
      <c r="B319" s="28" t="s">
        <v>2796</v>
      </c>
      <c r="C319" s="28"/>
      <c r="D319" s="28"/>
    </row>
    <row r="320" spans="1:4" ht="12.75" customHeight="1" x14ac:dyDescent="0.35">
      <c r="A320" s="28"/>
      <c r="B320" s="28" t="s">
        <v>2797</v>
      </c>
      <c r="C320" s="28"/>
      <c r="D320" s="28"/>
    </row>
    <row r="321" spans="1:4" ht="12.75" customHeight="1" x14ac:dyDescent="0.35">
      <c r="A321" s="28"/>
      <c r="B321" s="28" t="s">
        <v>2798</v>
      </c>
      <c r="C321" s="28"/>
      <c r="D321" s="28"/>
    </row>
    <row r="322" spans="1:4" ht="12.75" customHeight="1" x14ac:dyDescent="0.35">
      <c r="A322" s="28"/>
      <c r="B322" s="28" t="s">
        <v>2793</v>
      </c>
      <c r="C322" s="28"/>
      <c r="D322" s="28"/>
    </row>
    <row r="323" spans="1:4" ht="12.75" customHeight="1" x14ac:dyDescent="0.35">
      <c r="A323" s="28"/>
      <c r="B323" s="28" t="s">
        <v>2799</v>
      </c>
      <c r="C323" s="28"/>
      <c r="D323" s="28"/>
    </row>
    <row r="324" spans="1:4" ht="12.75" customHeight="1" x14ac:dyDescent="0.35">
      <c r="A324" s="28"/>
      <c r="B324" s="28" t="s">
        <v>2796</v>
      </c>
      <c r="C324" s="28"/>
      <c r="D324" s="28"/>
    </row>
    <row r="325" spans="1:4" ht="12.75" customHeight="1" x14ac:dyDescent="0.35">
      <c r="A325" s="28"/>
      <c r="B325" s="28" t="s">
        <v>2791</v>
      </c>
      <c r="C325" s="28"/>
      <c r="D325" s="28"/>
    </row>
    <row r="326" spans="1:4" ht="12.75" customHeight="1" x14ac:dyDescent="0.35">
      <c r="A326" s="28"/>
      <c r="B326" s="28" t="s">
        <v>2798</v>
      </c>
      <c r="C326" s="28"/>
      <c r="D326" s="28"/>
    </row>
    <row r="327" spans="1:4" ht="12.75" customHeight="1" x14ac:dyDescent="0.35">
      <c r="A327" s="28"/>
      <c r="B327" s="28" t="s">
        <v>2800</v>
      </c>
      <c r="C327" s="28"/>
      <c r="D327" s="28"/>
    </row>
    <row r="328" spans="1:4" ht="12.75" customHeight="1" x14ac:dyDescent="0.35">
      <c r="A328" s="28"/>
      <c r="B328" s="28"/>
      <c r="C328" s="28"/>
      <c r="D328" s="28"/>
    </row>
    <row r="329" spans="1:4" ht="12.75" customHeight="1" x14ac:dyDescent="0.35">
      <c r="A329" s="28"/>
      <c r="B329" s="28" t="s">
        <v>2801</v>
      </c>
      <c r="C329" s="28"/>
      <c r="D329" s="28"/>
    </row>
    <row r="330" spans="1:4" ht="12.75" customHeight="1" x14ac:dyDescent="0.35">
      <c r="A330" s="28"/>
      <c r="B330" s="28" t="s">
        <v>2802</v>
      </c>
      <c r="C330" s="28"/>
      <c r="D330" s="28"/>
    </row>
    <row r="331" spans="1:4" ht="12.75" customHeight="1" x14ac:dyDescent="0.35">
      <c r="A331" s="28"/>
      <c r="B331" s="28" t="s">
        <v>2803</v>
      </c>
      <c r="C331" s="28"/>
      <c r="D331" s="28"/>
    </row>
    <row r="332" spans="1:4" ht="12.75" customHeight="1" x14ac:dyDescent="0.35">
      <c r="A332" s="28"/>
      <c r="B332" s="28" t="s">
        <v>2804</v>
      </c>
      <c r="C332" s="28"/>
      <c r="D332" s="28"/>
    </row>
    <row r="333" spans="1:4" ht="12.75" customHeight="1" x14ac:dyDescent="0.35">
      <c r="A333" s="28"/>
      <c r="B333" s="28" t="s">
        <v>2805</v>
      </c>
      <c r="C333" s="28"/>
      <c r="D333" s="28"/>
    </row>
    <row r="334" spans="1:4" ht="12.75" customHeight="1" x14ac:dyDescent="0.35">
      <c r="A334" s="28"/>
      <c r="B334" s="28"/>
      <c r="C334" s="28"/>
      <c r="D334" s="28"/>
    </row>
    <row r="335" spans="1:4" ht="12.75" customHeight="1" x14ac:dyDescent="0.35">
      <c r="A335" s="28"/>
      <c r="B335" s="28" t="s">
        <v>2806</v>
      </c>
      <c r="C335" s="28"/>
      <c r="D335" s="28" t="s">
        <v>2807</v>
      </c>
    </row>
    <row r="336" spans="1:4" ht="12.75" customHeight="1" x14ac:dyDescent="0.35">
      <c r="A336" s="28"/>
      <c r="B336" s="28" t="s">
        <v>2808</v>
      </c>
      <c r="C336" s="28"/>
      <c r="D336" s="28"/>
    </row>
    <row r="337" spans="1:4" ht="12.75" customHeight="1" x14ac:dyDescent="0.35">
      <c r="A337" s="28"/>
      <c r="B337" s="28" t="s">
        <v>2809</v>
      </c>
      <c r="C337" s="28"/>
      <c r="D337" s="28"/>
    </row>
    <row r="338" spans="1:4" ht="12.75" customHeight="1" x14ac:dyDescent="0.35">
      <c r="A338" s="28"/>
      <c r="B338" s="28" t="s">
        <v>2810</v>
      </c>
      <c r="C338" s="28"/>
      <c r="D338" s="28"/>
    </row>
    <row r="339" spans="1:4" ht="12.75" customHeight="1" x14ac:dyDescent="0.35">
      <c r="A339" s="28"/>
      <c r="B339" s="28" t="s">
        <v>2811</v>
      </c>
      <c r="C339" s="28"/>
      <c r="D339" s="28"/>
    </row>
    <row r="340" spans="1:4" ht="12.75" customHeight="1" x14ac:dyDescent="0.35">
      <c r="A340" s="28"/>
      <c r="B340" s="28" t="s">
        <v>2812</v>
      </c>
      <c r="C340" s="28"/>
      <c r="D340" s="28"/>
    </row>
    <row r="341" spans="1:4" ht="12.75" customHeight="1" x14ac:dyDescent="0.35">
      <c r="A341" s="28"/>
      <c r="B341" s="28" t="s">
        <v>2813</v>
      </c>
      <c r="C341" s="28"/>
      <c r="D341" s="28"/>
    </row>
    <row r="342" spans="1:4" ht="12.75" customHeight="1" x14ac:dyDescent="0.35">
      <c r="A342" s="28"/>
      <c r="B342" s="28" t="s">
        <v>2814</v>
      </c>
      <c r="C342" s="28"/>
      <c r="D342" s="28"/>
    </row>
    <row r="343" spans="1:4" ht="12.75" customHeight="1" x14ac:dyDescent="0.35">
      <c r="A343" s="28"/>
      <c r="B343" s="28" t="s">
        <v>2815</v>
      </c>
      <c r="C343" s="28"/>
      <c r="D343" s="28"/>
    </row>
    <row r="344" spans="1:4" ht="12.75" customHeight="1" x14ac:dyDescent="0.35">
      <c r="A344" s="28"/>
      <c r="B344" s="28" t="s">
        <v>2816</v>
      </c>
      <c r="C344" s="28"/>
      <c r="D344" s="28"/>
    </row>
    <row r="345" spans="1:4" ht="12.75" customHeight="1" x14ac:dyDescent="0.35">
      <c r="A345" s="28"/>
      <c r="B345" s="28" t="s">
        <v>2817</v>
      </c>
      <c r="C345" s="28"/>
      <c r="D345" s="28"/>
    </row>
    <row r="346" spans="1:4" ht="12.75" customHeight="1" x14ac:dyDescent="0.35">
      <c r="A346" s="28"/>
      <c r="B346" s="28" t="s">
        <v>2818</v>
      </c>
      <c r="C346" s="28"/>
      <c r="D346" s="28"/>
    </row>
    <row r="347" spans="1:4" ht="12.75" customHeight="1" x14ac:dyDescent="0.35">
      <c r="A347" s="28"/>
      <c r="B347" s="28"/>
      <c r="C347" s="194" t="s">
        <v>5283</v>
      </c>
      <c r="D347" s="28"/>
    </row>
    <row r="348" spans="1:4" ht="12.75" customHeight="1" x14ac:dyDescent="0.35">
      <c r="A348" s="28"/>
      <c r="B348" s="28"/>
      <c r="C348" s="28"/>
      <c r="D348" s="28"/>
    </row>
    <row r="349" spans="1:4" ht="12.75" customHeight="1" x14ac:dyDescent="0.35">
      <c r="A349" s="28"/>
      <c r="B349" s="28"/>
      <c r="C349" s="28" t="s">
        <v>2819</v>
      </c>
      <c r="D349" s="28"/>
    </row>
    <row r="350" spans="1:4" ht="12.75" customHeight="1" x14ac:dyDescent="0.35">
      <c r="A350" s="28"/>
      <c r="B350" s="28"/>
      <c r="C350" s="28" t="s">
        <v>2262</v>
      </c>
      <c r="D350" s="28"/>
    </row>
    <row r="351" spans="1:4" ht="12.75" customHeight="1" x14ac:dyDescent="0.35">
      <c r="A351" s="28"/>
      <c r="B351" s="28"/>
      <c r="C351" s="28" t="s">
        <v>2820</v>
      </c>
      <c r="D351" s="28"/>
    </row>
    <row r="352" spans="1:4" ht="12.75" customHeight="1" x14ac:dyDescent="0.35">
      <c r="A352" s="28"/>
      <c r="B352" s="28"/>
      <c r="C352" s="28"/>
      <c r="D352" s="28"/>
    </row>
    <row r="353" spans="1:4" ht="12.75" customHeight="1" x14ac:dyDescent="0.35">
      <c r="A353" s="28"/>
      <c r="B353" s="28"/>
      <c r="C353" s="28"/>
      <c r="D353" s="28"/>
    </row>
    <row r="354" spans="1:4" ht="12.75" customHeight="1" x14ac:dyDescent="0.35">
      <c r="A354" s="28"/>
      <c r="B354" s="28"/>
      <c r="C354" s="28"/>
      <c r="D354" s="28"/>
    </row>
    <row r="355" spans="1:4" ht="12.75" customHeight="1" x14ac:dyDescent="0.35">
      <c r="A355" s="28"/>
      <c r="B355" s="28"/>
      <c r="C355" s="28"/>
      <c r="D355" s="28"/>
    </row>
    <row r="356" spans="1:4" ht="12.75" customHeight="1" x14ac:dyDescent="0.35">
      <c r="A356" s="28"/>
      <c r="B356" s="28"/>
      <c r="C356" s="28"/>
      <c r="D356" s="28"/>
    </row>
    <row r="357" spans="1:4" ht="12.75" customHeight="1" x14ac:dyDescent="0.35">
      <c r="A357" s="28"/>
      <c r="B357" s="28"/>
      <c r="C357" s="28"/>
      <c r="D357" s="28"/>
    </row>
    <row r="358" spans="1:4" ht="12.75" customHeight="1" x14ac:dyDescent="0.35">
      <c r="A358" s="28"/>
      <c r="B358" s="28"/>
      <c r="C358" s="28"/>
      <c r="D358" s="28"/>
    </row>
    <row r="359" spans="1:4" ht="12.75" customHeight="1" x14ac:dyDescent="0.35">
      <c r="A359" s="28"/>
      <c r="B359" s="28"/>
      <c r="C359" s="28"/>
      <c r="D359" s="28"/>
    </row>
    <row r="360" spans="1:4" ht="12.75" customHeight="1" x14ac:dyDescent="0.35">
      <c r="A360" s="28"/>
      <c r="B360" s="28"/>
      <c r="C360" s="28"/>
      <c r="D360" s="28"/>
    </row>
    <row r="361" spans="1:4" ht="12.75" customHeight="1" x14ac:dyDescent="0.35">
      <c r="A361" s="28"/>
      <c r="B361" s="28"/>
      <c r="C361" s="28"/>
      <c r="D361" s="28"/>
    </row>
    <row r="362" spans="1:4" ht="12.75" customHeight="1" x14ac:dyDescent="0.35">
      <c r="A362" s="28"/>
      <c r="B362" s="28"/>
      <c r="C362" s="28"/>
      <c r="D362" s="28"/>
    </row>
    <row r="363" spans="1:4" ht="12.75" customHeight="1" x14ac:dyDescent="0.35">
      <c r="A363" s="28"/>
      <c r="B363" s="28"/>
      <c r="C363" s="28"/>
      <c r="D363" s="28"/>
    </row>
    <row r="364" spans="1:4" ht="12.75" customHeight="1" x14ac:dyDescent="0.35">
      <c r="A364" s="28"/>
      <c r="B364" s="28"/>
      <c r="C364" s="28"/>
      <c r="D364" s="28"/>
    </row>
    <row r="365" spans="1:4" ht="12.75" customHeight="1" x14ac:dyDescent="0.35">
      <c r="A365" s="28"/>
      <c r="B365" s="28"/>
      <c r="C365" s="28"/>
      <c r="D365" s="28"/>
    </row>
    <row r="366" spans="1:4" ht="12.75" customHeight="1" x14ac:dyDescent="0.35">
      <c r="A366" s="28"/>
      <c r="B366" s="28"/>
      <c r="C366" s="28"/>
      <c r="D366" s="28"/>
    </row>
    <row r="367" spans="1:4" ht="12.75" customHeight="1" x14ac:dyDescent="0.35">
      <c r="A367" s="28"/>
      <c r="B367" s="28"/>
      <c r="C367" s="28"/>
      <c r="D367" s="28"/>
    </row>
    <row r="368" spans="1:4" ht="12.75" customHeight="1" x14ac:dyDescent="0.35">
      <c r="A368" s="28"/>
      <c r="B368" s="28"/>
      <c r="C368" s="28"/>
      <c r="D368" s="28"/>
    </row>
    <row r="369" spans="1:4" ht="12.75" customHeight="1" x14ac:dyDescent="0.35">
      <c r="A369" s="28"/>
      <c r="B369" s="28"/>
      <c r="C369" s="28"/>
      <c r="D369" s="28"/>
    </row>
    <row r="370" spans="1:4" ht="12.75" customHeight="1" x14ac:dyDescent="0.35">
      <c r="A370" s="28"/>
      <c r="B370" s="28"/>
      <c r="C370" s="28"/>
      <c r="D370" s="28"/>
    </row>
    <row r="371" spans="1:4" ht="12.75" customHeight="1" x14ac:dyDescent="0.35">
      <c r="A371" s="28"/>
      <c r="B371" s="28"/>
      <c r="C371" s="28"/>
      <c r="D371" s="28"/>
    </row>
    <row r="372" spans="1:4" ht="12.75" customHeight="1" x14ac:dyDescent="0.35">
      <c r="A372" s="28"/>
      <c r="B372" s="28"/>
      <c r="C372" s="28"/>
      <c r="D372" s="28"/>
    </row>
    <row r="373" spans="1:4" ht="12.75" customHeight="1" x14ac:dyDescent="0.35">
      <c r="A373" s="28"/>
      <c r="B373" s="28"/>
      <c r="C373" s="28"/>
      <c r="D373" s="28"/>
    </row>
    <row r="374" spans="1:4" ht="12.75" customHeight="1" x14ac:dyDescent="0.35">
      <c r="A374" s="28"/>
      <c r="B374" s="28"/>
      <c r="C374" s="28"/>
      <c r="D374" s="28"/>
    </row>
    <row r="375" spans="1:4" ht="12.75" customHeight="1" x14ac:dyDescent="0.35">
      <c r="A375" s="28"/>
      <c r="B375" s="28"/>
      <c r="C375" s="28"/>
      <c r="D375" s="28"/>
    </row>
    <row r="376" spans="1:4" ht="12.75" customHeight="1" x14ac:dyDescent="0.35">
      <c r="A376" s="28"/>
      <c r="B376" s="28"/>
      <c r="C376" s="28"/>
      <c r="D376" s="28"/>
    </row>
    <row r="377" spans="1:4" ht="12.75" customHeight="1" x14ac:dyDescent="0.35">
      <c r="A377" s="28"/>
      <c r="B377" s="28"/>
      <c r="C377" s="28"/>
      <c r="D377" s="28"/>
    </row>
    <row r="378" spans="1:4" ht="12.75" customHeight="1" x14ac:dyDescent="0.35">
      <c r="A378" s="28"/>
      <c r="B378" s="28"/>
      <c r="C378" s="28"/>
      <c r="D378" s="28"/>
    </row>
    <row r="379" spans="1:4" ht="12.75" customHeight="1" x14ac:dyDescent="0.35">
      <c r="A379" s="28"/>
      <c r="B379" s="28"/>
      <c r="C379" s="28"/>
      <c r="D379" s="28"/>
    </row>
    <row r="380" spans="1:4" ht="12.75" customHeight="1" x14ac:dyDescent="0.35">
      <c r="A380" s="28"/>
      <c r="B380" s="28"/>
      <c r="C380" s="28"/>
      <c r="D380" s="28"/>
    </row>
    <row r="381" spans="1:4" ht="12.75" customHeight="1" x14ac:dyDescent="0.35">
      <c r="A381" s="28"/>
      <c r="B381" s="28"/>
      <c r="C381" s="28"/>
      <c r="D381" s="28"/>
    </row>
    <row r="382" spans="1:4" ht="12.75" customHeight="1" x14ac:dyDescent="0.35">
      <c r="A382" s="28"/>
      <c r="B382" s="28"/>
      <c r="C382" s="28"/>
      <c r="D382" s="28"/>
    </row>
    <row r="383" spans="1:4" ht="12.75" customHeight="1" x14ac:dyDescent="0.35">
      <c r="A383" s="28"/>
      <c r="B383" s="28"/>
      <c r="C383" s="28"/>
      <c r="D383" s="28"/>
    </row>
    <row r="384" spans="1:4" ht="12.75" customHeight="1" x14ac:dyDescent="0.35">
      <c r="A384" s="28"/>
      <c r="B384" s="28"/>
      <c r="C384" s="28"/>
      <c r="D384" s="28"/>
    </row>
    <row r="385" spans="1:4" ht="12.75" customHeight="1" x14ac:dyDescent="0.35">
      <c r="A385" s="28"/>
      <c r="B385" s="28"/>
      <c r="C385" s="28" t="s">
        <v>2821</v>
      </c>
      <c r="D385" s="28"/>
    </row>
    <row r="386" spans="1:4" ht="12.75" customHeight="1" x14ac:dyDescent="0.35">
      <c r="A386" s="28"/>
      <c r="B386" s="28"/>
      <c r="C386" s="28"/>
      <c r="D386" s="28"/>
    </row>
    <row r="387" spans="1:4" ht="12.75" customHeight="1" x14ac:dyDescent="0.35">
      <c r="A387" s="28"/>
      <c r="B387" s="28"/>
      <c r="C387" s="28"/>
      <c r="D387" s="28"/>
    </row>
    <row r="388" spans="1:4" ht="12.75" customHeight="1" x14ac:dyDescent="0.35">
      <c r="A388" s="28"/>
      <c r="B388" s="28"/>
      <c r="C388" s="28"/>
      <c r="D388" s="28"/>
    </row>
    <row r="389" spans="1:4" ht="12.75" customHeight="1" x14ac:dyDescent="0.35">
      <c r="A389" s="28"/>
      <c r="B389" s="28"/>
      <c r="C389" s="28"/>
      <c r="D389" s="28"/>
    </row>
    <row r="390" spans="1:4" ht="12.75" customHeight="1" x14ac:dyDescent="0.35">
      <c r="A390" s="28"/>
      <c r="B390" s="28"/>
      <c r="C390" s="28"/>
      <c r="D390" s="28"/>
    </row>
    <row r="391" spans="1:4" ht="12.75" customHeight="1" x14ac:dyDescent="0.35">
      <c r="A391" s="28"/>
      <c r="B391" s="28"/>
      <c r="C391" s="28"/>
      <c r="D391" s="28"/>
    </row>
    <row r="392" spans="1:4" ht="12.75" customHeight="1" x14ac:dyDescent="0.35">
      <c r="A392" s="28"/>
      <c r="B392" s="28"/>
      <c r="C392" s="28"/>
      <c r="D392" s="28"/>
    </row>
    <row r="393" spans="1:4" ht="12.75" customHeight="1" x14ac:dyDescent="0.35">
      <c r="A393" s="28"/>
      <c r="B393" s="28"/>
      <c r="C393" s="28"/>
      <c r="D393" s="28"/>
    </row>
    <row r="394" spans="1:4" ht="12.75" customHeight="1" x14ac:dyDescent="0.35">
      <c r="A394" s="28"/>
      <c r="B394" s="28"/>
      <c r="C394" s="28"/>
      <c r="D394" s="28"/>
    </row>
    <row r="395" spans="1:4" ht="12.75" customHeight="1" x14ac:dyDescent="0.35">
      <c r="A395" s="28"/>
      <c r="B395" s="28"/>
      <c r="C395" s="28"/>
      <c r="D395" s="28"/>
    </row>
    <row r="396" spans="1:4" ht="12.75" customHeight="1" x14ac:dyDescent="0.35">
      <c r="A396" s="28"/>
      <c r="B396" s="28"/>
      <c r="C396" s="28"/>
      <c r="D396" s="28"/>
    </row>
    <row r="397" spans="1:4" ht="12.75" customHeight="1" x14ac:dyDescent="0.35">
      <c r="A397" s="28"/>
      <c r="B397" s="28"/>
      <c r="C397" s="28"/>
      <c r="D397" s="28"/>
    </row>
    <row r="398" spans="1:4" ht="12.75" customHeight="1" x14ac:dyDescent="0.35">
      <c r="A398" s="28"/>
      <c r="B398" s="28"/>
      <c r="C398" s="28"/>
      <c r="D398" s="28"/>
    </row>
    <row r="399" spans="1:4" ht="12.75" customHeight="1" x14ac:dyDescent="0.35">
      <c r="A399" s="28"/>
      <c r="B399" s="28"/>
      <c r="C399" s="28"/>
      <c r="D399" s="28"/>
    </row>
    <row r="400" spans="1:4" ht="12.75" customHeight="1" x14ac:dyDescent="0.35">
      <c r="A400" s="28"/>
      <c r="B400" s="28"/>
      <c r="C400" s="28"/>
      <c r="D400" s="28"/>
    </row>
    <row r="401" spans="1:4" ht="12.75" customHeight="1" x14ac:dyDescent="0.35">
      <c r="A401" s="28"/>
      <c r="B401" s="28"/>
      <c r="C401" s="28"/>
      <c r="D401" s="28"/>
    </row>
    <row r="402" spans="1:4" ht="12.75" customHeight="1" x14ac:dyDescent="0.35">
      <c r="A402" s="28"/>
      <c r="B402" s="28"/>
      <c r="C402" s="28"/>
      <c r="D402" s="28"/>
    </row>
    <row r="403" spans="1:4" ht="12.75" customHeight="1" x14ac:dyDescent="0.35">
      <c r="A403" s="28"/>
      <c r="B403" s="28"/>
      <c r="C403" s="28"/>
      <c r="D403" s="28"/>
    </row>
    <row r="404" spans="1:4" ht="12.75" customHeight="1" x14ac:dyDescent="0.35">
      <c r="A404" s="28"/>
      <c r="B404" s="28"/>
      <c r="C404" s="28"/>
      <c r="D404" s="28"/>
    </row>
    <row r="405" spans="1:4" ht="12.75" customHeight="1" x14ac:dyDescent="0.35">
      <c r="A405" s="28"/>
      <c r="B405" s="28"/>
      <c r="C405" s="28"/>
      <c r="D405" s="28"/>
    </row>
    <row r="406" spans="1:4" ht="12.75" customHeight="1" x14ac:dyDescent="0.35">
      <c r="A406" s="28"/>
      <c r="B406" s="28"/>
      <c r="C406" s="28"/>
      <c r="D406" s="28"/>
    </row>
    <row r="407" spans="1:4" ht="12.75" customHeight="1" x14ac:dyDescent="0.35">
      <c r="A407" s="28"/>
      <c r="B407" s="28"/>
      <c r="C407" s="28"/>
      <c r="D407" s="28"/>
    </row>
    <row r="408" spans="1:4" ht="12.75" customHeight="1" x14ac:dyDescent="0.35">
      <c r="A408" s="28"/>
      <c r="B408" s="28"/>
      <c r="C408" s="28"/>
      <c r="D408" s="28"/>
    </row>
    <row r="409" spans="1:4" ht="12.75" customHeight="1" x14ac:dyDescent="0.35">
      <c r="A409" s="28"/>
      <c r="B409" s="28"/>
      <c r="C409" s="28"/>
      <c r="D409" s="28"/>
    </row>
    <row r="410" spans="1:4" ht="12.75" customHeight="1" x14ac:dyDescent="0.35">
      <c r="A410" s="28"/>
      <c r="B410" s="28"/>
      <c r="C410" s="28"/>
      <c r="D410" s="28"/>
    </row>
    <row r="411" spans="1:4" ht="12.75" customHeight="1" x14ac:dyDescent="0.35">
      <c r="A411" s="28"/>
      <c r="B411" s="28"/>
      <c r="C411" s="28"/>
      <c r="D411" s="28"/>
    </row>
    <row r="412" spans="1:4" ht="12.75" customHeight="1" x14ac:dyDescent="0.35">
      <c r="A412" s="28"/>
      <c r="B412" s="28"/>
      <c r="C412" s="28"/>
      <c r="D412" s="28"/>
    </row>
    <row r="413" spans="1:4" ht="12.75" customHeight="1" x14ac:dyDescent="0.35">
      <c r="A413" s="28"/>
      <c r="B413" s="28"/>
      <c r="C413" s="28"/>
      <c r="D413" s="28"/>
    </row>
    <row r="414" spans="1:4" ht="12.75" customHeight="1" x14ac:dyDescent="0.35">
      <c r="A414" s="28"/>
      <c r="B414" s="28"/>
      <c r="C414" s="28"/>
      <c r="D414" s="28"/>
    </row>
    <row r="415" spans="1:4" ht="12.75" customHeight="1" x14ac:dyDescent="0.35">
      <c r="A415" s="28"/>
      <c r="B415" s="28"/>
      <c r="C415" s="28"/>
      <c r="D415" s="28"/>
    </row>
    <row r="416" spans="1:4" ht="12.75" customHeight="1" x14ac:dyDescent="0.35">
      <c r="A416" s="28"/>
      <c r="B416" s="28"/>
      <c r="C416" s="28"/>
      <c r="D416" s="28"/>
    </row>
    <row r="417" spans="1:4" ht="12.75" customHeight="1" x14ac:dyDescent="0.35">
      <c r="A417" s="28"/>
      <c r="B417" s="28"/>
      <c r="C417" s="28"/>
      <c r="D417" s="28"/>
    </row>
    <row r="418" spans="1:4" ht="12.75" customHeight="1" x14ac:dyDescent="0.35">
      <c r="A418" s="28"/>
      <c r="B418" s="28"/>
      <c r="C418" s="28"/>
      <c r="D418" s="28"/>
    </row>
    <row r="419" spans="1:4" ht="12.75" customHeight="1" x14ac:dyDescent="0.35">
      <c r="A419" s="28"/>
      <c r="B419" s="28"/>
      <c r="C419" s="28"/>
      <c r="D419" s="28"/>
    </row>
    <row r="420" spans="1:4" ht="12.75" customHeight="1" x14ac:dyDescent="0.35">
      <c r="A420" s="28"/>
      <c r="B420" s="28"/>
      <c r="C420" s="28"/>
      <c r="D420" s="28"/>
    </row>
    <row r="421" spans="1:4" ht="12.75" customHeight="1" x14ac:dyDescent="0.35">
      <c r="A421" s="28"/>
      <c r="B421" s="28"/>
      <c r="C421" s="28"/>
      <c r="D421" s="28"/>
    </row>
    <row r="422" spans="1:4" ht="12.75" customHeight="1" x14ac:dyDescent="0.35">
      <c r="A422" s="28"/>
      <c r="B422" s="28"/>
      <c r="C422" s="28" t="s">
        <v>2822</v>
      </c>
      <c r="D422" s="28"/>
    </row>
    <row r="423" spans="1:4" ht="12.75" customHeight="1" x14ac:dyDescent="0.35">
      <c r="A423" s="28"/>
      <c r="B423" s="28" t="s">
        <v>529</v>
      </c>
      <c r="C423" s="28"/>
      <c r="D423" s="28"/>
    </row>
    <row r="424" spans="1:4" ht="12.75" customHeight="1" x14ac:dyDescent="0.35">
      <c r="A424" s="28"/>
      <c r="B424" s="28" t="s">
        <v>2823</v>
      </c>
      <c r="C424" s="28"/>
      <c r="D424" s="28"/>
    </row>
    <row r="425" spans="1:4" ht="12.75" customHeight="1" x14ac:dyDescent="0.35">
      <c r="A425" s="28"/>
      <c r="B425" s="28" t="s">
        <v>2262</v>
      </c>
      <c r="C425" s="28"/>
      <c r="D425" s="28"/>
    </row>
    <row r="426" spans="1:4" ht="12.75" customHeight="1" x14ac:dyDescent="0.35">
      <c r="A426" s="28"/>
      <c r="B426" s="28" t="s">
        <v>2824</v>
      </c>
      <c r="C426" s="28"/>
      <c r="D426" s="28"/>
    </row>
    <row r="427" spans="1:4" ht="12.75" customHeight="1" x14ac:dyDescent="0.35">
      <c r="A427" s="28"/>
      <c r="B427" s="28" t="s">
        <v>2825</v>
      </c>
      <c r="C427" s="28"/>
      <c r="D427" s="28"/>
    </row>
    <row r="428" spans="1:4" ht="12.75" customHeight="1" x14ac:dyDescent="0.35">
      <c r="A428" s="28"/>
      <c r="B428" s="28" t="s">
        <v>2826</v>
      </c>
      <c r="C428" s="28"/>
      <c r="D428" s="28"/>
    </row>
    <row r="429" spans="1:4" ht="12.75" customHeight="1" x14ac:dyDescent="0.35">
      <c r="A429" s="28"/>
      <c r="B429" s="28" t="s">
        <v>2827</v>
      </c>
      <c r="C429" s="28"/>
      <c r="D429" s="28"/>
    </row>
    <row r="430" spans="1:4" ht="12.75" customHeight="1" x14ac:dyDescent="0.35">
      <c r="A430" s="28"/>
      <c r="B430" s="28" t="s">
        <v>2828</v>
      </c>
      <c r="C430" s="28"/>
      <c r="D430" s="28"/>
    </row>
    <row r="431" spans="1:4" ht="12.75" customHeight="1" x14ac:dyDescent="0.35">
      <c r="A431" s="28"/>
      <c r="B431" s="28" t="s">
        <v>2829</v>
      </c>
      <c r="C431" s="28"/>
      <c r="D431" s="28"/>
    </row>
    <row r="432" spans="1:4" ht="12.75" customHeight="1" x14ac:dyDescent="0.35">
      <c r="A432" s="28"/>
      <c r="B432" s="28" t="s">
        <v>2830</v>
      </c>
      <c r="C432" s="28"/>
      <c r="D432" s="28"/>
    </row>
    <row r="433" spans="1:4" ht="12.75" customHeight="1" x14ac:dyDescent="0.35">
      <c r="A433" s="28"/>
      <c r="B433" s="28"/>
      <c r="C433" s="28"/>
      <c r="D433" s="28"/>
    </row>
    <row r="434" spans="1:4" ht="12.75" customHeight="1" x14ac:dyDescent="0.35">
      <c r="A434" s="28"/>
      <c r="B434" s="28"/>
      <c r="C434" s="28"/>
      <c r="D434" s="28"/>
    </row>
    <row r="435" spans="1:4" ht="12.75" customHeight="1" x14ac:dyDescent="0.35">
      <c r="A435" s="28"/>
      <c r="B435" s="28"/>
      <c r="C435" s="28"/>
      <c r="D435" s="28"/>
    </row>
    <row r="436" spans="1:4" ht="12.75" customHeight="1" x14ac:dyDescent="0.35">
      <c r="A436" s="28"/>
      <c r="B436" s="28"/>
      <c r="C436" s="28"/>
      <c r="D436" s="28"/>
    </row>
    <row r="437" spans="1:4" ht="12.75" customHeight="1" x14ac:dyDescent="0.35">
      <c r="A437" s="28"/>
      <c r="B437" s="28"/>
      <c r="C437" s="28"/>
      <c r="D437" s="28"/>
    </row>
    <row r="438" spans="1:4" ht="12.75" customHeight="1" x14ac:dyDescent="0.35">
      <c r="A438" s="28"/>
      <c r="B438" s="28"/>
      <c r="C438" s="28"/>
      <c r="D438" s="28"/>
    </row>
    <row r="439" spans="1:4" ht="12.75" customHeight="1" x14ac:dyDescent="0.35">
      <c r="A439" s="28"/>
      <c r="B439" s="28" t="s">
        <v>2831</v>
      </c>
      <c r="C439" s="28"/>
      <c r="D439" s="28"/>
    </row>
    <row r="440" spans="1:4" ht="12.75" customHeight="1" x14ac:dyDescent="0.35">
      <c r="A440" s="28"/>
      <c r="B440" s="28"/>
      <c r="C440" s="28"/>
      <c r="D440" s="28"/>
    </row>
    <row r="441" spans="1:4" ht="12.75" customHeight="1" x14ac:dyDescent="0.35">
      <c r="A441" s="28"/>
      <c r="B441" s="28" t="s">
        <v>2789</v>
      </c>
      <c r="C441" s="28"/>
      <c r="D441" s="28"/>
    </row>
    <row r="442" spans="1:4" ht="12.75" customHeight="1" x14ac:dyDescent="0.35">
      <c r="A442" s="28"/>
      <c r="B442" s="28" t="s">
        <v>4860</v>
      </c>
      <c r="C442" s="28"/>
      <c r="D442" s="28"/>
    </row>
    <row r="443" spans="1:4" ht="12.75" customHeight="1" x14ac:dyDescent="0.35">
      <c r="A443" s="28"/>
      <c r="B443" s="28"/>
      <c r="C443" s="28"/>
      <c r="D443" s="28"/>
    </row>
    <row r="444" spans="1:4" ht="12.75" customHeight="1" x14ac:dyDescent="0.35">
      <c r="A444" s="28"/>
      <c r="B444" s="28"/>
      <c r="C444" s="28"/>
      <c r="D444" s="28"/>
    </row>
    <row r="445" spans="1:4" ht="12.75" customHeight="1" x14ac:dyDescent="0.35">
      <c r="A445" s="28"/>
      <c r="B445" s="28"/>
      <c r="C445" s="28"/>
      <c r="D445" s="28"/>
    </row>
    <row r="446" spans="1:4" ht="12.75" customHeight="1" x14ac:dyDescent="0.35">
      <c r="A446" s="28"/>
      <c r="B446" s="28"/>
      <c r="C446" s="28"/>
      <c r="D446" s="28"/>
    </row>
    <row r="447" spans="1:4" ht="12.75" customHeight="1" x14ac:dyDescent="0.35">
      <c r="A447" s="28"/>
      <c r="B447" s="28"/>
      <c r="C447" s="28"/>
      <c r="D447" s="28"/>
    </row>
    <row r="448" spans="1:4" ht="12.75" customHeight="1" x14ac:dyDescent="0.35">
      <c r="A448" s="28"/>
      <c r="B448" s="28"/>
      <c r="C448" s="28"/>
      <c r="D448" s="28"/>
    </row>
    <row r="449" spans="1:4" ht="12.75" customHeight="1" x14ac:dyDescent="0.35">
      <c r="A449" s="28"/>
      <c r="B449" s="28"/>
      <c r="C449" s="28"/>
      <c r="D449" s="28"/>
    </row>
    <row r="450" spans="1:4" ht="12.75" customHeight="1" x14ac:dyDescent="0.35">
      <c r="A450" s="28"/>
      <c r="B450" s="28"/>
      <c r="C450" s="28"/>
      <c r="D450" s="28"/>
    </row>
    <row r="451" spans="1:4" ht="12.75" customHeight="1" x14ac:dyDescent="0.35">
      <c r="A451" s="28"/>
      <c r="B451" s="28"/>
      <c r="C451" s="28"/>
      <c r="D451" s="28"/>
    </row>
    <row r="452" spans="1:4" ht="12.75" customHeight="1" x14ac:dyDescent="0.35">
      <c r="A452" s="28"/>
      <c r="B452" s="28"/>
      <c r="C452" s="28"/>
      <c r="D452" s="28"/>
    </row>
    <row r="453" spans="1:4" ht="12.75" customHeight="1" x14ac:dyDescent="0.35">
      <c r="A453" s="28"/>
      <c r="B453" s="28" t="s">
        <v>2832</v>
      </c>
      <c r="C453" s="28"/>
      <c r="D453" s="28"/>
    </row>
    <row r="454" spans="1:4" ht="12.75" customHeight="1" x14ac:dyDescent="0.35">
      <c r="A454" s="28"/>
      <c r="B454" s="28" t="s">
        <v>5293</v>
      </c>
      <c r="C454" s="28"/>
      <c r="D454" s="28"/>
    </row>
    <row r="455" spans="1:4" ht="12.75" customHeight="1" x14ac:dyDescent="0.35">
      <c r="A455" s="28"/>
      <c r="B455" s="28" t="str">
        <f>IF(PrintMode=0,"      ","")&amp;"Rörelsens övriga intäkter"</f>
        <v xml:space="preserve">      Rörelsens övriga intäkter</v>
      </c>
      <c r="C455" s="28"/>
      <c r="D455" s="28"/>
    </row>
    <row r="456" spans="1:4" ht="12.75" customHeight="1" x14ac:dyDescent="0.35">
      <c r="A456" s="28"/>
      <c r="B456" s="28" t="s">
        <v>2833</v>
      </c>
      <c r="C456" s="28"/>
      <c r="D456" s="28"/>
    </row>
    <row r="457" spans="1:4" ht="12.75" customHeight="1" x14ac:dyDescent="0.35">
      <c r="A457" s="28"/>
      <c r="B457" s="28"/>
      <c r="C457" s="28" t="s">
        <v>2834</v>
      </c>
      <c r="D457" s="28"/>
    </row>
    <row r="458" spans="1:4" ht="12.75" customHeight="1" x14ac:dyDescent="0.35">
      <c r="A458" s="28"/>
      <c r="B458" s="28"/>
      <c r="C458" s="28" t="s">
        <v>2835</v>
      </c>
      <c r="D458" s="28"/>
    </row>
    <row r="459" spans="1:4" ht="12.75" customHeight="1" x14ac:dyDescent="0.35">
      <c r="A459" s="28"/>
      <c r="B459" s="28"/>
      <c r="C459" s="28" t="s">
        <v>2836</v>
      </c>
      <c r="D459" s="28"/>
    </row>
    <row r="460" spans="1:4" ht="12.75" customHeight="1" x14ac:dyDescent="0.35">
      <c r="A460" s="28"/>
      <c r="B460" s="28"/>
      <c r="C460" s="28" t="s">
        <v>2837</v>
      </c>
      <c r="D460" s="28"/>
    </row>
    <row r="461" spans="1:4" ht="12.75" customHeight="1" x14ac:dyDescent="0.35">
      <c r="A461" s="28"/>
      <c r="B461" s="28"/>
      <c r="C461" s="28"/>
      <c r="D461" s="28"/>
    </row>
    <row r="462" spans="1:4" ht="12.75" customHeight="1" x14ac:dyDescent="0.35">
      <c r="A462" s="28"/>
      <c r="B462" s="28"/>
      <c r="C462" s="28"/>
      <c r="D462" s="28"/>
    </row>
    <row r="463" spans="1:4" ht="12.75" customHeight="1" x14ac:dyDescent="0.35">
      <c r="A463" s="28"/>
      <c r="B463" s="28"/>
      <c r="C463" s="28"/>
      <c r="D463" s="28"/>
    </row>
    <row r="464" spans="1:4" ht="12.75" customHeight="1" x14ac:dyDescent="0.35">
      <c r="A464" s="28"/>
      <c r="B464" s="28"/>
      <c r="C464" s="28"/>
      <c r="D464" s="28"/>
    </row>
    <row r="465" spans="1:4" ht="12.75" customHeight="1" x14ac:dyDescent="0.35">
      <c r="A465" s="28"/>
      <c r="B465" s="28"/>
      <c r="C465" s="28"/>
      <c r="D465" s="28"/>
    </row>
    <row r="466" spans="1:4" ht="12.75" customHeight="1" x14ac:dyDescent="0.35">
      <c r="A466" s="28"/>
      <c r="B466" s="28"/>
      <c r="C466" s="28"/>
      <c r="D466" s="28"/>
    </row>
    <row r="467" spans="1:4" ht="12.75" customHeight="1" x14ac:dyDescent="0.35">
      <c r="A467" s="28"/>
      <c r="B467" s="28" t="s">
        <v>2838</v>
      </c>
      <c r="C467" s="28"/>
      <c r="D467" s="28"/>
    </row>
    <row r="468" spans="1:4" ht="12.75" customHeight="1" x14ac:dyDescent="0.35">
      <c r="A468" s="28"/>
      <c r="B468" s="28" t="s">
        <v>5293</v>
      </c>
      <c r="C468" s="28"/>
      <c r="D468" s="28"/>
    </row>
    <row r="469" spans="1:4" ht="12.75" customHeight="1" x14ac:dyDescent="0.35">
      <c r="A469" s="28"/>
      <c r="B469" s="28" t="s">
        <v>5294</v>
      </c>
      <c r="C469" s="28"/>
      <c r="D469" s="28"/>
    </row>
    <row r="470" spans="1:4" ht="12.75" customHeight="1" x14ac:dyDescent="0.35">
      <c r="A470" s="28"/>
      <c r="B470" s="28" t="s">
        <v>2839</v>
      </c>
      <c r="C470" s="28"/>
      <c r="D470" s="28"/>
    </row>
    <row r="471" spans="1:4" ht="12.75" customHeight="1" x14ac:dyDescent="0.35">
      <c r="A471" s="28"/>
      <c r="B471" s="28"/>
      <c r="C471" s="28" t="s">
        <v>2836</v>
      </c>
      <c r="D471" s="28"/>
    </row>
    <row r="472" spans="1:4" ht="12.75" customHeight="1" x14ac:dyDescent="0.35">
      <c r="A472" s="28"/>
      <c r="B472" s="28"/>
      <c r="C472" s="28" t="s">
        <v>2840</v>
      </c>
      <c r="D472" s="28"/>
    </row>
    <row r="473" spans="1:4" ht="12.75" customHeight="1" x14ac:dyDescent="0.35">
      <c r="A473" s="28"/>
      <c r="B473" s="28"/>
      <c r="C473" s="28" t="s">
        <v>2841</v>
      </c>
      <c r="D473" s="28"/>
    </row>
    <row r="474" spans="1:4" ht="12.75" customHeight="1" x14ac:dyDescent="0.35">
      <c r="A474" s="28"/>
      <c r="B474" s="28"/>
      <c r="C474" s="28"/>
      <c r="D474" s="28"/>
    </row>
    <row r="475" spans="1:4" ht="12.75" customHeight="1" x14ac:dyDescent="0.35">
      <c r="A475" s="28"/>
      <c r="B475" s="28"/>
      <c r="C475" s="28"/>
      <c r="D475" s="28"/>
    </row>
    <row r="476" spans="1:4" ht="12.75" customHeight="1" x14ac:dyDescent="0.35">
      <c r="A476" s="28"/>
      <c r="B476" s="28"/>
      <c r="C476" s="28"/>
      <c r="D476" s="28"/>
    </row>
    <row r="477" spans="1:4" ht="12.75" customHeight="1" x14ac:dyDescent="0.35">
      <c r="A477" s="28"/>
      <c r="B477" s="28"/>
      <c r="C477" s="28"/>
      <c r="D477" s="28"/>
    </row>
    <row r="478" spans="1:4" ht="12.75" customHeight="1" x14ac:dyDescent="0.35">
      <c r="A478" s="28"/>
      <c r="B478" s="28"/>
      <c r="C478" s="28"/>
      <c r="D478" s="28"/>
    </row>
    <row r="479" spans="1:4" ht="12.75" customHeight="1" x14ac:dyDescent="0.35">
      <c r="A479" s="28"/>
      <c r="B479" s="28"/>
      <c r="C479" s="28"/>
      <c r="D479" s="28"/>
    </row>
    <row r="480" spans="1:4" ht="12.75" customHeight="1" x14ac:dyDescent="0.35">
      <c r="A480" s="28"/>
      <c r="B480" s="28"/>
      <c r="C480" s="28"/>
      <c r="D480" s="28"/>
    </row>
    <row r="481" spans="1:4" ht="12.75" customHeight="1" x14ac:dyDescent="0.35">
      <c r="A481" s="28"/>
      <c r="B481" s="105" t="s">
        <v>2842</v>
      </c>
      <c r="C481" s="28"/>
      <c r="D481" s="28"/>
    </row>
    <row r="482" spans="1:4" ht="12.75" customHeight="1" x14ac:dyDescent="0.35">
      <c r="A482" s="28"/>
      <c r="B482" s="1241" t="s">
        <v>5355</v>
      </c>
      <c r="C482" s="28"/>
      <c r="D482" s="28"/>
    </row>
    <row r="483" spans="1:4" ht="12.75" customHeight="1" x14ac:dyDescent="0.35">
      <c r="A483" s="28"/>
      <c r="B483" s="28" t="s">
        <v>2843</v>
      </c>
      <c r="C483" s="28"/>
      <c r="D483" s="28"/>
    </row>
    <row r="484" spans="1:4" ht="12.75" customHeight="1" x14ac:dyDescent="0.35">
      <c r="A484" s="28"/>
      <c r="B484" s="28" t="s">
        <v>5293</v>
      </c>
      <c r="C484" s="28"/>
      <c r="D484" s="28"/>
    </row>
    <row r="485" spans="1:4" ht="12.75" customHeight="1" x14ac:dyDescent="0.35">
      <c r="A485" s="28"/>
      <c r="B485" s="28" t="s">
        <v>5084</v>
      </c>
      <c r="C485" s="28"/>
      <c r="D485" s="28"/>
    </row>
    <row r="486" spans="1:4" ht="12.75" customHeight="1" x14ac:dyDescent="0.35">
      <c r="A486" s="28"/>
      <c r="B486" s="28" t="s">
        <v>2797</v>
      </c>
      <c r="C486" s="28"/>
      <c r="D486" s="28"/>
    </row>
    <row r="487" spans="1:4" ht="12.75" customHeight="1" x14ac:dyDescent="0.35">
      <c r="A487" s="28"/>
      <c r="B487" s="28"/>
      <c r="C487" s="28" t="s">
        <v>2844</v>
      </c>
      <c r="D487" s="28"/>
    </row>
    <row r="488" spans="1:4" ht="12.75" customHeight="1" x14ac:dyDescent="0.35">
      <c r="A488" s="28"/>
      <c r="B488" s="28"/>
      <c r="C488" s="28" t="s">
        <v>2845</v>
      </c>
      <c r="D488" s="28"/>
    </row>
    <row r="489" spans="1:4" ht="12.75" customHeight="1" x14ac:dyDescent="0.35">
      <c r="A489" s="28"/>
      <c r="B489" s="28" t="s">
        <v>2846</v>
      </c>
      <c r="C489" s="28"/>
      <c r="D489" s="28"/>
    </row>
    <row r="490" spans="1:4" ht="12.75" customHeight="1" x14ac:dyDescent="0.35">
      <c r="A490" s="28"/>
      <c r="B490" s="28" t="s">
        <v>5293</v>
      </c>
      <c r="C490" s="28"/>
      <c r="D490" s="28"/>
    </row>
    <row r="491" spans="1:4" ht="12.75" customHeight="1" x14ac:dyDescent="0.35">
      <c r="A491" s="28"/>
      <c r="B491" s="28" t="s">
        <v>5083</v>
      </c>
      <c r="C491" s="28"/>
      <c r="D491" s="28"/>
    </row>
    <row r="492" spans="1:4" ht="12.75" customHeight="1" x14ac:dyDescent="0.35">
      <c r="A492" s="28"/>
      <c r="B492" s="28" t="s">
        <v>2847</v>
      </c>
      <c r="C492" s="28"/>
      <c r="D492" s="28"/>
    </row>
    <row r="493" spans="1:4" ht="12.75" customHeight="1" x14ac:dyDescent="0.35">
      <c r="A493" s="28"/>
      <c r="B493" s="28"/>
      <c r="C493" s="28" t="s">
        <v>2847</v>
      </c>
      <c r="D493" s="28"/>
    </row>
    <row r="494" spans="1:4" ht="12.75" customHeight="1" x14ac:dyDescent="0.35">
      <c r="A494" s="28"/>
      <c r="B494" s="28"/>
      <c r="C494" s="28" t="s">
        <v>2848</v>
      </c>
      <c r="D494" s="28"/>
    </row>
    <row r="495" spans="1:4" ht="12.75" customHeight="1" x14ac:dyDescent="0.35">
      <c r="A495" s="28"/>
      <c r="B495" s="28" t="s">
        <v>2849</v>
      </c>
      <c r="C495" s="28"/>
      <c r="D495" s="28"/>
    </row>
    <row r="496" spans="1:4" ht="12.75" customHeight="1" x14ac:dyDescent="0.35">
      <c r="A496" s="28"/>
      <c r="B496" s="28" t="s">
        <v>2850</v>
      </c>
      <c r="C496" s="28"/>
      <c r="D496" s="28"/>
    </row>
    <row r="497" spans="1:4" ht="12.75" customHeight="1" x14ac:dyDescent="0.35">
      <c r="A497" s="28"/>
      <c r="B497" s="28"/>
      <c r="C497" s="194" t="s">
        <v>5285</v>
      </c>
      <c r="D497" s="28"/>
    </row>
    <row r="498" spans="1:4" ht="12.75" customHeight="1" x14ac:dyDescent="0.35">
      <c r="A498" s="28"/>
      <c r="B498" s="28"/>
      <c r="C498" s="28" t="s">
        <v>2851</v>
      </c>
      <c r="D498" s="28"/>
    </row>
    <row r="499" spans="1:4" ht="12.75" customHeight="1" x14ac:dyDescent="0.35">
      <c r="A499" s="28"/>
      <c r="B499" s="28" t="s">
        <v>2852</v>
      </c>
      <c r="C499" s="28"/>
      <c r="D499" s="28"/>
    </row>
    <row r="500" spans="1:4" ht="12.75" customHeight="1" x14ac:dyDescent="0.35">
      <c r="A500" s="28"/>
      <c r="B500" s="28" t="s">
        <v>2853</v>
      </c>
      <c r="C500" s="28"/>
      <c r="D500" s="28"/>
    </row>
    <row r="501" spans="1:4" ht="12.75" customHeight="1" x14ac:dyDescent="0.35">
      <c r="A501" s="28"/>
      <c r="B501" s="28"/>
      <c r="C501" s="28" t="s">
        <v>2854</v>
      </c>
      <c r="D501" s="28"/>
    </row>
    <row r="502" spans="1:4" ht="12.75" customHeight="1" x14ac:dyDescent="0.35">
      <c r="A502" s="28"/>
      <c r="C502" s="28" t="str">
        <f>IF(CalculatedDepreciation,"Övriga b","B")&amp;"okslutsdispositioner, ökning (-) / minskning (+)"</f>
        <v>Bokslutsdispositioner, ökning (-) / minskning (+)</v>
      </c>
      <c r="D502" s="28"/>
    </row>
    <row r="503" spans="1:4" ht="12.75" customHeight="1" x14ac:dyDescent="0.35">
      <c r="A503" s="28"/>
      <c r="B503" s="28" t="s">
        <v>2855</v>
      </c>
      <c r="C503" s="28"/>
      <c r="D503" s="28"/>
    </row>
    <row r="504" spans="1:4" ht="12.75" customHeight="1" x14ac:dyDescent="0.35">
      <c r="A504" s="28"/>
      <c r="B504" s="105" t="s">
        <v>2856</v>
      </c>
      <c r="C504" s="28"/>
      <c r="D504" s="28"/>
    </row>
    <row r="505" spans="1:4" ht="12.75" customHeight="1" x14ac:dyDescent="0.35">
      <c r="A505" s="28"/>
      <c r="B505" s="28" t="s">
        <v>2857</v>
      </c>
      <c r="C505" s="28"/>
      <c r="D505" s="28"/>
    </row>
    <row r="506" spans="1:4" ht="12.75" customHeight="1" x14ac:dyDescent="0.35">
      <c r="A506" s="28"/>
      <c r="B506" s="28" t="s">
        <v>2858</v>
      </c>
      <c r="C506" s="28"/>
      <c r="D506" s="28"/>
    </row>
    <row r="507" spans="1:4" ht="12.75" customHeight="1" x14ac:dyDescent="0.35">
      <c r="A507" s="28"/>
      <c r="B507" s="28" t="s">
        <v>5293</v>
      </c>
      <c r="C507" s="28"/>
      <c r="D507" s="28"/>
    </row>
    <row r="508" spans="1:4" ht="12.75" customHeight="1" x14ac:dyDescent="0.35">
      <c r="A508" s="28"/>
      <c r="B508" s="28" t="s">
        <v>5295</v>
      </c>
      <c r="C508" s="28"/>
      <c r="D508" s="28"/>
    </row>
    <row r="509" spans="1:4" ht="12.75" customHeight="1" x14ac:dyDescent="0.35">
      <c r="A509" s="28"/>
      <c r="B509" s="28" t="s">
        <v>2859</v>
      </c>
      <c r="C509" s="28"/>
      <c r="D509" s="28"/>
    </row>
    <row r="510" spans="1:4" ht="12.75" customHeight="1" x14ac:dyDescent="0.35">
      <c r="A510" s="28"/>
      <c r="B510" s="28" t="s">
        <v>2860</v>
      </c>
      <c r="C510" s="28"/>
      <c r="D510" s="28"/>
    </row>
    <row r="511" spans="1:4" ht="12.75" customHeight="1" x14ac:dyDescent="0.35">
      <c r="A511" s="28"/>
      <c r="B511" s="28" t="s">
        <v>2861</v>
      </c>
      <c r="C511" s="28"/>
      <c r="D511" s="28"/>
    </row>
    <row r="512" spans="1:4" ht="12.75" customHeight="1" x14ac:dyDescent="0.35">
      <c r="A512" s="28"/>
      <c r="B512" s="28" t="s">
        <v>2862</v>
      </c>
      <c r="C512" s="28"/>
      <c r="D512" s="28"/>
    </row>
    <row r="513" spans="1:4" ht="12.75" customHeight="1" x14ac:dyDescent="0.35">
      <c r="A513" s="28"/>
      <c r="B513" s="28" t="s">
        <v>2863</v>
      </c>
      <c r="C513" s="28"/>
      <c r="D513" s="28"/>
    </row>
    <row r="514" spans="1:4" ht="12.75" customHeight="1" x14ac:dyDescent="0.35">
      <c r="A514" s="28"/>
      <c r="B514" s="28" t="s">
        <v>2864</v>
      </c>
      <c r="C514" s="28"/>
      <c r="D514" s="28"/>
    </row>
    <row r="515" spans="1:4" ht="12.75" customHeight="1" x14ac:dyDescent="0.35">
      <c r="A515" s="28"/>
      <c r="B515" s="28" t="s">
        <v>2865</v>
      </c>
      <c r="C515" s="28"/>
      <c r="D515" s="28"/>
    </row>
    <row r="516" spans="1:4" ht="12.75" customHeight="1" x14ac:dyDescent="0.35">
      <c r="A516" s="28"/>
      <c r="B516" s="28"/>
      <c r="C516" s="28"/>
      <c r="D516" s="28"/>
    </row>
    <row r="517" spans="1:4" ht="12.75" customHeight="1" x14ac:dyDescent="0.35">
      <c r="A517" s="28"/>
      <c r="B517" s="28"/>
      <c r="C517" s="28"/>
      <c r="D517" s="28"/>
    </row>
    <row r="518" spans="1:4" ht="12.75" customHeight="1" x14ac:dyDescent="0.35">
      <c r="A518" s="28"/>
      <c r="B518" s="28" t="s">
        <v>2866</v>
      </c>
      <c r="C518" s="28"/>
      <c r="D518" s="28"/>
    </row>
    <row r="519" spans="1:4" ht="12.75" customHeight="1" x14ac:dyDescent="0.35">
      <c r="A519" s="28"/>
      <c r="B519" s="28" t="s">
        <v>2867</v>
      </c>
      <c r="C519" s="28"/>
      <c r="D519" s="28"/>
    </row>
    <row r="520" spans="1:4" ht="12.75" customHeight="1" x14ac:dyDescent="0.35">
      <c r="A520" s="28"/>
      <c r="B520" s="28" t="s">
        <v>2797</v>
      </c>
      <c r="C520" s="28"/>
      <c r="D520" s="28"/>
    </row>
    <row r="521" spans="1:4" ht="12.75" customHeight="1" x14ac:dyDescent="0.35">
      <c r="A521" s="28"/>
      <c r="B521" s="28" t="s">
        <v>2868</v>
      </c>
      <c r="C521" s="28"/>
      <c r="D521" s="28"/>
    </row>
    <row r="522" spans="1:4" ht="12.75" customHeight="1" x14ac:dyDescent="0.35">
      <c r="A522" s="28"/>
      <c r="B522" s="28" t="s">
        <v>2869</v>
      </c>
      <c r="C522" s="28"/>
      <c r="D522" s="28"/>
    </row>
    <row r="523" spans="1:4" ht="12.75" customHeight="1" x14ac:dyDescent="0.35">
      <c r="A523" s="28"/>
      <c r="B523" s="28" t="s">
        <v>2870</v>
      </c>
      <c r="C523" s="28"/>
      <c r="D523" s="28"/>
    </row>
    <row r="524" spans="1:4" ht="12.75" customHeight="1" x14ac:dyDescent="0.35">
      <c r="A524" s="28"/>
      <c r="B524" s="28" t="s">
        <v>2871</v>
      </c>
      <c r="C524" s="28"/>
      <c r="D524" s="28"/>
    </row>
    <row r="525" spans="1:4" ht="12.75" customHeight="1" x14ac:dyDescent="0.35">
      <c r="A525" s="28"/>
      <c r="B525" s="28" t="s">
        <v>2872</v>
      </c>
      <c r="C525" s="28"/>
      <c r="D525" s="28"/>
    </row>
    <row r="526" spans="1:4" ht="12.75" customHeight="1" x14ac:dyDescent="0.35">
      <c r="A526" s="28"/>
      <c r="B526" s="28" t="s">
        <v>2873</v>
      </c>
      <c r="C526" s="28"/>
      <c r="D526" s="28"/>
    </row>
    <row r="527" spans="1:4" ht="12.75" customHeight="1" x14ac:dyDescent="0.35">
      <c r="A527" s="28"/>
      <c r="B527" s="28" t="s">
        <v>2874</v>
      </c>
      <c r="C527" s="28"/>
      <c r="D527" s="28"/>
    </row>
    <row r="528" spans="1:4" ht="12.75" customHeight="1" x14ac:dyDescent="0.35">
      <c r="A528" s="28"/>
      <c r="B528" s="28" t="s">
        <v>2875</v>
      </c>
      <c r="C528" s="28"/>
      <c r="D528" s="28"/>
    </row>
    <row r="529" spans="1:4" ht="12.75" customHeight="1" x14ac:dyDescent="0.35">
      <c r="A529" s="28"/>
      <c r="B529" s="28" t="s">
        <v>2876</v>
      </c>
      <c r="C529" s="28"/>
      <c r="D529" s="28"/>
    </row>
    <row r="530" spans="1:4" ht="12.75" customHeight="1" x14ac:dyDescent="0.35">
      <c r="A530" s="28"/>
      <c r="B530" s="28" t="s">
        <v>2877</v>
      </c>
      <c r="C530" s="28"/>
      <c r="D530" s="28"/>
    </row>
    <row r="531" spans="1:4" ht="12.75" customHeight="1" x14ac:dyDescent="0.35">
      <c r="A531" s="28"/>
      <c r="B531" s="28" t="s">
        <v>2878</v>
      </c>
      <c r="C531" s="28"/>
      <c r="D531" s="28"/>
    </row>
    <row r="532" spans="1:4" ht="12.75" customHeight="1" x14ac:dyDescent="0.35">
      <c r="A532" s="28"/>
      <c r="B532" s="28"/>
      <c r="C532" s="28"/>
      <c r="D532" s="28"/>
    </row>
    <row r="533" spans="1:4" ht="12.75" customHeight="1" x14ac:dyDescent="0.35">
      <c r="A533" s="28"/>
      <c r="B533" s="28"/>
      <c r="C533" s="28"/>
      <c r="D533" s="28"/>
    </row>
    <row r="534" spans="1:4" ht="12.75" customHeight="1" x14ac:dyDescent="0.35">
      <c r="A534" s="28"/>
      <c r="B534" s="28"/>
      <c r="C534" s="28"/>
      <c r="D534" s="28"/>
    </row>
    <row r="535" spans="1:4" ht="12.75" customHeight="1" x14ac:dyDescent="0.35">
      <c r="A535" s="28"/>
      <c r="B535" s="28"/>
      <c r="C535" s="28"/>
      <c r="D535" s="28"/>
    </row>
    <row r="536" spans="1:4" ht="12.75" customHeight="1" x14ac:dyDescent="0.35">
      <c r="A536" s="28"/>
      <c r="B536" s="28"/>
      <c r="C536" s="28"/>
      <c r="D536" s="28"/>
    </row>
    <row r="537" spans="1:4" ht="12.75" customHeight="1" x14ac:dyDescent="0.35">
      <c r="A537" s="28"/>
      <c r="B537" s="28" t="s">
        <v>2879</v>
      </c>
      <c r="C537" s="28"/>
      <c r="D537" s="28"/>
    </row>
    <row r="538" spans="1:4" ht="12.75" customHeight="1" x14ac:dyDescent="0.35">
      <c r="A538" s="28"/>
      <c r="B538" s="28"/>
      <c r="C538" s="28"/>
      <c r="D538" s="28"/>
    </row>
    <row r="539" spans="1:4" ht="12.75" customHeight="1" x14ac:dyDescent="0.35">
      <c r="A539" s="28"/>
      <c r="B539" s="28" t="s">
        <v>2789</v>
      </c>
      <c r="C539" s="28"/>
      <c r="D539" s="28"/>
    </row>
    <row r="540" spans="1:4" ht="12.75" customHeight="1" x14ac:dyDescent="0.35">
      <c r="A540" s="28"/>
      <c r="B540" s="28" t="s">
        <v>4483</v>
      </c>
      <c r="C540" s="28"/>
      <c r="D540" s="28"/>
    </row>
    <row r="541" spans="1:4" ht="12.75" customHeight="1" x14ac:dyDescent="0.35">
      <c r="A541" s="28"/>
      <c r="B541" s="28"/>
      <c r="C541" s="194" t="s">
        <v>5286</v>
      </c>
      <c r="D541" s="28"/>
    </row>
    <row r="542" spans="1:4" ht="12.75" customHeight="1" x14ac:dyDescent="0.35">
      <c r="A542" s="28"/>
      <c r="B542" s="28"/>
      <c r="C542" s="194" t="s">
        <v>5263</v>
      </c>
      <c r="D542" s="28"/>
    </row>
    <row r="543" spans="1:4" ht="12.75" customHeight="1" x14ac:dyDescent="0.35">
      <c r="A543" s="28"/>
      <c r="B543" s="28"/>
      <c r="C543" s="194" t="s">
        <v>5264</v>
      </c>
      <c r="D543" s="28"/>
    </row>
    <row r="544" spans="1:4" ht="12.75" customHeight="1" x14ac:dyDescent="0.35">
      <c r="A544" s="28"/>
      <c r="B544" s="28"/>
      <c r="C544" s="194" t="s">
        <v>5166</v>
      </c>
      <c r="D544" s="28"/>
    </row>
    <row r="545" spans="1:4" ht="12.75" customHeight="1" x14ac:dyDescent="0.35">
      <c r="A545" s="28"/>
      <c r="C545" s="194" t="s">
        <v>5286</v>
      </c>
    </row>
    <row r="546" spans="1:4" ht="12.75" customHeight="1" x14ac:dyDescent="0.35">
      <c r="A546" s="28"/>
      <c r="C546" s="194" t="s">
        <v>5265</v>
      </c>
    </row>
    <row r="547" spans="1:4" ht="12.75" customHeight="1" x14ac:dyDescent="0.35">
      <c r="A547" s="28"/>
      <c r="C547" s="194" t="s">
        <v>5264</v>
      </c>
    </row>
    <row r="548" spans="1:4" ht="12.75" customHeight="1" x14ac:dyDescent="0.35">
      <c r="A548" s="28"/>
      <c r="C548" s="194" t="s">
        <v>5166</v>
      </c>
    </row>
    <row r="549" spans="1:4" ht="12.75" customHeight="1" x14ac:dyDescent="0.35">
      <c r="A549" s="28"/>
      <c r="C549" s="194" t="s">
        <v>5286</v>
      </c>
    </row>
    <row r="550" spans="1:4" ht="12.75" customHeight="1" x14ac:dyDescent="0.35">
      <c r="A550" s="28"/>
      <c r="B550" s="28"/>
      <c r="C550" s="194" t="s">
        <v>5266</v>
      </c>
      <c r="D550" s="28"/>
    </row>
    <row r="551" spans="1:4" ht="12.75" customHeight="1" x14ac:dyDescent="0.35">
      <c r="A551" s="28"/>
      <c r="B551" s="28"/>
      <c r="C551" s="194" t="s">
        <v>5264</v>
      </c>
      <c r="D551" s="28"/>
    </row>
    <row r="552" spans="1:4" ht="12.75" customHeight="1" x14ac:dyDescent="0.35">
      <c r="A552" s="28"/>
      <c r="B552" s="28"/>
      <c r="C552" s="194" t="s">
        <v>5166</v>
      </c>
      <c r="D552" s="28"/>
    </row>
    <row r="553" spans="1:4" ht="12.75" customHeight="1" x14ac:dyDescent="0.35">
      <c r="A553" s="28"/>
      <c r="B553" s="28"/>
      <c r="C553" s="194" t="s">
        <v>5286</v>
      </c>
      <c r="D553" s="28"/>
    </row>
    <row r="554" spans="1:4" ht="12.75" customHeight="1" x14ac:dyDescent="0.35">
      <c r="A554" s="28"/>
      <c r="B554" s="28"/>
      <c r="C554" s="194" t="s">
        <v>5267</v>
      </c>
      <c r="D554" s="28"/>
    </row>
    <row r="555" spans="1:4" ht="12.75" customHeight="1" x14ac:dyDescent="0.35">
      <c r="A555" s="28"/>
      <c r="B555" s="28"/>
      <c r="C555" s="194" t="s">
        <v>5264</v>
      </c>
      <c r="D555" s="28"/>
    </row>
    <row r="556" spans="1:4" ht="12.75" customHeight="1" x14ac:dyDescent="0.35">
      <c r="A556" s="28"/>
      <c r="B556" s="28"/>
      <c r="C556" s="194" t="s">
        <v>5166</v>
      </c>
      <c r="D556" s="28"/>
    </row>
    <row r="557" spans="1:4" ht="12.75" customHeight="1" x14ac:dyDescent="0.35">
      <c r="A557" s="28"/>
      <c r="B557" s="28"/>
      <c r="C557" s="194" t="s">
        <v>5286</v>
      </c>
      <c r="D557" s="28"/>
    </row>
    <row r="558" spans="1:4" ht="12.75" customHeight="1" x14ac:dyDescent="0.35">
      <c r="A558" s="28"/>
      <c r="B558" s="28"/>
      <c r="C558" s="194" t="s">
        <v>5268</v>
      </c>
      <c r="D558" s="28"/>
    </row>
    <row r="559" spans="1:4" ht="12.75" customHeight="1" x14ac:dyDescent="0.35">
      <c r="A559" s="28"/>
      <c r="B559" s="28"/>
      <c r="C559" s="194" t="s">
        <v>5264</v>
      </c>
      <c r="D559" s="28"/>
    </row>
    <row r="560" spans="1:4" ht="12.75" customHeight="1" x14ac:dyDescent="0.35">
      <c r="A560" s="28"/>
      <c r="B560" s="28"/>
      <c r="C560" s="194" t="s">
        <v>5166</v>
      </c>
      <c r="D560" s="28"/>
    </row>
    <row r="561" spans="1:4" ht="12.75" customHeight="1" x14ac:dyDescent="0.35">
      <c r="A561" s="28"/>
      <c r="B561" s="28"/>
      <c r="C561" s="1241" t="s">
        <v>5361</v>
      </c>
      <c r="D561" s="28"/>
    </row>
    <row r="562" spans="1:4" ht="12.75" customHeight="1" x14ac:dyDescent="0.35">
      <c r="A562" s="28"/>
      <c r="B562" s="28"/>
      <c r="C562" s="1241" t="s">
        <v>5362</v>
      </c>
      <c r="D562" s="28"/>
    </row>
    <row r="563" spans="1:4" ht="12.75" customHeight="1" x14ac:dyDescent="0.35">
      <c r="A563" s="28"/>
      <c r="B563" s="28"/>
      <c r="C563" s="28" t="s">
        <v>2880</v>
      </c>
      <c r="D563" s="28"/>
    </row>
    <row r="564" spans="1:4" ht="12.75" customHeight="1" x14ac:dyDescent="0.35">
      <c r="A564" s="28"/>
      <c r="B564" s="28"/>
      <c r="C564" s="28" t="s">
        <v>2881</v>
      </c>
      <c r="D564" s="28"/>
    </row>
    <row r="565" spans="1:4" ht="12.75" customHeight="1" x14ac:dyDescent="0.35">
      <c r="A565" s="28"/>
      <c r="B565" s="28"/>
      <c r="C565" s="1241" t="s">
        <v>5369</v>
      </c>
      <c r="D565" s="28"/>
    </row>
    <row r="566" spans="1:4" ht="12.75" customHeight="1" x14ac:dyDescent="0.35">
      <c r="A566" s="28"/>
      <c r="B566" s="28"/>
      <c r="C566" s="1241" t="s">
        <v>5370</v>
      </c>
      <c r="D566" s="28"/>
    </row>
    <row r="567" spans="1:4" ht="12.75" customHeight="1" x14ac:dyDescent="0.35">
      <c r="A567" s="28"/>
      <c r="B567" s="28"/>
      <c r="C567" s="28" t="s">
        <v>2677</v>
      </c>
      <c r="D567" s="28"/>
    </row>
    <row r="568" spans="1:4" ht="12.75" customHeight="1" x14ac:dyDescent="0.35">
      <c r="A568" s="28"/>
      <c r="B568" s="28"/>
      <c r="C568" s="28" t="s">
        <v>2882</v>
      </c>
      <c r="D568" s="28"/>
    </row>
    <row r="569" spans="1:4" ht="12.75" customHeight="1" x14ac:dyDescent="0.35">
      <c r="A569" s="28"/>
      <c r="B569" s="28"/>
      <c r="C569" s="28" t="s">
        <v>5262</v>
      </c>
      <c r="D569" s="28"/>
    </row>
    <row r="570" spans="1:4" ht="12.75" customHeight="1" x14ac:dyDescent="0.35">
      <c r="A570" s="28"/>
      <c r="B570" s="28" t="s">
        <v>2883</v>
      </c>
      <c r="C570" s="28"/>
      <c r="D570" s="28"/>
    </row>
    <row r="571" spans="1:4" ht="12.75" customHeight="1" x14ac:dyDescent="0.35">
      <c r="A571" s="28"/>
      <c r="B571" s="28"/>
      <c r="C571" s="194" t="s">
        <v>5165</v>
      </c>
      <c r="D571" s="28"/>
    </row>
    <row r="572" spans="1:4" ht="12.75" customHeight="1" x14ac:dyDescent="0.35">
      <c r="A572" s="28"/>
      <c r="B572" s="28"/>
      <c r="C572" s="194" t="s">
        <v>2883</v>
      </c>
      <c r="D572" s="28"/>
    </row>
    <row r="573" spans="1:4" ht="12.75" customHeight="1" x14ac:dyDescent="0.35">
      <c r="A573" s="28"/>
      <c r="B573" s="28"/>
      <c r="C573" s="194" t="s">
        <v>5279</v>
      </c>
      <c r="D573" s="28"/>
    </row>
    <row r="574" spans="1:4" ht="12.75" customHeight="1" x14ac:dyDescent="0.35">
      <c r="A574" s="28"/>
      <c r="C574" s="194" t="s">
        <v>5166</v>
      </c>
      <c r="D574" s="28"/>
    </row>
    <row r="575" spans="1:4" ht="12.75" customHeight="1" x14ac:dyDescent="0.35">
      <c r="A575" s="28"/>
      <c r="B575" s="28"/>
      <c r="C575" s="194" t="s">
        <v>5165</v>
      </c>
      <c r="D575" s="28"/>
    </row>
    <row r="576" spans="1:4" ht="12.75" customHeight="1" x14ac:dyDescent="0.35">
      <c r="A576" s="28"/>
      <c r="B576" s="28"/>
      <c r="C576" s="194" t="s">
        <v>5167</v>
      </c>
      <c r="D576" s="28"/>
    </row>
    <row r="577" spans="1:4" ht="12.75" customHeight="1" x14ac:dyDescent="0.35">
      <c r="A577" s="28"/>
      <c r="B577" s="28"/>
      <c r="C577" s="194" t="s">
        <v>5279</v>
      </c>
      <c r="D577" s="28"/>
    </row>
    <row r="578" spans="1:4" ht="12.75" customHeight="1" x14ac:dyDescent="0.35">
      <c r="A578" s="28"/>
      <c r="C578" s="194" t="s">
        <v>5166</v>
      </c>
      <c r="D578" s="28"/>
    </row>
    <row r="579" spans="1:4" ht="12.75" customHeight="1" x14ac:dyDescent="0.35">
      <c r="A579" s="28"/>
      <c r="B579" s="28"/>
      <c r="C579" s="194" t="s">
        <v>5165</v>
      </c>
      <c r="D579" s="28"/>
    </row>
    <row r="580" spans="1:4" ht="12.75" customHeight="1" x14ac:dyDescent="0.35">
      <c r="A580" s="28"/>
      <c r="B580" s="28"/>
      <c r="C580" s="194" t="s">
        <v>5168</v>
      </c>
      <c r="D580" s="28"/>
    </row>
    <row r="581" spans="1:4" ht="12.75" customHeight="1" x14ac:dyDescent="0.35">
      <c r="A581" s="28"/>
      <c r="B581" s="28"/>
      <c r="C581" s="194" t="s">
        <v>5279</v>
      </c>
      <c r="D581" s="28"/>
    </row>
    <row r="582" spans="1:4" ht="12.75" customHeight="1" x14ac:dyDescent="0.35">
      <c r="A582" s="28"/>
      <c r="C582" s="194" t="s">
        <v>5166</v>
      </c>
      <c r="D582" s="28"/>
    </row>
    <row r="583" spans="1:4" ht="12.75" customHeight="1" x14ac:dyDescent="0.35">
      <c r="A583" s="28"/>
      <c r="B583" s="28"/>
      <c r="C583" s="194" t="s">
        <v>5165</v>
      </c>
      <c r="D583" s="28"/>
    </row>
    <row r="584" spans="1:4" ht="12.75" customHeight="1" x14ac:dyDescent="0.35">
      <c r="A584" s="28"/>
      <c r="B584" s="28"/>
      <c r="C584" s="194" t="s">
        <v>5169</v>
      </c>
      <c r="D584" s="28"/>
    </row>
    <row r="585" spans="1:4" ht="12.75" customHeight="1" x14ac:dyDescent="0.35">
      <c r="A585" s="28"/>
      <c r="B585" s="28"/>
      <c r="C585" s="194" t="s">
        <v>5279</v>
      </c>
      <c r="D585" s="28"/>
    </row>
    <row r="586" spans="1:4" ht="12.75" customHeight="1" x14ac:dyDescent="0.35">
      <c r="A586" s="28"/>
      <c r="C586" s="194" t="s">
        <v>5166</v>
      </c>
      <c r="D586" s="28"/>
    </row>
    <row r="587" spans="1:4" ht="12.75" customHeight="1" x14ac:dyDescent="0.35">
      <c r="A587" s="28"/>
      <c r="B587" s="28"/>
      <c r="C587" s="194" t="s">
        <v>5165</v>
      </c>
      <c r="D587" s="28"/>
    </row>
    <row r="588" spans="1:4" ht="12.75" customHeight="1" x14ac:dyDescent="0.35">
      <c r="A588" s="28"/>
      <c r="B588" s="28"/>
      <c r="C588" s="194" t="s">
        <v>5170</v>
      </c>
      <c r="D588" s="28"/>
    </row>
    <row r="589" spans="1:4" ht="12.75" customHeight="1" x14ac:dyDescent="0.35">
      <c r="A589" s="28"/>
      <c r="B589" s="28"/>
      <c r="C589" s="194" t="s">
        <v>5279</v>
      </c>
      <c r="D589" s="28"/>
    </row>
    <row r="590" spans="1:4" ht="12.75" customHeight="1" x14ac:dyDescent="0.35">
      <c r="A590" s="28"/>
      <c r="C590" s="194" t="s">
        <v>5166</v>
      </c>
      <c r="D590" s="28"/>
    </row>
    <row r="591" spans="1:4" ht="12.75" customHeight="1" x14ac:dyDescent="0.35">
      <c r="A591" s="28"/>
      <c r="B591" s="28"/>
      <c r="C591" s="28" t="s">
        <v>2884</v>
      </c>
      <c r="D591" s="28"/>
    </row>
    <row r="592" spans="1:4" ht="12.75" customHeight="1" x14ac:dyDescent="0.35">
      <c r="A592" s="28"/>
      <c r="B592" s="28" t="s">
        <v>2885</v>
      </c>
      <c r="C592" s="28"/>
      <c r="D592" s="28"/>
    </row>
    <row r="593" spans="1:4" ht="12.75" customHeight="1" x14ac:dyDescent="0.35">
      <c r="A593" s="28"/>
      <c r="B593" s="28"/>
      <c r="C593" s="194" t="s">
        <v>5159</v>
      </c>
      <c r="D593" s="28"/>
    </row>
    <row r="594" spans="1:4" ht="12.75" customHeight="1" x14ac:dyDescent="0.35">
      <c r="A594" s="28"/>
      <c r="B594" s="28"/>
      <c r="C594" s="194" t="s">
        <v>2886</v>
      </c>
      <c r="D594" s="28"/>
    </row>
    <row r="595" spans="1:4" ht="12.75" customHeight="1" x14ac:dyDescent="0.35">
      <c r="A595" s="28"/>
      <c r="B595" s="28"/>
      <c r="C595" s="194" t="s">
        <v>2887</v>
      </c>
      <c r="D595" s="28"/>
    </row>
    <row r="596" spans="1:4" ht="12.75" customHeight="1" x14ac:dyDescent="0.35">
      <c r="A596" s="28"/>
      <c r="B596" s="28"/>
      <c r="C596" s="194" t="s">
        <v>5160</v>
      </c>
      <c r="D596" s="28"/>
    </row>
    <row r="597" spans="1:4" ht="12.75" customHeight="1" x14ac:dyDescent="0.35">
      <c r="A597" s="28"/>
      <c r="B597" s="28"/>
      <c r="C597" s="194" t="s">
        <v>5159</v>
      </c>
      <c r="D597" s="28"/>
    </row>
    <row r="598" spans="1:4" ht="12.75" customHeight="1" x14ac:dyDescent="0.35">
      <c r="A598" s="28"/>
      <c r="B598" s="28"/>
      <c r="C598" s="194" t="s">
        <v>5161</v>
      </c>
      <c r="D598" s="28"/>
    </row>
    <row r="599" spans="1:4" ht="12.75" customHeight="1" x14ac:dyDescent="0.35">
      <c r="A599" s="28"/>
      <c r="B599" s="28"/>
      <c r="C599" s="194" t="s">
        <v>2887</v>
      </c>
      <c r="D599" s="28"/>
    </row>
    <row r="600" spans="1:4" ht="12.75" customHeight="1" x14ac:dyDescent="0.35">
      <c r="A600" s="28"/>
      <c r="B600" s="28"/>
      <c r="C600" s="194" t="s">
        <v>5160</v>
      </c>
      <c r="D600" s="28"/>
    </row>
    <row r="601" spans="1:4" ht="12.75" customHeight="1" x14ac:dyDescent="0.35">
      <c r="A601" s="28"/>
      <c r="B601" s="28"/>
      <c r="C601" s="194" t="s">
        <v>5159</v>
      </c>
      <c r="D601" s="28"/>
    </row>
    <row r="602" spans="1:4" ht="12.75" customHeight="1" x14ac:dyDescent="0.35">
      <c r="A602" s="28"/>
      <c r="B602" s="28"/>
      <c r="C602" s="194" t="s">
        <v>5162</v>
      </c>
      <c r="D602" s="28"/>
    </row>
    <row r="603" spans="1:4" ht="12.75" customHeight="1" x14ac:dyDescent="0.35">
      <c r="A603" s="28"/>
      <c r="B603" s="28"/>
      <c r="C603" s="194" t="s">
        <v>2887</v>
      </c>
      <c r="D603" s="28"/>
    </row>
    <row r="604" spans="1:4" ht="12.75" customHeight="1" x14ac:dyDescent="0.35">
      <c r="A604" s="28"/>
      <c r="B604" s="28"/>
      <c r="C604" s="194" t="s">
        <v>5160</v>
      </c>
      <c r="D604" s="28"/>
    </row>
    <row r="605" spans="1:4" ht="12.75" customHeight="1" x14ac:dyDescent="0.35">
      <c r="A605" s="28"/>
      <c r="B605" s="28"/>
      <c r="C605" s="194" t="s">
        <v>5159</v>
      </c>
      <c r="D605" s="28"/>
    </row>
    <row r="606" spans="1:4" ht="12.75" customHeight="1" x14ac:dyDescent="0.35">
      <c r="A606" s="28"/>
      <c r="B606" s="28"/>
      <c r="C606" s="194" t="s">
        <v>5163</v>
      </c>
      <c r="D606" s="28"/>
    </row>
    <row r="607" spans="1:4" ht="12.75" customHeight="1" x14ac:dyDescent="0.35">
      <c r="A607" s="28"/>
      <c r="B607" s="28"/>
      <c r="C607" s="194" t="s">
        <v>2887</v>
      </c>
      <c r="D607" s="28"/>
    </row>
    <row r="608" spans="1:4" ht="12.75" customHeight="1" x14ac:dyDescent="0.35">
      <c r="A608" s="28"/>
      <c r="B608" s="28"/>
      <c r="C608" s="194" t="s">
        <v>5160</v>
      </c>
      <c r="D608" s="28"/>
    </row>
    <row r="609" spans="1:4" ht="12.75" customHeight="1" x14ac:dyDescent="0.35">
      <c r="A609" s="28"/>
      <c r="B609" s="28"/>
      <c r="C609" s="194" t="s">
        <v>5159</v>
      </c>
      <c r="D609" s="28"/>
    </row>
    <row r="610" spans="1:4" ht="12.75" customHeight="1" x14ac:dyDescent="0.35">
      <c r="A610" s="28"/>
      <c r="B610" s="28"/>
      <c r="C610" s="194" t="s">
        <v>5164</v>
      </c>
      <c r="D610" s="28"/>
    </row>
    <row r="611" spans="1:4" ht="12.75" customHeight="1" x14ac:dyDescent="0.35">
      <c r="A611" s="28"/>
      <c r="B611" s="28"/>
      <c r="C611" s="194" t="s">
        <v>2887</v>
      </c>
      <c r="D611" s="28"/>
    </row>
    <row r="612" spans="1:4" ht="12.75" customHeight="1" x14ac:dyDescent="0.35">
      <c r="A612" s="28"/>
      <c r="B612" s="28"/>
      <c r="C612" s="194" t="s">
        <v>5160</v>
      </c>
      <c r="D612" s="28"/>
    </row>
    <row r="613" spans="1:4" ht="12.75" customHeight="1" x14ac:dyDescent="0.35">
      <c r="A613" s="28"/>
      <c r="B613" s="28"/>
      <c r="C613" s="1241" t="s">
        <v>5381</v>
      </c>
      <c r="D613" s="28"/>
    </row>
    <row r="614" spans="1:4" ht="12.75" customHeight="1" x14ac:dyDescent="0.35">
      <c r="A614" s="28"/>
      <c r="B614" s="28"/>
      <c r="C614" s="1241" t="s">
        <v>5382</v>
      </c>
      <c r="D614" s="28"/>
    </row>
    <row r="615" spans="1:4" ht="12.75" customHeight="1" x14ac:dyDescent="0.35">
      <c r="A615" s="28"/>
      <c r="B615" s="28"/>
      <c r="C615" s="28" t="s">
        <v>2888</v>
      </c>
      <c r="D615" s="28"/>
    </row>
    <row r="616" spans="1:4" ht="12.75" customHeight="1" x14ac:dyDescent="0.35">
      <c r="A616" s="28"/>
      <c r="B616" s="28"/>
      <c r="C616" s="28" t="s">
        <v>2889</v>
      </c>
      <c r="D616" s="28"/>
    </row>
    <row r="617" spans="1:4" ht="12.75" customHeight="1" x14ac:dyDescent="0.35">
      <c r="A617" s="28"/>
      <c r="B617" s="28"/>
      <c r="C617" s="1241" t="s">
        <v>5393</v>
      </c>
      <c r="D617" s="28"/>
    </row>
    <row r="618" spans="1:4" ht="12.75" customHeight="1" x14ac:dyDescent="0.35">
      <c r="A618" s="28"/>
      <c r="B618" s="28"/>
      <c r="C618" s="1241" t="s">
        <v>5394</v>
      </c>
      <c r="D618" s="28"/>
    </row>
    <row r="619" spans="1:4" ht="12.75" customHeight="1" x14ac:dyDescent="0.35">
      <c r="A619" s="28"/>
      <c r="B619" s="28"/>
      <c r="C619" s="28" t="s">
        <v>2890</v>
      </c>
      <c r="D619" s="28"/>
    </row>
    <row r="620" spans="1:4" ht="12.75" customHeight="1" x14ac:dyDescent="0.35">
      <c r="A620" s="28"/>
      <c r="B620" s="28" t="s">
        <v>2891</v>
      </c>
      <c r="C620" s="28"/>
      <c r="D620" s="28"/>
    </row>
    <row r="621" spans="1:4" ht="12.75" customHeight="1" x14ac:dyDescent="0.35">
      <c r="A621" s="28"/>
      <c r="B621" s="28" t="s">
        <v>2892</v>
      </c>
      <c r="C621" s="28"/>
      <c r="D621" s="28"/>
    </row>
    <row r="622" spans="1:4" ht="12.75" customHeight="1" x14ac:dyDescent="0.35">
      <c r="A622" s="28"/>
      <c r="B622" s="28"/>
      <c r="C622" s="28"/>
      <c r="D622" s="28"/>
    </row>
    <row r="623" spans="1:4" ht="12.75" customHeight="1" x14ac:dyDescent="0.35">
      <c r="A623" s="28"/>
      <c r="B623" s="28"/>
      <c r="C623" s="28"/>
      <c r="D623" s="28"/>
    </row>
    <row r="624" spans="1:4" ht="12.75" customHeight="1" x14ac:dyDescent="0.35">
      <c r="A624" s="28"/>
      <c r="B624" s="28"/>
      <c r="C624" s="28"/>
      <c r="D624" s="28"/>
    </row>
    <row r="625" spans="1:4" ht="12.75" customHeight="1" x14ac:dyDescent="0.35">
      <c r="A625" s="28"/>
      <c r="B625" s="28" t="s">
        <v>2893</v>
      </c>
      <c r="C625" s="28"/>
      <c r="D625" s="28"/>
    </row>
    <row r="626" spans="1:4" ht="12.75" customHeight="1" x14ac:dyDescent="0.35">
      <c r="A626" s="28"/>
      <c r="B626" s="28"/>
      <c r="C626" s="28"/>
      <c r="D626" s="28"/>
    </row>
    <row r="627" spans="1:4" ht="12.75" customHeight="1" x14ac:dyDescent="0.35">
      <c r="A627" s="28"/>
      <c r="B627" s="28" t="s">
        <v>2789</v>
      </c>
      <c r="C627" s="28"/>
      <c r="D627" s="28"/>
    </row>
    <row r="628" spans="1:4" ht="12.75" customHeight="1" x14ac:dyDescent="0.35">
      <c r="A628" s="28"/>
      <c r="B628" s="28" t="s">
        <v>2894</v>
      </c>
      <c r="C628" s="28"/>
      <c r="D628" s="28"/>
    </row>
    <row r="629" spans="1:4" ht="12.75" customHeight="1" x14ac:dyDescent="0.35">
      <c r="A629" s="28"/>
      <c r="B629" s="28"/>
      <c r="C629" s="28" t="s">
        <v>2832</v>
      </c>
      <c r="D629" s="28"/>
    </row>
    <row r="630" spans="1:4" ht="12.75" customHeight="1" x14ac:dyDescent="0.35">
      <c r="A630" s="28"/>
      <c r="B630" s="28"/>
      <c r="C630" s="28"/>
      <c r="D630" s="28"/>
    </row>
    <row r="631" spans="1:4" ht="12.75" customHeight="1" x14ac:dyDescent="0.35">
      <c r="A631" s="28"/>
      <c r="B631" s="28"/>
      <c r="C631" s="28"/>
      <c r="D631" s="28"/>
    </row>
    <row r="632" spans="1:4" ht="12.75" customHeight="1" x14ac:dyDescent="0.35">
      <c r="A632" s="28"/>
      <c r="B632" s="28"/>
      <c r="C632" s="28"/>
      <c r="D632" s="28"/>
    </row>
    <row r="633" spans="1:4" ht="12.75" customHeight="1" x14ac:dyDescent="0.35">
      <c r="A633" s="28"/>
      <c r="B633" s="28"/>
      <c r="C633" s="28"/>
      <c r="D633" s="28"/>
    </row>
    <row r="634" spans="1:4" ht="12.75" customHeight="1" x14ac:dyDescent="0.35">
      <c r="A634" s="28"/>
      <c r="B634" s="28"/>
      <c r="C634" s="28"/>
      <c r="D634" s="28"/>
    </row>
    <row r="635" spans="1:4" ht="12.75" customHeight="1" x14ac:dyDescent="0.35">
      <c r="A635" s="28"/>
      <c r="B635" s="28"/>
      <c r="C635" s="28"/>
      <c r="D635" s="28"/>
    </row>
    <row r="636" spans="1:4" ht="12.75" customHeight="1" x14ac:dyDescent="0.35">
      <c r="A636" s="28"/>
      <c r="B636" s="28"/>
      <c r="C636" s="28"/>
      <c r="D636" s="28"/>
    </row>
    <row r="637" spans="1:4" ht="12.75" customHeight="1" x14ac:dyDescent="0.35">
      <c r="A637" s="28"/>
      <c r="B637" s="28"/>
      <c r="C637" s="28"/>
      <c r="D637" s="28"/>
    </row>
    <row r="638" spans="1:4" ht="12.75" customHeight="1" x14ac:dyDescent="0.35">
      <c r="A638" s="28"/>
      <c r="B638" s="28"/>
      <c r="C638" s="28"/>
      <c r="D638" s="28"/>
    </row>
    <row r="639" spans="1:4" ht="12.75" customHeight="1" x14ac:dyDescent="0.35">
      <c r="A639" s="28"/>
      <c r="B639" s="28"/>
      <c r="C639" s="28"/>
      <c r="D639" s="28"/>
    </row>
    <row r="640" spans="1:4" ht="12.75" customHeight="1" x14ac:dyDescent="0.35">
      <c r="A640" s="28"/>
      <c r="B640" s="28"/>
      <c r="C640" s="28" t="s">
        <v>2833</v>
      </c>
      <c r="D640" s="28"/>
    </row>
    <row r="641" spans="1:4" ht="12.75" customHeight="1" x14ac:dyDescent="0.35">
      <c r="A641" s="28"/>
      <c r="B641" s="28"/>
      <c r="C641" s="28"/>
      <c r="D641" s="28"/>
    </row>
    <row r="642" spans="1:4" ht="12.75" customHeight="1" x14ac:dyDescent="0.35">
      <c r="A642" s="28"/>
      <c r="B642" s="28"/>
      <c r="C642" s="28"/>
      <c r="D642" s="28"/>
    </row>
    <row r="643" spans="1:4" ht="12.75" customHeight="1" x14ac:dyDescent="0.35">
      <c r="A643" s="28"/>
      <c r="B643" s="28"/>
      <c r="C643" s="28"/>
      <c r="D643" s="28"/>
    </row>
    <row r="644" spans="1:4" ht="12.75" customHeight="1" x14ac:dyDescent="0.35">
      <c r="A644" s="28"/>
      <c r="B644" s="28"/>
      <c r="C644" s="28"/>
      <c r="D644" s="28"/>
    </row>
    <row r="645" spans="1:4" ht="12.75" customHeight="1" x14ac:dyDescent="0.35">
      <c r="A645" s="28"/>
      <c r="B645" s="28"/>
      <c r="C645" s="28"/>
      <c r="D645" s="28"/>
    </row>
    <row r="646" spans="1:4" ht="12.75" customHeight="1" x14ac:dyDescent="0.35">
      <c r="A646" s="28"/>
      <c r="B646" s="28"/>
      <c r="C646" s="28"/>
      <c r="D646" s="28"/>
    </row>
    <row r="647" spans="1:4" ht="12.75" customHeight="1" x14ac:dyDescent="0.35">
      <c r="A647" s="28"/>
      <c r="B647" s="28"/>
      <c r="C647" s="28"/>
      <c r="D647" s="28"/>
    </row>
    <row r="648" spans="1:4" ht="12.75" customHeight="1" x14ac:dyDescent="0.35">
      <c r="A648" s="28"/>
      <c r="B648" s="28"/>
      <c r="C648" s="28"/>
      <c r="D648" s="28"/>
    </row>
    <row r="649" spans="1:4" ht="12.75" customHeight="1" x14ac:dyDescent="0.35">
      <c r="A649" s="28"/>
      <c r="B649" s="28"/>
      <c r="C649" s="28"/>
      <c r="D649" s="28"/>
    </row>
    <row r="650" spans="1:4" ht="12.75" customHeight="1" x14ac:dyDescent="0.35">
      <c r="A650" s="28"/>
      <c r="B650" s="28"/>
      <c r="C650" s="28"/>
      <c r="D650" s="28"/>
    </row>
    <row r="651" spans="1:4" ht="12.75" customHeight="1" x14ac:dyDescent="0.35">
      <c r="A651" s="28"/>
      <c r="B651" s="28"/>
      <c r="C651" s="28" t="s">
        <v>2839</v>
      </c>
      <c r="D651" s="28"/>
    </row>
    <row r="652" spans="1:4" ht="12.75" customHeight="1" x14ac:dyDescent="0.35">
      <c r="A652" s="28"/>
      <c r="B652" s="28"/>
      <c r="C652" s="28"/>
      <c r="D652" s="28"/>
    </row>
    <row r="653" spans="1:4" ht="12.75" customHeight="1" x14ac:dyDescent="0.35">
      <c r="A653" s="28"/>
      <c r="B653" s="28"/>
      <c r="C653" s="28"/>
      <c r="D653" s="28"/>
    </row>
    <row r="654" spans="1:4" ht="12.75" customHeight="1" x14ac:dyDescent="0.35">
      <c r="A654" s="28"/>
      <c r="B654" s="28"/>
      <c r="C654" s="28"/>
      <c r="D654" s="28"/>
    </row>
    <row r="655" spans="1:4" ht="12.75" customHeight="1" x14ac:dyDescent="0.35">
      <c r="A655" s="28"/>
      <c r="B655" s="28"/>
      <c r="C655" s="28"/>
      <c r="D655" s="28"/>
    </row>
    <row r="656" spans="1:4" ht="12.75" customHeight="1" x14ac:dyDescent="0.35">
      <c r="A656" s="28"/>
      <c r="B656" s="28"/>
      <c r="C656" s="28"/>
      <c r="D656" s="28"/>
    </row>
    <row r="657" spans="1:4" ht="12.75" customHeight="1" x14ac:dyDescent="0.35">
      <c r="A657" s="28"/>
      <c r="B657" s="28"/>
      <c r="C657" s="28"/>
      <c r="D657" s="28"/>
    </row>
    <row r="658" spans="1:4" ht="12.75" customHeight="1" x14ac:dyDescent="0.35">
      <c r="A658" s="28"/>
      <c r="B658" s="28"/>
      <c r="C658" s="28"/>
      <c r="D658" s="28"/>
    </row>
    <row r="659" spans="1:4" ht="12.75" customHeight="1" x14ac:dyDescent="0.35">
      <c r="A659" s="28"/>
      <c r="B659" s="28"/>
      <c r="C659" s="28"/>
      <c r="D659" s="28"/>
    </row>
    <row r="660" spans="1:4" ht="12.75" customHeight="1" x14ac:dyDescent="0.35">
      <c r="A660" s="28"/>
      <c r="B660" s="28"/>
      <c r="C660" s="28"/>
      <c r="D660" s="28"/>
    </row>
    <row r="661" spans="1:4" ht="12.75" customHeight="1" x14ac:dyDescent="0.35">
      <c r="A661" s="28"/>
      <c r="B661" s="28"/>
      <c r="C661" s="28"/>
      <c r="D661" s="28"/>
    </row>
    <row r="662" spans="1:4" ht="12.75" customHeight="1" x14ac:dyDescent="0.35">
      <c r="A662" s="28"/>
      <c r="B662" s="28"/>
      <c r="C662" s="28" t="s">
        <v>2850</v>
      </c>
      <c r="D662" s="28"/>
    </row>
    <row r="663" spans="1:4" ht="12.75" customHeight="1" x14ac:dyDescent="0.35">
      <c r="A663" s="28"/>
      <c r="B663" s="28"/>
      <c r="C663" s="28"/>
      <c r="D663" s="28"/>
    </row>
    <row r="664" spans="1:4" ht="12.75" customHeight="1" x14ac:dyDescent="0.35">
      <c r="A664" s="28"/>
      <c r="B664" s="28"/>
      <c r="C664" s="28" t="s">
        <v>2895</v>
      </c>
      <c r="D664" s="28"/>
    </row>
    <row r="665" spans="1:4" ht="12.75" customHeight="1" x14ac:dyDescent="0.35">
      <c r="A665" s="28"/>
      <c r="B665" s="28"/>
      <c r="C665" s="28"/>
      <c r="D665" s="28"/>
    </row>
    <row r="666" spans="1:4" ht="12.75" customHeight="1" x14ac:dyDescent="0.35">
      <c r="A666" s="28"/>
      <c r="B666" s="28"/>
      <c r="C666" s="28"/>
      <c r="D666" s="28"/>
    </row>
    <row r="667" spans="1:4" ht="12.75" customHeight="1" x14ac:dyDescent="0.35">
      <c r="A667" s="28"/>
      <c r="B667" s="28"/>
      <c r="C667" s="28"/>
      <c r="D667" s="28"/>
    </row>
    <row r="668" spans="1:4" ht="12.75" customHeight="1" x14ac:dyDescent="0.35">
      <c r="A668" s="28"/>
      <c r="B668" s="28" t="s">
        <v>2894</v>
      </c>
      <c r="C668" s="28"/>
      <c r="D668" s="28"/>
    </row>
    <row r="669" spans="1:4" ht="12.75" customHeight="1" x14ac:dyDescent="0.35">
      <c r="A669" s="28"/>
      <c r="B669" s="28" t="s">
        <v>2788</v>
      </c>
      <c r="C669" s="28"/>
      <c r="D669" s="28"/>
    </row>
    <row r="670" spans="1:4" ht="12.75" customHeight="1" x14ac:dyDescent="0.35">
      <c r="A670" s="28"/>
      <c r="B670" s="28" t="s">
        <v>2896</v>
      </c>
      <c r="C670" s="28"/>
      <c r="D670" s="28"/>
    </row>
    <row r="671" spans="1:4" ht="12.75" customHeight="1" x14ac:dyDescent="0.35">
      <c r="A671" s="28"/>
      <c r="B671" s="28" t="s">
        <v>2897</v>
      </c>
      <c r="C671" s="28"/>
      <c r="D671" s="28"/>
    </row>
    <row r="672" spans="1:4" ht="12.75" customHeight="1" x14ac:dyDescent="0.35">
      <c r="A672" s="28"/>
      <c r="B672" s="28"/>
      <c r="C672" s="28" t="s">
        <v>2898</v>
      </c>
      <c r="D672" s="28"/>
    </row>
    <row r="673" spans="1:4" ht="12.75" customHeight="1" x14ac:dyDescent="0.35">
      <c r="A673" s="28"/>
      <c r="B673" s="28"/>
      <c r="C673" s="28"/>
      <c r="D673" s="28"/>
    </row>
    <row r="674" spans="1:4" ht="12.75" customHeight="1" x14ac:dyDescent="0.35">
      <c r="A674" s="28"/>
      <c r="B674" s="28"/>
      <c r="C674" s="28" t="s">
        <v>2899</v>
      </c>
      <c r="D674" s="28"/>
    </row>
    <row r="675" spans="1:4" ht="12.75" customHeight="1" x14ac:dyDescent="0.35">
      <c r="A675" s="28"/>
      <c r="B675" s="28" t="str">
        <f>"Fritt kassaflöde "&amp;IF(FCFEinUse&lt;&gt;1,"(FCF)"," till företag (FCFF)")</f>
        <v>Fritt kassaflöde (FCF)</v>
      </c>
      <c r="C675" s="28"/>
      <c r="D675" s="28"/>
    </row>
    <row r="676" spans="1:4" ht="12.75" customHeight="1" x14ac:dyDescent="0.35">
      <c r="A676" s="28"/>
      <c r="B676" s="28" t="str">
        <f>"Diskonterat fritt kassaflöde "&amp;IF(FCFEinUse&lt;&gt;1,"(DFCF)"," till företag (DFCFF)")</f>
        <v>Diskonterat fritt kassaflöde (DFCF)</v>
      </c>
      <c r="C676" s="28"/>
      <c r="D676" s="28"/>
    </row>
    <row r="677" spans="1:4" ht="12.75" customHeight="1" x14ac:dyDescent="0.35">
      <c r="A677" s="28"/>
      <c r="B677" s="28" t="str">
        <f>"Kumulativt diskonterat fritt kassaflöde"&amp;IF(FCFEinUse&lt;&gt;1,""," till företag")</f>
        <v>Kumulativt diskonterat fritt kassaflöde</v>
      </c>
      <c r="C677" s="28"/>
      <c r="D677" s="28"/>
    </row>
    <row r="678" spans="1:4" ht="12.75" customHeight="1" x14ac:dyDescent="0.35">
      <c r="A678" s="28"/>
      <c r="B678" s="28" t="s">
        <v>2900</v>
      </c>
      <c r="C678" s="28"/>
      <c r="D678" s="28"/>
    </row>
    <row r="679" spans="1:4" ht="12.75" customHeight="1" x14ac:dyDescent="0.35">
      <c r="A679" s="28"/>
      <c r="B679" s="28" t="s">
        <v>784</v>
      </c>
      <c r="C679" s="28"/>
      <c r="D679" s="28"/>
    </row>
    <row r="680" spans="1:4" ht="12.75" customHeight="1" x14ac:dyDescent="0.35">
      <c r="A680" s="28"/>
      <c r="B680" s="28" t="s">
        <v>2901</v>
      </c>
      <c r="C680" s="28"/>
      <c r="D680" s="28"/>
    </row>
    <row r="681" spans="1:4" ht="12.75" customHeight="1" x14ac:dyDescent="0.35">
      <c r="A681" s="28"/>
      <c r="B681" s="28" t="s">
        <v>2902</v>
      </c>
      <c r="C681" s="28"/>
      <c r="D681" s="28"/>
    </row>
    <row r="682" spans="1:4" ht="12.75" customHeight="1" x14ac:dyDescent="0.35">
      <c r="A682" s="28"/>
      <c r="B682" s="28"/>
      <c r="C682" s="28" t="s">
        <v>2847</v>
      </c>
      <c r="D682" s="28"/>
    </row>
    <row r="683" spans="1:4" ht="12.75" customHeight="1" x14ac:dyDescent="0.35">
      <c r="A683" s="28"/>
      <c r="B683" s="28"/>
      <c r="C683" s="28" t="s">
        <v>2903</v>
      </c>
      <c r="D683" s="28"/>
    </row>
    <row r="684" spans="1:4" ht="12.75" customHeight="1" x14ac:dyDescent="0.35">
      <c r="A684" s="28"/>
      <c r="B684" s="28"/>
      <c r="C684" s="28" t="s">
        <v>2904</v>
      </c>
      <c r="D684" s="28"/>
    </row>
    <row r="685" spans="1:4" ht="12.75" customHeight="1" x14ac:dyDescent="0.35">
      <c r="A685" s="28"/>
      <c r="B685" s="28"/>
      <c r="C685" s="28" t="s">
        <v>2905</v>
      </c>
      <c r="D685" s="28"/>
    </row>
    <row r="686" spans="1:4" ht="12.75" customHeight="1" x14ac:dyDescent="0.35">
      <c r="A686" s="28"/>
      <c r="B686" s="28"/>
      <c r="C686" s="28" t="str">
        <f>C684</f>
        <v>Främmande kapital, ökning (+) / amort. (-)</v>
      </c>
      <c r="D686" s="28"/>
    </row>
    <row r="687" spans="1:4" ht="12.75" customHeight="1" x14ac:dyDescent="0.35">
      <c r="A687" s="28"/>
      <c r="B687" s="28"/>
      <c r="C687" s="28" t="s">
        <v>2906</v>
      </c>
      <c r="D687" s="28"/>
    </row>
    <row r="688" spans="1:4" ht="12.75" customHeight="1" x14ac:dyDescent="0.35">
      <c r="A688" s="28"/>
      <c r="B688" s="28"/>
      <c r="C688" s="28" t="s">
        <v>2907</v>
      </c>
      <c r="D688" s="28"/>
    </row>
    <row r="689" spans="1:4" ht="12.75" customHeight="1" x14ac:dyDescent="0.35">
      <c r="A689" s="28"/>
      <c r="B689" s="28"/>
      <c r="C689" s="1241" t="s">
        <v>5400</v>
      </c>
      <c r="D689" s="28"/>
    </row>
    <row r="690" spans="1:4" ht="12.75" customHeight="1" x14ac:dyDescent="0.35">
      <c r="A690" s="28"/>
      <c r="B690" s="28"/>
      <c r="C690" s="28" t="s">
        <v>2908</v>
      </c>
      <c r="D690" s="28"/>
    </row>
    <row r="691" spans="1:4" ht="12.75" customHeight="1" x14ac:dyDescent="0.35">
      <c r="A691" s="28"/>
      <c r="B691" s="28"/>
      <c r="C691" s="28" t="s">
        <v>2909</v>
      </c>
      <c r="D691" s="28"/>
    </row>
    <row r="692" spans="1:4" ht="12.75" customHeight="1" x14ac:dyDescent="0.35">
      <c r="A692" s="28"/>
      <c r="B692" s="28" t="s">
        <v>2910</v>
      </c>
      <c r="D692" s="28"/>
    </row>
    <row r="693" spans="1:4" ht="12.75" customHeight="1" x14ac:dyDescent="0.35">
      <c r="A693" s="28"/>
      <c r="B693" s="28" t="s">
        <v>2911</v>
      </c>
      <c r="D693" s="28"/>
    </row>
    <row r="694" spans="1:4" ht="12.75" customHeight="1" x14ac:dyDescent="0.35">
      <c r="A694" s="28"/>
      <c r="B694" s="28" t="s">
        <v>2912</v>
      </c>
      <c r="D694" s="28"/>
    </row>
    <row r="695" spans="1:4" ht="12.75" customHeight="1" x14ac:dyDescent="0.35">
      <c r="A695" s="28"/>
      <c r="B695" s="28" t="s">
        <v>2913</v>
      </c>
      <c r="D695" s="28"/>
    </row>
    <row r="696" spans="1:4" ht="12.75" customHeight="1" x14ac:dyDescent="0.35">
      <c r="A696" s="28"/>
      <c r="B696" s="28"/>
      <c r="C696" s="28" t="s">
        <v>2914</v>
      </c>
      <c r="D696" s="28"/>
    </row>
    <row r="697" spans="1:4" ht="12.75" customHeight="1" x14ac:dyDescent="0.35">
      <c r="A697" s="28"/>
      <c r="B697" s="28"/>
      <c r="C697" s="28" t="s">
        <v>2915</v>
      </c>
      <c r="D697" s="28"/>
    </row>
    <row r="698" spans="1:4" ht="12.75" customHeight="1" x14ac:dyDescent="0.35">
      <c r="A698" s="28"/>
      <c r="B698" s="28"/>
      <c r="C698" s="28" t="s">
        <v>2916</v>
      </c>
      <c r="D698" s="28"/>
    </row>
    <row r="699" spans="1:4" ht="12.75" customHeight="1" x14ac:dyDescent="0.35">
      <c r="A699" s="28"/>
      <c r="B699" s="28"/>
      <c r="C699" s="28" t="s">
        <v>2917</v>
      </c>
      <c r="D699" s="28"/>
    </row>
    <row r="700" spans="1:4" ht="12.75" customHeight="1" x14ac:dyDescent="0.35">
      <c r="A700" s="28"/>
      <c r="B700" s="28"/>
      <c r="C700" s="28" t="s">
        <v>2918</v>
      </c>
      <c r="D700" s="28"/>
    </row>
    <row r="701" spans="1:4" ht="12.75" customHeight="1" x14ac:dyDescent="0.35">
      <c r="A701" s="28"/>
      <c r="B701" s="28"/>
      <c r="C701" s="105" t="s">
        <v>2919</v>
      </c>
      <c r="D701" s="28"/>
    </row>
    <row r="702" spans="1:4" ht="12.75" customHeight="1" x14ac:dyDescent="0.35">
      <c r="A702" s="28"/>
      <c r="B702" s="28" t="s">
        <v>2920</v>
      </c>
      <c r="C702" s="28"/>
      <c r="D702" s="28"/>
    </row>
    <row r="703" spans="1:4" ht="12.75" customHeight="1" x14ac:dyDescent="0.35">
      <c r="A703" s="28"/>
      <c r="B703" s="28" t="s">
        <v>2921</v>
      </c>
      <c r="C703" s="28"/>
      <c r="D703" s="28"/>
    </row>
    <row r="704" spans="1:4" ht="12.75" customHeight="1" x14ac:dyDescent="0.35">
      <c r="A704" s="28"/>
      <c r="B704" s="28"/>
      <c r="C704" s="28"/>
      <c r="D704" s="28"/>
    </row>
    <row r="705" spans="1:4" ht="12.75" customHeight="1" x14ac:dyDescent="0.35">
      <c r="A705" s="28"/>
      <c r="B705" s="28"/>
      <c r="C705" s="28"/>
      <c r="D705" s="28"/>
    </row>
    <row r="706" spans="1:4" ht="12.75" customHeight="1" x14ac:dyDescent="0.35">
      <c r="A706" s="28"/>
      <c r="B706" s="28"/>
      <c r="C706" s="28"/>
      <c r="D706" s="28"/>
    </row>
    <row r="707" spans="1:4" ht="12.75" customHeight="1" x14ac:dyDescent="0.35">
      <c r="A707" s="28"/>
      <c r="B707" s="28" t="s">
        <v>2922</v>
      </c>
      <c r="C707" s="28"/>
      <c r="D707" s="28"/>
    </row>
    <row r="708" spans="1:4" ht="12.75" customHeight="1" x14ac:dyDescent="0.35">
      <c r="A708" s="28"/>
      <c r="B708" s="28"/>
      <c r="C708" s="28"/>
      <c r="D708" s="28"/>
    </row>
    <row r="709" spans="1:4" ht="12.75" customHeight="1" x14ac:dyDescent="0.35">
      <c r="A709" s="28"/>
      <c r="B709" s="28" t="s">
        <v>2789</v>
      </c>
      <c r="C709" s="28"/>
      <c r="D709" s="28"/>
    </row>
    <row r="710" spans="1:4" ht="12.75" customHeight="1" x14ac:dyDescent="0.35">
      <c r="A710" s="28"/>
      <c r="B710" s="28" t="s">
        <v>2923</v>
      </c>
      <c r="C710" s="28"/>
      <c r="D710" s="28" t="s">
        <v>2924</v>
      </c>
    </row>
    <row r="711" spans="1:4" ht="12.75" customHeight="1" x14ac:dyDescent="0.35">
      <c r="A711" s="28"/>
      <c r="B711" s="28" t="s">
        <v>2925</v>
      </c>
      <c r="C711" s="28"/>
      <c r="D711" s="28"/>
    </row>
    <row r="712" spans="1:4" ht="12.75" customHeight="1" x14ac:dyDescent="0.35">
      <c r="A712" s="28"/>
      <c r="B712" s="28"/>
      <c r="C712" s="28" t="s">
        <v>2926</v>
      </c>
      <c r="D712" s="28"/>
    </row>
    <row r="713" spans="1:4" ht="12.75" customHeight="1" x14ac:dyDescent="0.35">
      <c r="A713" s="28"/>
      <c r="B713" s="28"/>
      <c r="C713" s="28" t="s">
        <v>2927</v>
      </c>
      <c r="D713" s="28"/>
    </row>
    <row r="714" spans="1:4" ht="12.75" customHeight="1" x14ac:dyDescent="0.35">
      <c r="A714" s="28"/>
      <c r="B714" s="28"/>
      <c r="C714" s="28" t="s">
        <v>2928</v>
      </c>
      <c r="D714" s="28"/>
    </row>
    <row r="715" spans="1:4" ht="12.75" customHeight="1" x14ac:dyDescent="0.35">
      <c r="A715" s="28"/>
      <c r="B715" s="28"/>
      <c r="C715" s="28" t="s">
        <v>2927</v>
      </c>
      <c r="D715" s="28"/>
    </row>
    <row r="716" spans="1:4" ht="12.75" customHeight="1" x14ac:dyDescent="0.35">
      <c r="A716" s="28"/>
      <c r="B716" s="28"/>
      <c r="C716" s="103" t="s">
        <v>2929</v>
      </c>
      <c r="D716" s="28"/>
    </row>
    <row r="717" spans="1:4" ht="12.75" customHeight="1" x14ac:dyDescent="0.35">
      <c r="A717" s="28"/>
      <c r="B717" s="28"/>
      <c r="C717" s="28" t="s">
        <v>2930</v>
      </c>
      <c r="D717" s="28"/>
    </row>
    <row r="718" spans="1:4" ht="12.75" customHeight="1" x14ac:dyDescent="0.35">
      <c r="A718" s="28"/>
      <c r="B718" s="28"/>
      <c r="C718" s="28" t="s">
        <v>2931</v>
      </c>
      <c r="D718" s="28"/>
    </row>
    <row r="719" spans="1:4" ht="12.75" customHeight="1" x14ac:dyDescent="0.35">
      <c r="A719" s="28"/>
      <c r="B719" s="28"/>
      <c r="C719" s="28" t="s">
        <v>2930</v>
      </c>
      <c r="D719" s="28"/>
    </row>
    <row r="720" spans="1:4" ht="12.75" customHeight="1" x14ac:dyDescent="0.35">
      <c r="A720" s="28"/>
      <c r="B720" s="28"/>
      <c r="C720" s="103" t="s">
        <v>2929</v>
      </c>
      <c r="D720" s="28"/>
    </row>
    <row r="721" spans="1:4" ht="12.75" customHeight="1" x14ac:dyDescent="0.35">
      <c r="A721" s="28"/>
      <c r="B721" s="28"/>
      <c r="C721" s="103" t="s">
        <v>529</v>
      </c>
      <c r="D721" s="28"/>
    </row>
    <row r="722" spans="1:4" ht="12.75" customHeight="1" x14ac:dyDescent="0.35">
      <c r="A722" s="28"/>
      <c r="B722" s="28"/>
      <c r="C722" s="103" t="s">
        <v>2932</v>
      </c>
      <c r="D722" s="28"/>
    </row>
    <row r="723" spans="1:4" ht="12.75" customHeight="1" x14ac:dyDescent="0.35">
      <c r="A723" s="28"/>
      <c r="B723" s="28"/>
      <c r="C723" s="103" t="s">
        <v>529</v>
      </c>
      <c r="D723" s="28"/>
    </row>
    <row r="724" spans="1:4" ht="12.75" customHeight="1" x14ac:dyDescent="0.35">
      <c r="A724" s="28"/>
      <c r="B724" s="28"/>
      <c r="C724" s="103" t="s">
        <v>2929</v>
      </c>
      <c r="D724" s="28"/>
    </row>
    <row r="725" spans="1:4" ht="12.75" customHeight="1" x14ac:dyDescent="0.35">
      <c r="A725" s="28"/>
      <c r="B725" s="28"/>
      <c r="C725" s="28" t="s">
        <v>2933</v>
      </c>
      <c r="D725" s="28"/>
    </row>
    <row r="726" spans="1:4" ht="12.75" customHeight="1" x14ac:dyDescent="0.35">
      <c r="A726" s="28"/>
      <c r="B726" s="28"/>
      <c r="C726" s="28" t="s">
        <v>2934</v>
      </c>
      <c r="D726" s="28"/>
    </row>
    <row r="727" spans="1:4" ht="12.75" customHeight="1" x14ac:dyDescent="0.35">
      <c r="A727" s="28"/>
      <c r="B727" s="28"/>
      <c r="C727" s="28" t="s">
        <v>2933</v>
      </c>
      <c r="D727" s="28"/>
    </row>
    <row r="728" spans="1:4" ht="12.75" customHeight="1" x14ac:dyDescent="0.35">
      <c r="A728" s="28"/>
      <c r="B728" s="28"/>
      <c r="C728" s="103" t="s">
        <v>2929</v>
      </c>
      <c r="D728" s="28"/>
    </row>
    <row r="729" spans="1:4" ht="12.75" customHeight="1" x14ac:dyDescent="0.35">
      <c r="A729" s="28"/>
      <c r="B729" s="28"/>
      <c r="C729" s="28" t="s">
        <v>2935</v>
      </c>
      <c r="D729" s="28"/>
    </row>
    <row r="730" spans="1:4" ht="12.75" customHeight="1" x14ac:dyDescent="0.35">
      <c r="A730" s="28"/>
      <c r="B730" s="28"/>
      <c r="C730" s="28" t="s">
        <v>2936</v>
      </c>
      <c r="D730" s="28"/>
    </row>
    <row r="731" spans="1:4" ht="12.75" customHeight="1" x14ac:dyDescent="0.35">
      <c r="A731" s="28"/>
      <c r="B731" s="28"/>
      <c r="C731" s="28" t="s">
        <v>2937</v>
      </c>
      <c r="D731" s="28"/>
    </row>
    <row r="732" spans="1:4" ht="12.75" customHeight="1" x14ac:dyDescent="0.35">
      <c r="A732" s="28"/>
      <c r="B732" s="28"/>
      <c r="C732" s="28" t="s">
        <v>2936</v>
      </c>
      <c r="D732" s="28"/>
    </row>
    <row r="733" spans="1:4" ht="12.75" customHeight="1" x14ac:dyDescent="0.35">
      <c r="A733" s="28"/>
      <c r="B733" s="28"/>
      <c r="C733" s="103" t="s">
        <v>2929</v>
      </c>
      <c r="D733" s="28"/>
    </row>
    <row r="734" spans="1:4" ht="12.75" customHeight="1" x14ac:dyDescent="0.35">
      <c r="A734" s="28"/>
      <c r="B734" s="28"/>
      <c r="C734" s="28" t="s">
        <v>2938</v>
      </c>
      <c r="D734" s="28"/>
    </row>
    <row r="735" spans="1:4" ht="12.75" customHeight="1" x14ac:dyDescent="0.35">
      <c r="A735" s="28"/>
      <c r="B735" s="28"/>
      <c r="C735" s="28" t="s">
        <v>2939</v>
      </c>
      <c r="D735" s="28"/>
    </row>
    <row r="736" spans="1:4" ht="12.75" customHeight="1" x14ac:dyDescent="0.35">
      <c r="A736" s="28"/>
      <c r="B736" s="28"/>
      <c r="C736" s="28" t="s">
        <v>2938</v>
      </c>
      <c r="D736" s="28"/>
    </row>
    <row r="737" spans="1:4" ht="12.75" customHeight="1" x14ac:dyDescent="0.35">
      <c r="A737" s="28"/>
      <c r="B737" s="28"/>
      <c r="C737" s="103" t="s">
        <v>2929</v>
      </c>
      <c r="D737" s="28"/>
    </row>
    <row r="738" spans="1:4" ht="12.75" customHeight="1" x14ac:dyDescent="0.35">
      <c r="A738" s="28"/>
      <c r="B738" s="28"/>
      <c r="C738" s="28" t="s">
        <v>2940</v>
      </c>
      <c r="D738" s="28"/>
    </row>
    <row r="739" spans="1:4" ht="12.75" customHeight="1" x14ac:dyDescent="0.35">
      <c r="A739" s="28"/>
      <c r="B739" s="28"/>
      <c r="C739" s="28" t="s">
        <v>2941</v>
      </c>
      <c r="D739" s="28"/>
    </row>
    <row r="740" spans="1:4" ht="12.75" customHeight="1" x14ac:dyDescent="0.35">
      <c r="A740" s="28"/>
      <c r="B740" s="28"/>
      <c r="C740" s="28" t="s">
        <v>2940</v>
      </c>
      <c r="D740" s="28"/>
    </row>
    <row r="741" spans="1:4" ht="12.75" customHeight="1" x14ac:dyDescent="0.35">
      <c r="A741" s="28"/>
      <c r="B741" s="28"/>
      <c r="C741" s="103" t="s">
        <v>2929</v>
      </c>
      <c r="D741" s="28"/>
    </row>
    <row r="742" spans="1:4" ht="12.75" customHeight="1" x14ac:dyDescent="0.35">
      <c r="A742" s="28"/>
      <c r="B742" s="28"/>
      <c r="C742" s="105" t="s">
        <v>2942</v>
      </c>
      <c r="D742" s="28"/>
    </row>
    <row r="743" spans="1:4" ht="12.75" customHeight="1" x14ac:dyDescent="0.35">
      <c r="A743" s="28"/>
      <c r="B743" s="28"/>
      <c r="C743" s="105" t="s">
        <v>2943</v>
      </c>
      <c r="D743" s="28"/>
    </row>
    <row r="744" spans="1:4" ht="12.75" customHeight="1" x14ac:dyDescent="0.35">
      <c r="A744" s="28"/>
      <c r="B744" s="28"/>
      <c r="C744" s="105" t="s">
        <v>2942</v>
      </c>
      <c r="D744" s="28"/>
    </row>
    <row r="745" spans="1:4" ht="12.75" customHeight="1" x14ac:dyDescent="0.35">
      <c r="A745" s="28"/>
      <c r="B745" s="28"/>
      <c r="C745" s="106" t="s">
        <v>2929</v>
      </c>
      <c r="D745" s="28"/>
    </row>
    <row r="746" spans="1:4" ht="12.75" customHeight="1" x14ac:dyDescent="0.35">
      <c r="A746" s="28"/>
      <c r="B746" s="28"/>
      <c r="C746" s="28" t="s">
        <v>2944</v>
      </c>
      <c r="D746" s="28"/>
    </row>
    <row r="747" spans="1:4" ht="12.75" customHeight="1" x14ac:dyDescent="0.35">
      <c r="A747" s="28"/>
      <c r="B747" s="28"/>
      <c r="C747" s="28" t="s">
        <v>2945</v>
      </c>
      <c r="D747" s="28"/>
    </row>
    <row r="748" spans="1:4" ht="12.75" customHeight="1" x14ac:dyDescent="0.35">
      <c r="A748" s="28"/>
      <c r="B748" s="28"/>
      <c r="C748" s="28" t="s">
        <v>2944</v>
      </c>
      <c r="D748" s="28"/>
    </row>
    <row r="749" spans="1:4" ht="12.75" customHeight="1" x14ac:dyDescent="0.35">
      <c r="A749" s="28"/>
      <c r="B749" s="28"/>
      <c r="C749" s="103" t="s">
        <v>2929</v>
      </c>
      <c r="D749" s="28"/>
    </row>
    <row r="750" spans="1:4" ht="12.75" customHeight="1" x14ac:dyDescent="0.35">
      <c r="A750" s="28"/>
      <c r="B750" s="28"/>
      <c r="C750" s="28" t="s">
        <v>2946</v>
      </c>
      <c r="D750" s="28"/>
    </row>
    <row r="751" spans="1:4" ht="12.75" customHeight="1" x14ac:dyDescent="0.35">
      <c r="A751" s="28"/>
      <c r="B751" s="28"/>
      <c r="C751" s="28" t="s">
        <v>2947</v>
      </c>
      <c r="D751" s="28"/>
    </row>
    <row r="752" spans="1:4" ht="12.75" customHeight="1" x14ac:dyDescent="0.35">
      <c r="A752" s="28"/>
      <c r="B752" s="28"/>
      <c r="C752" s="28" t="s">
        <v>2948</v>
      </c>
      <c r="D752" s="28"/>
    </row>
    <row r="753" spans="1:4" ht="12.75" customHeight="1" x14ac:dyDescent="0.35">
      <c r="A753" s="28"/>
      <c r="B753" s="28"/>
      <c r="C753" s="28" t="s">
        <v>2947</v>
      </c>
      <c r="D753" s="28"/>
    </row>
    <row r="754" spans="1:4" ht="12.75" customHeight="1" x14ac:dyDescent="0.35">
      <c r="A754" s="28"/>
      <c r="B754" s="28"/>
      <c r="C754" s="103" t="s">
        <v>2929</v>
      </c>
      <c r="D754" s="28"/>
    </row>
    <row r="755" spans="1:4" ht="12.75" customHeight="1" x14ac:dyDescent="0.35">
      <c r="A755" s="28"/>
      <c r="B755" s="28"/>
      <c r="C755" s="28" t="s">
        <v>2949</v>
      </c>
      <c r="D755" s="28"/>
    </row>
    <row r="756" spans="1:4" ht="12.75" customHeight="1" x14ac:dyDescent="0.35">
      <c r="A756" s="28"/>
      <c r="B756" s="28"/>
      <c r="C756" s="28" t="s">
        <v>2950</v>
      </c>
      <c r="D756" s="28"/>
    </row>
    <row r="757" spans="1:4" ht="12.75" customHeight="1" x14ac:dyDescent="0.35">
      <c r="A757" s="28"/>
      <c r="B757" s="28"/>
      <c r="C757" s="28" t="s">
        <v>2949</v>
      </c>
      <c r="D757" s="28"/>
    </row>
    <row r="758" spans="1:4" ht="12.75" customHeight="1" x14ac:dyDescent="0.35">
      <c r="A758" s="28"/>
      <c r="B758" s="28"/>
      <c r="C758" s="103" t="s">
        <v>2929</v>
      </c>
      <c r="D758" s="28"/>
    </row>
    <row r="759" spans="1:4" ht="12.75" customHeight="1" x14ac:dyDescent="0.35">
      <c r="A759" s="28"/>
      <c r="B759" s="28"/>
      <c r="C759" s="28" t="s">
        <v>2951</v>
      </c>
      <c r="D759" s="28"/>
    </row>
    <row r="760" spans="1:4" ht="12.75" customHeight="1" x14ac:dyDescent="0.35">
      <c r="A760" s="28"/>
      <c r="B760" s="28"/>
      <c r="C760" s="28" t="s">
        <v>2952</v>
      </c>
      <c r="D760" s="28"/>
    </row>
    <row r="761" spans="1:4" ht="12.75" customHeight="1" x14ac:dyDescent="0.35">
      <c r="A761" s="28"/>
      <c r="B761" s="28"/>
      <c r="C761" s="28" t="s">
        <v>2951</v>
      </c>
      <c r="D761" s="28"/>
    </row>
    <row r="762" spans="1:4" ht="12.75" customHeight="1" x14ac:dyDescent="0.35">
      <c r="A762" s="28"/>
      <c r="B762" s="28"/>
      <c r="C762" s="103" t="s">
        <v>2929</v>
      </c>
      <c r="D762" s="28"/>
    </row>
    <row r="763" spans="1:4" ht="12.75" customHeight="1" x14ac:dyDescent="0.35">
      <c r="A763" s="28"/>
      <c r="B763" s="28"/>
      <c r="C763" s="28" t="s">
        <v>2953</v>
      </c>
      <c r="D763" s="28"/>
    </row>
    <row r="764" spans="1:4" ht="12.75" customHeight="1" x14ac:dyDescent="0.35">
      <c r="A764" s="28"/>
      <c r="B764" s="28"/>
      <c r="C764" s="28" t="s">
        <v>2954</v>
      </c>
      <c r="D764" s="28"/>
    </row>
    <row r="765" spans="1:4" ht="12.75" customHeight="1" x14ac:dyDescent="0.35">
      <c r="A765" s="28"/>
      <c r="B765" s="28"/>
      <c r="C765" s="28" t="s">
        <v>2953</v>
      </c>
      <c r="D765" s="28"/>
    </row>
    <row r="766" spans="1:4" ht="12.75" customHeight="1" x14ac:dyDescent="0.35">
      <c r="A766" s="28"/>
      <c r="B766" s="28"/>
      <c r="C766" s="103" t="s">
        <v>2929</v>
      </c>
      <c r="D766" s="28"/>
    </row>
    <row r="767" spans="1:4" ht="12.75" customHeight="1" x14ac:dyDescent="0.35">
      <c r="A767" s="28"/>
      <c r="B767" s="28"/>
      <c r="C767" s="28" t="s">
        <v>2955</v>
      </c>
      <c r="D767" s="28"/>
    </row>
    <row r="768" spans="1:4" ht="12.75" customHeight="1" x14ac:dyDescent="0.35">
      <c r="A768" s="28"/>
      <c r="B768" s="28" t="s">
        <v>2956</v>
      </c>
      <c r="C768" s="28"/>
      <c r="D768" s="28"/>
    </row>
    <row r="769" spans="1:4" ht="12.75" customHeight="1" x14ac:dyDescent="0.35">
      <c r="A769" s="28"/>
      <c r="B769" s="28"/>
      <c r="C769" s="28" t="s">
        <v>2957</v>
      </c>
      <c r="D769" s="28"/>
    </row>
    <row r="770" spans="1:4" ht="12.75" customHeight="1" x14ac:dyDescent="0.35">
      <c r="A770" s="28"/>
      <c r="B770" s="28"/>
      <c r="C770" s="28" t="s">
        <v>5263</v>
      </c>
      <c r="D770" s="28"/>
    </row>
    <row r="771" spans="1:4" ht="12.75" customHeight="1" x14ac:dyDescent="0.35">
      <c r="A771" s="28"/>
      <c r="B771" s="28"/>
      <c r="C771" s="1241" t="s">
        <v>5361</v>
      </c>
      <c r="D771" s="28"/>
    </row>
    <row r="772" spans="1:4" ht="12.75" customHeight="1" x14ac:dyDescent="0.35">
      <c r="A772" s="28"/>
      <c r="B772" s="28"/>
      <c r="C772" s="28" t="s">
        <v>2880</v>
      </c>
      <c r="D772" s="28"/>
    </row>
    <row r="773" spans="1:4" ht="12.75" customHeight="1" x14ac:dyDescent="0.35">
      <c r="A773" s="28"/>
      <c r="B773" s="28"/>
      <c r="C773" s="1241" t="s">
        <v>5369</v>
      </c>
      <c r="D773" s="28"/>
    </row>
    <row r="774" spans="1:4" ht="12.75" customHeight="1" x14ac:dyDescent="0.35">
      <c r="A774" s="28"/>
      <c r="B774" s="28"/>
      <c r="C774" s="28" t="s">
        <v>2958</v>
      </c>
      <c r="D774" s="28"/>
    </row>
    <row r="775" spans="1:4" ht="12.75" customHeight="1" x14ac:dyDescent="0.35">
      <c r="A775" s="28"/>
      <c r="B775" s="28"/>
      <c r="C775" s="28" t="s">
        <v>2959</v>
      </c>
      <c r="D775" s="28"/>
    </row>
    <row r="776" spans="1:4" ht="12.75" customHeight="1" x14ac:dyDescent="0.35">
      <c r="A776" s="28"/>
      <c r="B776" s="28" t="s">
        <v>2923</v>
      </c>
      <c r="C776" s="28"/>
      <c r="D776" s="28"/>
    </row>
    <row r="777" spans="1:4" ht="12.75" customHeight="1" x14ac:dyDescent="0.35">
      <c r="A777" s="28"/>
      <c r="B777" s="28"/>
      <c r="C777" s="28"/>
      <c r="D777" s="28"/>
    </row>
    <row r="778" spans="1:4" ht="12.75" customHeight="1" x14ac:dyDescent="0.35">
      <c r="A778" s="28"/>
      <c r="B778" s="28"/>
      <c r="C778" s="28"/>
      <c r="D778" s="28"/>
    </row>
    <row r="779" spans="1:4" ht="12.75" customHeight="1" x14ac:dyDescent="0.35">
      <c r="A779" s="28"/>
      <c r="B779" s="28"/>
      <c r="C779" s="28"/>
      <c r="D779" s="28"/>
    </row>
    <row r="780" spans="1:4" ht="12.75" customHeight="1" x14ac:dyDescent="0.35">
      <c r="A780" s="28"/>
      <c r="B780" s="28"/>
      <c r="C780" s="28"/>
      <c r="D780" s="28"/>
    </row>
    <row r="781" spans="1:4" ht="12.75" customHeight="1" x14ac:dyDescent="0.35">
      <c r="A781" s="28"/>
      <c r="B781" s="28"/>
      <c r="C781" s="28"/>
      <c r="D781" s="28"/>
    </row>
    <row r="782" spans="1:4" ht="12.75" customHeight="1" x14ac:dyDescent="0.35">
      <c r="A782" s="28"/>
      <c r="B782" s="28"/>
      <c r="C782" s="28"/>
      <c r="D782" s="28"/>
    </row>
    <row r="783" spans="1:4" ht="12.75" customHeight="1" x14ac:dyDescent="0.35">
      <c r="A783" s="28"/>
      <c r="B783" s="28"/>
      <c r="C783" s="28"/>
      <c r="D783" s="28"/>
    </row>
    <row r="784" spans="1:4" ht="12.75" customHeight="1" x14ac:dyDescent="0.35">
      <c r="A784" s="28"/>
      <c r="B784" s="28"/>
      <c r="C784" s="28"/>
      <c r="D784" s="28"/>
    </row>
    <row r="785" spans="1:4" ht="12.75" customHeight="1" x14ac:dyDescent="0.35">
      <c r="A785" s="28"/>
      <c r="B785" s="28"/>
      <c r="C785" s="28"/>
      <c r="D785" s="28"/>
    </row>
    <row r="786" spans="1:4" ht="12.75" customHeight="1" x14ac:dyDescent="0.35">
      <c r="A786" s="28"/>
      <c r="B786" s="28"/>
      <c r="C786" s="28"/>
      <c r="D786" s="28"/>
    </row>
    <row r="787" spans="1:4" ht="12.75" customHeight="1" x14ac:dyDescent="0.35">
      <c r="A787" s="28"/>
      <c r="B787" s="28"/>
      <c r="C787" s="28"/>
      <c r="D787" s="28"/>
    </row>
    <row r="788" spans="1:4" ht="12.75" customHeight="1" x14ac:dyDescent="0.35">
      <c r="A788" s="28"/>
      <c r="B788" s="28"/>
      <c r="C788" s="28"/>
      <c r="D788" s="28"/>
    </row>
    <row r="789" spans="1:4" ht="12.75" customHeight="1" x14ac:dyDescent="0.35">
      <c r="A789" s="28"/>
      <c r="B789" s="28" t="s">
        <v>2824</v>
      </c>
      <c r="C789" s="28"/>
      <c r="D789" s="28"/>
    </row>
    <row r="790" spans="1:4" ht="12.75" customHeight="1" x14ac:dyDescent="0.35">
      <c r="A790" s="28"/>
      <c r="B790" s="28" t="s">
        <v>2960</v>
      </c>
      <c r="C790" s="28"/>
      <c r="D790" s="28"/>
    </row>
    <row r="791" spans="1:4" ht="12.75" customHeight="1" x14ac:dyDescent="0.35">
      <c r="A791" s="28"/>
      <c r="B791" s="28" t="s">
        <v>2961</v>
      </c>
      <c r="C791" s="28"/>
      <c r="D791" s="28"/>
    </row>
    <row r="792" spans="1:4" ht="12.75" customHeight="1" x14ac:dyDescent="0.35">
      <c r="A792" s="28"/>
      <c r="B792" s="28"/>
      <c r="C792" s="28"/>
      <c r="D792" s="28"/>
    </row>
    <row r="793" spans="1:4" ht="12.75" customHeight="1" x14ac:dyDescent="0.35">
      <c r="A793" s="28"/>
      <c r="B793" s="28" t="s">
        <v>2962</v>
      </c>
      <c r="C793" s="28"/>
      <c r="D793" s="28"/>
    </row>
    <row r="794" spans="1:4" ht="12.75" customHeight="1" x14ac:dyDescent="0.35">
      <c r="A794" s="28"/>
      <c r="B794" s="28" t="s">
        <v>2963</v>
      </c>
      <c r="C794" s="28"/>
      <c r="D794" s="28"/>
    </row>
    <row r="795" spans="1:4" ht="12.75" customHeight="1" x14ac:dyDescent="0.35">
      <c r="A795" s="28"/>
      <c r="B795" s="28"/>
      <c r="C795" s="28" t="s">
        <v>2810</v>
      </c>
      <c r="D795" s="28"/>
    </row>
    <row r="796" spans="1:4" ht="12.75" customHeight="1" x14ac:dyDescent="0.35">
      <c r="A796" s="28"/>
      <c r="B796" s="28"/>
      <c r="C796" s="28" t="s">
        <v>2811</v>
      </c>
      <c r="D796" s="28"/>
    </row>
    <row r="797" spans="1:4" ht="12.75" customHeight="1" x14ac:dyDescent="0.35">
      <c r="A797" s="28"/>
      <c r="B797" s="28"/>
      <c r="C797" s="28" t="s">
        <v>2812</v>
      </c>
      <c r="D797" s="28"/>
    </row>
    <row r="798" spans="1:4" ht="12.75" customHeight="1" x14ac:dyDescent="0.35">
      <c r="A798" s="28"/>
      <c r="B798" s="28"/>
      <c r="C798" s="28" t="s">
        <v>2813</v>
      </c>
      <c r="D798" s="28"/>
    </row>
    <row r="799" spans="1:4" ht="12.75" customHeight="1" x14ac:dyDescent="0.35">
      <c r="A799" s="28"/>
      <c r="B799" s="28"/>
      <c r="C799" s="28" t="s">
        <v>2814</v>
      </c>
      <c r="D799" s="28"/>
    </row>
    <row r="800" spans="1:4" ht="12.75" customHeight="1" x14ac:dyDescent="0.35">
      <c r="A800" s="28"/>
      <c r="B800" s="28"/>
      <c r="C800" s="28" t="s">
        <v>2964</v>
      </c>
      <c r="D800" s="28"/>
    </row>
    <row r="801" spans="1:4" ht="12.75" customHeight="1" x14ac:dyDescent="0.35">
      <c r="A801" s="28"/>
      <c r="B801" s="105" t="s">
        <v>2965</v>
      </c>
      <c r="C801" s="28"/>
      <c r="D801" s="28"/>
    </row>
    <row r="802" spans="1:4" ht="12.75" customHeight="1" x14ac:dyDescent="0.35">
      <c r="A802" s="28"/>
      <c r="B802" s="101" t="s">
        <v>2966</v>
      </c>
      <c r="C802" s="28"/>
      <c r="D802" s="28"/>
    </row>
    <row r="803" spans="1:4" ht="12.75" customHeight="1" x14ac:dyDescent="0.35">
      <c r="A803" s="28"/>
      <c r="B803" s="28" t="s">
        <v>2871</v>
      </c>
      <c r="C803" s="28"/>
    </row>
    <row r="804" spans="1:4" ht="12.75" customHeight="1" x14ac:dyDescent="0.35">
      <c r="A804" s="28"/>
      <c r="B804" s="28" t="s">
        <v>2967</v>
      </c>
      <c r="C804" s="28"/>
    </row>
    <row r="805" spans="1:4" ht="12.75" customHeight="1" x14ac:dyDescent="0.35">
      <c r="A805" s="28"/>
      <c r="B805" s="28"/>
      <c r="C805" s="28" t="s">
        <v>2968</v>
      </c>
      <c r="D805" s="28"/>
    </row>
    <row r="806" spans="1:4" ht="12.75" customHeight="1" x14ac:dyDescent="0.35">
      <c r="A806" s="28"/>
      <c r="B806" s="28"/>
      <c r="C806" s="28" t="s">
        <v>2828</v>
      </c>
      <c r="D806" s="28"/>
    </row>
    <row r="807" spans="1:4" ht="12.75" customHeight="1" x14ac:dyDescent="0.35">
      <c r="A807" s="28"/>
      <c r="B807" s="28"/>
      <c r="C807" s="1241" t="s">
        <v>5407</v>
      </c>
      <c r="D807" s="28"/>
    </row>
    <row r="808" spans="1:4" ht="12.75" customHeight="1" x14ac:dyDescent="0.35">
      <c r="A808" s="28"/>
      <c r="B808" s="28"/>
      <c r="C808" s="28" t="s">
        <v>2969</v>
      </c>
      <c r="D808" s="28"/>
    </row>
    <row r="809" spans="1:4" ht="12.75" customHeight="1" x14ac:dyDescent="0.35">
      <c r="A809" s="28"/>
      <c r="B809" s="28"/>
      <c r="C809" s="101" t="s">
        <v>2970</v>
      </c>
      <c r="D809" s="28"/>
    </row>
    <row r="810" spans="1:4" ht="12.75" customHeight="1" x14ac:dyDescent="0.35">
      <c r="A810" s="28"/>
      <c r="B810" s="28"/>
      <c r="C810" s="28" t="s">
        <v>2788</v>
      </c>
      <c r="D810" s="28"/>
    </row>
    <row r="811" spans="1:4" ht="12.75" customHeight="1" x14ac:dyDescent="0.35">
      <c r="A811" s="28"/>
      <c r="B811" s="28"/>
      <c r="C811" s="28" t="s">
        <v>2971</v>
      </c>
      <c r="D811" s="28"/>
    </row>
    <row r="812" spans="1:4" ht="12.75" customHeight="1" x14ac:dyDescent="0.35">
      <c r="A812" s="28"/>
      <c r="B812" s="28"/>
      <c r="C812" s="28" t="s">
        <v>2972</v>
      </c>
      <c r="D812" s="28"/>
    </row>
    <row r="813" spans="1:4" ht="12.75" customHeight="1" x14ac:dyDescent="0.35">
      <c r="A813" s="28"/>
      <c r="B813" s="28"/>
      <c r="C813" s="28" t="s">
        <v>2973</v>
      </c>
      <c r="D813" s="28"/>
    </row>
    <row r="814" spans="1:4" ht="12.75" customHeight="1" x14ac:dyDescent="0.35">
      <c r="A814" s="28"/>
      <c r="B814" s="28"/>
      <c r="C814" s="28" t="s">
        <v>2974</v>
      </c>
      <c r="D814" s="28"/>
    </row>
    <row r="815" spans="1:4" ht="12.75" customHeight="1" x14ac:dyDescent="0.35">
      <c r="A815" s="28"/>
      <c r="B815" s="28"/>
      <c r="C815" s="194" t="s">
        <v>5281</v>
      </c>
      <c r="D815" s="28"/>
    </row>
    <row r="816" spans="1:4" ht="12.75" customHeight="1" x14ac:dyDescent="0.35">
      <c r="A816" s="28"/>
      <c r="B816" s="28"/>
      <c r="C816" s="28" t="s">
        <v>2886</v>
      </c>
      <c r="D816" s="28"/>
    </row>
    <row r="817" spans="1:4" ht="12.75" customHeight="1" x14ac:dyDescent="0.35">
      <c r="A817" s="28"/>
      <c r="B817" s="28"/>
      <c r="C817" s="1241" t="s">
        <v>5381</v>
      </c>
      <c r="D817" s="28"/>
    </row>
    <row r="818" spans="1:4" ht="12.75" customHeight="1" x14ac:dyDescent="0.35">
      <c r="A818" s="28"/>
      <c r="B818" s="28"/>
      <c r="C818" s="28" t="s">
        <v>2975</v>
      </c>
      <c r="D818" s="28"/>
    </row>
    <row r="819" spans="1:4" ht="12.75" customHeight="1" x14ac:dyDescent="0.35">
      <c r="A819" s="28"/>
      <c r="B819" s="28"/>
      <c r="C819" s="1241" t="s">
        <v>5413</v>
      </c>
      <c r="D819" s="28"/>
    </row>
    <row r="820" spans="1:4" ht="12.75" customHeight="1" x14ac:dyDescent="0.35">
      <c r="A820" s="28"/>
      <c r="B820" s="28"/>
      <c r="C820" s="28" t="s">
        <v>2976</v>
      </c>
      <c r="D820" s="28"/>
    </row>
    <row r="821" spans="1:4" ht="12.75" customHeight="1" x14ac:dyDescent="0.35">
      <c r="A821" s="28"/>
      <c r="B821" s="28"/>
      <c r="C821" s="28" t="s">
        <v>2977</v>
      </c>
      <c r="D821" s="28"/>
    </row>
    <row r="822" spans="1:4" ht="12.75" customHeight="1" x14ac:dyDescent="0.35">
      <c r="A822" s="28"/>
      <c r="B822" s="28"/>
      <c r="C822" s="28" t="s">
        <v>2978</v>
      </c>
      <c r="D822" s="28"/>
    </row>
    <row r="823" spans="1:4" ht="12.75" customHeight="1" x14ac:dyDescent="0.35">
      <c r="A823" s="28"/>
      <c r="B823" s="28" t="s">
        <v>2962</v>
      </c>
      <c r="C823" s="28"/>
      <c r="D823" s="28"/>
    </row>
    <row r="824" spans="1:4" ht="12.75" customHeight="1" x14ac:dyDescent="0.35">
      <c r="A824" s="28"/>
      <c r="B824" s="28" t="s">
        <v>2979</v>
      </c>
      <c r="C824" s="28"/>
      <c r="D824" s="28"/>
    </row>
    <row r="825" spans="1:4" ht="12.75" customHeight="1" x14ac:dyDescent="0.35">
      <c r="A825" s="28"/>
      <c r="B825" s="28" t="s">
        <v>2825</v>
      </c>
      <c r="C825" s="28"/>
      <c r="D825" s="28"/>
    </row>
    <row r="826" spans="1:4" ht="12.75" customHeight="1" x14ac:dyDescent="0.35">
      <c r="A826" s="28"/>
      <c r="B826" s="28" t="s">
        <v>2871</v>
      </c>
      <c r="C826" s="28"/>
      <c r="D826" s="28"/>
    </row>
    <row r="827" spans="1:4" ht="12.75" customHeight="1" x14ac:dyDescent="0.35">
      <c r="A827" s="28"/>
      <c r="B827" s="28" t="s">
        <v>2980</v>
      </c>
      <c r="C827" s="28"/>
      <c r="D827" s="28"/>
    </row>
    <row r="828" spans="1:4" ht="12.75" customHeight="1" x14ac:dyDescent="0.35">
      <c r="A828" s="28"/>
      <c r="B828" s="28" t="s">
        <v>2828</v>
      </c>
      <c r="C828" s="28"/>
      <c r="D828" s="28"/>
    </row>
    <row r="829" spans="1:4" ht="12.75" customHeight="1" x14ac:dyDescent="0.35">
      <c r="A829" s="28"/>
      <c r="B829" s="28" t="s">
        <v>2972</v>
      </c>
      <c r="C829" s="28"/>
      <c r="D829" s="28"/>
    </row>
    <row r="830" spans="1:4" ht="12.75" customHeight="1" x14ac:dyDescent="0.35">
      <c r="A830" s="28"/>
      <c r="B830" s="28" t="s">
        <v>2981</v>
      </c>
      <c r="C830" s="28"/>
      <c r="D830" s="28"/>
    </row>
    <row r="831" spans="1:4" ht="12.75" customHeight="1" x14ac:dyDescent="0.35">
      <c r="A831" s="28"/>
      <c r="B831" s="28" t="s">
        <v>2982</v>
      </c>
      <c r="C831" s="28"/>
      <c r="D831" s="28"/>
    </row>
    <row r="832" spans="1:4" ht="12.75" customHeight="1" x14ac:dyDescent="0.35">
      <c r="A832" s="28"/>
      <c r="B832" s="28"/>
      <c r="C832" s="28"/>
      <c r="D832" s="28"/>
    </row>
    <row r="833" spans="1:4" ht="12.75" customHeight="1" x14ac:dyDescent="0.35">
      <c r="A833" s="28"/>
      <c r="B833" s="28" t="s">
        <v>2983</v>
      </c>
      <c r="C833" s="28"/>
      <c r="D833" s="28"/>
    </row>
    <row r="834" spans="1:4" ht="12.75" customHeight="1" x14ac:dyDescent="0.35">
      <c r="A834" s="28"/>
      <c r="B834" s="107" t="s">
        <v>2984</v>
      </c>
      <c r="C834" s="28"/>
      <c r="D834" s="28"/>
    </row>
    <row r="835" spans="1:4" ht="12.75" customHeight="1" x14ac:dyDescent="0.35">
      <c r="A835" s="28"/>
      <c r="B835" s="107" t="s">
        <v>2901</v>
      </c>
      <c r="C835" s="28"/>
      <c r="D835" s="28"/>
    </row>
    <row r="836" spans="1:4" ht="12.75" customHeight="1" x14ac:dyDescent="0.35">
      <c r="A836" s="28"/>
      <c r="B836" s="28" t="s">
        <v>2985</v>
      </c>
      <c r="C836" s="28"/>
      <c r="D836" s="28"/>
    </row>
    <row r="837" spans="1:4" ht="12.75" customHeight="1" x14ac:dyDescent="0.35"/>
    <row r="838" spans="1:4" ht="12.75" customHeight="1" x14ac:dyDescent="0.35"/>
    <row r="839" spans="1:4" ht="12.75" customHeight="1" x14ac:dyDescent="0.35"/>
    <row r="840" spans="1:4" ht="12.75" customHeight="1" x14ac:dyDescent="0.35">
      <c r="B840" s="97" t="s">
        <v>2986</v>
      </c>
    </row>
    <row r="841" spans="1:4" ht="12.75" customHeight="1" x14ac:dyDescent="0.35"/>
    <row r="842" spans="1:4" ht="12.75" customHeight="1" x14ac:dyDescent="0.35">
      <c r="B842" s="28" t="s">
        <v>2789</v>
      </c>
    </row>
  </sheetData>
  <printOptions gridLines="1"/>
  <pageMargins left="0.75" right="0.75" top="1" bottom="1" header="0.5" footer="0.5"/>
  <pageSetup paperSize="9" orientation="portrait" r:id="rId1"/>
  <headerFooter>
    <oddHeader>&amp;C&amp;A</oddHeader>
    <oddFooter>&amp;CPage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1">
    <pageSetUpPr autoPageBreaks="0"/>
  </sheetPr>
  <dimension ref="A1:D842"/>
  <sheetViews>
    <sheetView topLeftCell="A762" workbookViewId="0">
      <selection activeCell="E796" sqref="E796"/>
    </sheetView>
  </sheetViews>
  <sheetFormatPr defaultColWidth="9.1796875" defaultRowHeight="14.5" x14ac:dyDescent="0.35"/>
  <cols>
    <col min="1" max="1" width="0.81640625" style="97" customWidth="1"/>
    <col min="2" max="2" width="9.1796875" style="97"/>
    <col min="3" max="4" width="10.7265625" style="97" customWidth="1"/>
    <col min="5" max="16384" width="9.1796875" style="97"/>
  </cols>
  <sheetData>
    <row r="1" spans="1:4" ht="12.75" customHeight="1" x14ac:dyDescent="0.35">
      <c r="A1" s="28"/>
      <c r="B1" s="28" t="s">
        <v>2449</v>
      </c>
      <c r="C1" s="28"/>
      <c r="D1" s="28"/>
    </row>
    <row r="2" spans="1:4" ht="12.75" customHeight="1" x14ac:dyDescent="0.35">
      <c r="A2" s="28"/>
      <c r="B2" s="28" t="s">
        <v>2987</v>
      </c>
      <c r="C2" s="28"/>
      <c r="D2" s="28"/>
    </row>
    <row r="3" spans="1:4" ht="12.75" customHeight="1" x14ac:dyDescent="0.35">
      <c r="A3" s="28"/>
      <c r="B3" s="28" t="s">
        <v>2447</v>
      </c>
      <c r="C3" s="28"/>
      <c r="D3" s="28"/>
    </row>
    <row r="4" spans="1:4" ht="12.75" customHeight="1" x14ac:dyDescent="0.35">
      <c r="A4" s="28"/>
      <c r="B4" s="28" t="s">
        <v>2988</v>
      </c>
      <c r="C4" s="28"/>
      <c r="D4" s="28"/>
    </row>
    <row r="5" spans="1:4" ht="12.75" customHeight="1" x14ac:dyDescent="0.35">
      <c r="A5" s="28"/>
      <c r="B5" s="28" t="s">
        <v>2989</v>
      </c>
      <c r="C5" s="28"/>
      <c r="D5" s="28"/>
    </row>
    <row r="6" spans="1:4" ht="12.75" customHeight="1" x14ac:dyDescent="0.35">
      <c r="A6" s="28"/>
      <c r="B6" s="28" t="s">
        <v>2990</v>
      </c>
      <c r="C6" s="28"/>
      <c r="D6" s="28"/>
    </row>
    <row r="7" spans="1:4" ht="12.75" customHeight="1" x14ac:dyDescent="0.35">
      <c r="A7" s="28"/>
      <c r="B7" s="28"/>
      <c r="C7" s="28"/>
      <c r="D7" s="28"/>
    </row>
    <row r="8" spans="1:4" ht="12.75" customHeight="1" x14ac:dyDescent="0.35">
      <c r="A8" s="28"/>
      <c r="B8" s="28"/>
      <c r="C8" s="28"/>
      <c r="D8" s="28"/>
    </row>
    <row r="9" spans="1:4" ht="12.75" customHeight="1" x14ac:dyDescent="0.35">
      <c r="A9" s="28"/>
      <c r="B9" s="28"/>
      <c r="C9" s="28"/>
      <c r="D9" s="28"/>
    </row>
    <row r="10" spans="1:4" ht="12.75" customHeight="1" x14ac:dyDescent="0.35">
      <c r="A10" s="28"/>
      <c r="B10" s="28"/>
      <c r="C10" s="28"/>
      <c r="D10" s="28"/>
    </row>
    <row r="11" spans="1:4" ht="12.75" customHeight="1" x14ac:dyDescent="0.35">
      <c r="A11" s="28"/>
      <c r="B11" s="28" t="s">
        <v>2991</v>
      </c>
      <c r="C11" s="28"/>
      <c r="D11" s="28"/>
    </row>
    <row r="12" spans="1:4" ht="12.75" customHeight="1" x14ac:dyDescent="0.35">
      <c r="A12" s="28"/>
      <c r="B12" s="28" t="s">
        <v>2992</v>
      </c>
      <c r="C12" s="28"/>
      <c r="D12" s="28"/>
    </row>
    <row r="13" spans="1:4" ht="12.75" customHeight="1" x14ac:dyDescent="0.35">
      <c r="A13" s="28"/>
      <c r="B13" s="28" t="s">
        <v>4858</v>
      </c>
      <c r="C13" s="28"/>
      <c r="D13" s="28"/>
    </row>
    <row r="14" spans="1:4" ht="12.75" customHeight="1" x14ac:dyDescent="0.35">
      <c r="A14" s="28"/>
      <c r="B14" s="28"/>
      <c r="C14" s="28"/>
      <c r="D14" s="28"/>
    </row>
    <row r="15" spans="1:4" ht="12.75" customHeight="1" x14ac:dyDescent="0.35">
      <c r="A15" s="28"/>
      <c r="B15" s="28" t="s">
        <v>2993</v>
      </c>
      <c r="C15" s="28"/>
      <c r="D15" s="28"/>
    </row>
    <row r="16" spans="1:4" ht="12.75" customHeight="1" x14ac:dyDescent="0.35">
      <c r="A16" s="28"/>
      <c r="B16" s="28"/>
      <c r="C16" s="28"/>
      <c r="D16" s="28"/>
    </row>
    <row r="17" spans="1:4" ht="12.75" customHeight="1" x14ac:dyDescent="0.35">
      <c r="A17" s="28"/>
      <c r="B17" s="28" t="s">
        <v>2992</v>
      </c>
      <c r="C17" s="28"/>
      <c r="D17" s="28" t="s">
        <v>2995</v>
      </c>
    </row>
    <row r="18" spans="1:4" ht="12.75" customHeight="1" x14ac:dyDescent="0.35">
      <c r="A18" s="28"/>
      <c r="B18" s="28"/>
      <c r="C18" s="28"/>
      <c r="D18" s="28"/>
    </row>
    <row r="19" spans="1:4" ht="12.75" customHeight="1" x14ac:dyDescent="0.35">
      <c r="A19" s="28"/>
      <c r="B19" s="28"/>
      <c r="C19" s="28"/>
      <c r="D19" s="28"/>
    </row>
    <row r="20" spans="1:4" ht="12.75" customHeight="1" x14ac:dyDescent="0.35">
      <c r="A20" s="28"/>
      <c r="B20" s="28"/>
      <c r="C20" s="28"/>
      <c r="D20" s="28"/>
    </row>
    <row r="21" spans="1:4" ht="12.75" customHeight="1" x14ac:dyDescent="0.35">
      <c r="A21" s="28"/>
      <c r="B21" s="28"/>
      <c r="C21" s="28" t="s">
        <v>2997</v>
      </c>
      <c r="D21" s="28"/>
    </row>
    <row r="22" spans="1:4" ht="12.75" customHeight="1" x14ac:dyDescent="0.35">
      <c r="A22" s="28"/>
      <c r="B22" s="28"/>
      <c r="C22" s="28"/>
      <c r="D22" s="28"/>
    </row>
    <row r="23" spans="1:4" ht="12.75" customHeight="1" x14ac:dyDescent="0.35">
      <c r="A23" s="28"/>
      <c r="B23" s="28"/>
      <c r="C23" s="28"/>
      <c r="D23" s="28"/>
    </row>
    <row r="24" spans="1:4" ht="12.75" customHeight="1" x14ac:dyDescent="0.35">
      <c r="A24" s="28"/>
      <c r="B24" s="28"/>
      <c r="C24" s="28"/>
      <c r="D24" s="28"/>
    </row>
    <row r="25" spans="1:4" ht="12.75" customHeight="1" x14ac:dyDescent="0.35">
      <c r="A25" s="28"/>
      <c r="B25" s="28"/>
      <c r="C25" s="28" t="s">
        <v>2998</v>
      </c>
      <c r="D25" s="28"/>
    </row>
    <row r="26" spans="1:4" ht="12.75" customHeight="1" x14ac:dyDescent="0.35">
      <c r="A26" s="28"/>
      <c r="B26" s="28"/>
      <c r="C26" s="28"/>
      <c r="D26" s="28"/>
    </row>
    <row r="27" spans="1:4" ht="12.75" customHeight="1" x14ac:dyDescent="0.35">
      <c r="A27" s="28"/>
      <c r="B27" s="28"/>
      <c r="C27" s="28"/>
      <c r="D27" s="28"/>
    </row>
    <row r="28" spans="1:4" ht="12.75" customHeight="1" x14ac:dyDescent="0.35">
      <c r="A28" s="28"/>
      <c r="B28" s="28"/>
      <c r="C28" s="28"/>
      <c r="D28" s="28"/>
    </row>
    <row r="29" spans="1:4" ht="12.75" customHeight="1" x14ac:dyDescent="0.35">
      <c r="A29" s="28"/>
      <c r="B29" s="28"/>
      <c r="C29" s="28"/>
      <c r="D29" s="28"/>
    </row>
    <row r="30" spans="1:4" ht="12.75" customHeight="1" x14ac:dyDescent="0.35">
      <c r="A30" s="28"/>
      <c r="B30" s="28"/>
      <c r="C30" s="28"/>
      <c r="D30" s="28"/>
    </row>
    <row r="31" spans="1:4" ht="12.75" customHeight="1" x14ac:dyDescent="0.35">
      <c r="A31" s="28"/>
      <c r="B31" s="28"/>
      <c r="C31" s="28" t="s">
        <v>2997</v>
      </c>
      <c r="D31" s="28"/>
    </row>
    <row r="32" spans="1:4" ht="12.75" customHeight="1" x14ac:dyDescent="0.35">
      <c r="A32" s="28"/>
      <c r="B32" s="28"/>
      <c r="C32" s="28"/>
      <c r="D32" s="28"/>
    </row>
    <row r="33" spans="1:4" ht="12.75" customHeight="1" x14ac:dyDescent="0.35">
      <c r="A33" s="28"/>
      <c r="B33" s="28"/>
      <c r="C33" s="28"/>
      <c r="D33" s="28"/>
    </row>
    <row r="34" spans="1:4" ht="12.75" customHeight="1" x14ac:dyDescent="0.35">
      <c r="A34" s="28"/>
      <c r="B34" s="28"/>
      <c r="C34" s="28"/>
      <c r="D34" s="28"/>
    </row>
    <row r="35" spans="1:4" ht="12.75" customHeight="1" x14ac:dyDescent="0.35">
      <c r="A35" s="28"/>
      <c r="B35" s="28"/>
      <c r="C35" s="28" t="s">
        <v>2998</v>
      </c>
      <c r="D35" s="28"/>
    </row>
    <row r="36" spans="1:4" ht="12.75" customHeight="1" x14ac:dyDescent="0.35">
      <c r="A36" s="28"/>
      <c r="B36" s="28"/>
      <c r="C36" s="28"/>
      <c r="D36" s="28"/>
    </row>
    <row r="37" spans="1:4" ht="12.75" customHeight="1" x14ac:dyDescent="0.35">
      <c r="A37" s="28"/>
      <c r="B37" s="28"/>
      <c r="C37" s="28"/>
      <c r="D37" s="28"/>
    </row>
    <row r="38" spans="1:4" ht="12.75" customHeight="1" x14ac:dyDescent="0.35">
      <c r="A38" s="28"/>
      <c r="B38" s="28"/>
      <c r="C38" s="28"/>
      <c r="D38" s="28"/>
    </row>
    <row r="39" spans="1:4" ht="12.75" customHeight="1" x14ac:dyDescent="0.35">
      <c r="A39" s="28"/>
      <c r="B39" s="28"/>
      <c r="C39" s="28"/>
      <c r="D39" s="28"/>
    </row>
    <row r="40" spans="1:4" ht="12.75" customHeight="1" x14ac:dyDescent="0.35">
      <c r="A40" s="28"/>
      <c r="B40" s="28"/>
      <c r="C40" s="28"/>
      <c r="D40" s="28"/>
    </row>
    <row r="41" spans="1:4" ht="12.75" customHeight="1" x14ac:dyDescent="0.35">
      <c r="A41" s="28"/>
      <c r="B41" s="28"/>
      <c r="C41" s="28" t="s">
        <v>2997</v>
      </c>
      <c r="D41" s="28"/>
    </row>
    <row r="42" spans="1:4" ht="12.75" customHeight="1" x14ac:dyDescent="0.35">
      <c r="A42" s="28"/>
      <c r="B42" s="28"/>
      <c r="C42" s="28"/>
      <c r="D42" s="28"/>
    </row>
    <row r="43" spans="1:4" ht="12.75" customHeight="1" x14ac:dyDescent="0.35">
      <c r="A43" s="28"/>
      <c r="B43" s="28"/>
      <c r="C43" s="28"/>
      <c r="D43" s="28"/>
    </row>
    <row r="44" spans="1:4" ht="12.75" customHeight="1" x14ac:dyDescent="0.35">
      <c r="A44" s="28"/>
      <c r="B44" s="28"/>
      <c r="C44" s="28"/>
      <c r="D44" s="28"/>
    </row>
    <row r="45" spans="1:4" ht="12.75" customHeight="1" x14ac:dyDescent="0.35">
      <c r="A45" s="28"/>
      <c r="B45" s="28"/>
      <c r="C45" s="28" t="s">
        <v>2998</v>
      </c>
      <c r="D45" s="28"/>
    </row>
    <row r="46" spans="1:4" ht="12.75" customHeight="1" x14ac:dyDescent="0.35">
      <c r="A46" s="28"/>
      <c r="B46" s="28"/>
      <c r="C46" s="28"/>
      <c r="D46" s="28"/>
    </row>
    <row r="47" spans="1:4" ht="12.75" customHeight="1" x14ac:dyDescent="0.35">
      <c r="A47" s="28"/>
      <c r="B47" s="28"/>
      <c r="C47" s="28"/>
      <c r="D47" s="28"/>
    </row>
    <row r="48" spans="1:4" ht="12.75" customHeight="1" x14ac:dyDescent="0.35">
      <c r="A48" s="28"/>
      <c r="B48" s="28"/>
      <c r="C48" s="28"/>
      <c r="D48" s="28"/>
    </row>
    <row r="49" spans="1:4" ht="12.75" customHeight="1" x14ac:dyDescent="0.35">
      <c r="A49" s="28"/>
      <c r="B49" s="28"/>
      <c r="C49" s="28"/>
      <c r="D49" s="28"/>
    </row>
    <row r="50" spans="1:4" ht="12.75" customHeight="1" x14ac:dyDescent="0.35">
      <c r="A50" s="28"/>
      <c r="B50" s="28"/>
      <c r="C50" s="28"/>
      <c r="D50" s="28"/>
    </row>
    <row r="51" spans="1:4" ht="12.75" customHeight="1" x14ac:dyDescent="0.35">
      <c r="A51" s="28"/>
      <c r="B51" s="28"/>
      <c r="C51" s="28" t="s">
        <v>2997</v>
      </c>
      <c r="D51" s="28"/>
    </row>
    <row r="52" spans="1:4" ht="12.75" customHeight="1" x14ac:dyDescent="0.35">
      <c r="A52" s="28"/>
      <c r="B52" s="28"/>
      <c r="C52" s="28"/>
      <c r="D52" s="28"/>
    </row>
    <row r="53" spans="1:4" ht="12.75" customHeight="1" x14ac:dyDescent="0.35">
      <c r="A53" s="28"/>
      <c r="B53" s="28"/>
      <c r="C53" s="28"/>
      <c r="D53" s="28"/>
    </row>
    <row r="54" spans="1:4" ht="12.75" customHeight="1" x14ac:dyDescent="0.35">
      <c r="A54" s="28"/>
      <c r="B54" s="28"/>
      <c r="C54" s="28"/>
      <c r="D54" s="28"/>
    </row>
    <row r="55" spans="1:4" ht="12.75" customHeight="1" x14ac:dyDescent="0.35">
      <c r="A55" s="28"/>
      <c r="B55" s="28"/>
      <c r="C55" s="28" t="s">
        <v>2998</v>
      </c>
      <c r="D55" s="28"/>
    </row>
    <row r="56" spans="1:4" ht="12.75" customHeight="1" x14ac:dyDescent="0.35">
      <c r="A56" s="28"/>
      <c r="B56" s="28"/>
      <c r="C56" s="28"/>
      <c r="D56" s="28"/>
    </row>
    <row r="57" spans="1:4" ht="12.75" customHeight="1" x14ac:dyDescent="0.35">
      <c r="A57" s="28"/>
      <c r="B57" s="28"/>
      <c r="C57" s="28"/>
      <c r="D57" s="28"/>
    </row>
    <row r="58" spans="1:4" ht="12.75" customHeight="1" x14ac:dyDescent="0.35">
      <c r="A58" s="28"/>
      <c r="B58" s="28"/>
      <c r="C58" s="28"/>
      <c r="D58" s="28"/>
    </row>
    <row r="59" spans="1:4" ht="12.75" customHeight="1" x14ac:dyDescent="0.35">
      <c r="A59" s="28"/>
      <c r="B59" s="28"/>
      <c r="C59" s="28"/>
      <c r="D59" s="28"/>
    </row>
    <row r="60" spans="1:4" ht="12.75" customHeight="1" x14ac:dyDescent="0.35">
      <c r="A60" s="28"/>
      <c r="B60" s="28"/>
      <c r="C60" s="28"/>
      <c r="D60" s="28"/>
    </row>
    <row r="61" spans="1:4" ht="12.75" customHeight="1" x14ac:dyDescent="0.35">
      <c r="A61" s="28"/>
      <c r="B61" s="28"/>
      <c r="C61" s="28" t="s">
        <v>2997</v>
      </c>
      <c r="D61" s="28"/>
    </row>
    <row r="62" spans="1:4" ht="12.75" customHeight="1" x14ac:dyDescent="0.35">
      <c r="A62" s="28"/>
      <c r="B62" s="28"/>
      <c r="C62" s="28"/>
      <c r="D62" s="28"/>
    </row>
    <row r="63" spans="1:4" ht="12.75" customHeight="1" x14ac:dyDescent="0.35">
      <c r="A63" s="28"/>
      <c r="B63" s="28"/>
      <c r="C63" s="28"/>
      <c r="D63" s="28"/>
    </row>
    <row r="64" spans="1:4" ht="12.75" customHeight="1" x14ac:dyDescent="0.35">
      <c r="A64" s="28"/>
      <c r="B64" s="28"/>
      <c r="C64" s="28"/>
      <c r="D64" s="28"/>
    </row>
    <row r="65" spans="1:4" ht="12.75" customHeight="1" x14ac:dyDescent="0.35">
      <c r="A65" s="28"/>
      <c r="B65" s="28"/>
      <c r="C65" s="28" t="s">
        <v>2998</v>
      </c>
      <c r="D65" s="28"/>
    </row>
    <row r="66" spans="1:4" ht="12.75" customHeight="1" x14ac:dyDescent="0.35">
      <c r="A66" s="28"/>
      <c r="B66" s="28"/>
      <c r="C66" s="28"/>
      <c r="D66" s="28"/>
    </row>
    <row r="67" spans="1:4" ht="12.75" customHeight="1" x14ac:dyDescent="0.35">
      <c r="A67" s="28"/>
      <c r="B67" s="28"/>
      <c r="C67" s="28"/>
      <c r="D67" s="28"/>
    </row>
    <row r="68" spans="1:4" ht="12.75" customHeight="1" x14ac:dyDescent="0.35">
      <c r="A68" s="28"/>
      <c r="B68" s="28"/>
      <c r="C68" s="28"/>
      <c r="D68" s="28"/>
    </row>
    <row r="69" spans="1:4" ht="12.75" customHeight="1" x14ac:dyDescent="0.35">
      <c r="A69" s="28"/>
      <c r="B69" s="28"/>
      <c r="C69" s="28"/>
      <c r="D69" s="28"/>
    </row>
    <row r="70" spans="1:4" ht="12.75" customHeight="1" x14ac:dyDescent="0.35">
      <c r="A70" s="28"/>
      <c r="B70" s="28"/>
      <c r="C70" s="28"/>
      <c r="D70" s="28"/>
    </row>
    <row r="71" spans="1:4" ht="12.75" customHeight="1" x14ac:dyDescent="0.35">
      <c r="A71" s="28"/>
      <c r="B71" s="28"/>
      <c r="C71" s="28" t="s">
        <v>2997</v>
      </c>
      <c r="D71" s="28"/>
    </row>
    <row r="72" spans="1:4" ht="12.75" customHeight="1" x14ac:dyDescent="0.35">
      <c r="A72" s="28"/>
      <c r="B72" s="28"/>
      <c r="C72" s="28"/>
      <c r="D72" s="28"/>
    </row>
    <row r="73" spans="1:4" ht="12.75" customHeight="1" x14ac:dyDescent="0.35">
      <c r="A73" s="28"/>
      <c r="B73" s="28"/>
      <c r="C73" s="28"/>
      <c r="D73" s="28"/>
    </row>
    <row r="74" spans="1:4" ht="12.75" customHeight="1" x14ac:dyDescent="0.35">
      <c r="A74" s="28"/>
      <c r="B74" s="28"/>
      <c r="C74" s="28"/>
      <c r="D74" s="28"/>
    </row>
    <row r="75" spans="1:4" ht="12.75" customHeight="1" x14ac:dyDescent="0.35">
      <c r="A75" s="28"/>
      <c r="B75" s="28"/>
      <c r="C75" s="28" t="s">
        <v>2998</v>
      </c>
      <c r="D75" s="28"/>
    </row>
    <row r="76" spans="1:4" ht="12.75" customHeight="1" x14ac:dyDescent="0.35">
      <c r="A76" s="28"/>
      <c r="B76" s="28"/>
      <c r="C76" s="28"/>
      <c r="D76" s="28"/>
    </row>
    <row r="77" spans="1:4" ht="12.75" customHeight="1" x14ac:dyDescent="0.35">
      <c r="A77" s="28"/>
      <c r="B77" s="28"/>
      <c r="C77" s="28"/>
      <c r="D77" s="28"/>
    </row>
    <row r="78" spans="1:4" ht="12.75" customHeight="1" x14ac:dyDescent="0.35">
      <c r="A78" s="28"/>
      <c r="B78" s="28"/>
      <c r="C78" s="28"/>
      <c r="D78" s="28"/>
    </row>
    <row r="79" spans="1:4" ht="12.75" customHeight="1" x14ac:dyDescent="0.35">
      <c r="A79" s="28"/>
      <c r="B79" s="28"/>
      <c r="C79" s="28"/>
      <c r="D79" s="28"/>
    </row>
    <row r="80" spans="1:4" ht="12.75" customHeight="1" x14ac:dyDescent="0.35">
      <c r="A80" s="28"/>
      <c r="B80" s="28"/>
      <c r="C80" s="28"/>
      <c r="D80" s="28"/>
    </row>
    <row r="81" spans="1:4" ht="12.75" customHeight="1" x14ac:dyDescent="0.35">
      <c r="A81" s="28"/>
      <c r="B81" s="28"/>
      <c r="C81" s="28" t="s">
        <v>2997</v>
      </c>
      <c r="D81" s="28"/>
    </row>
    <row r="82" spans="1:4" ht="12.75" customHeight="1" x14ac:dyDescent="0.35">
      <c r="A82" s="28"/>
      <c r="B82" s="28"/>
      <c r="C82" s="28"/>
      <c r="D82" s="28"/>
    </row>
    <row r="83" spans="1:4" ht="12.75" customHeight="1" x14ac:dyDescent="0.35">
      <c r="A83" s="28"/>
      <c r="B83" s="28"/>
      <c r="C83" s="28"/>
      <c r="D83" s="28"/>
    </row>
    <row r="84" spans="1:4" ht="12.75" customHeight="1" x14ac:dyDescent="0.35">
      <c r="A84" s="28"/>
      <c r="B84" s="28"/>
      <c r="C84" s="28"/>
      <c r="D84" s="28"/>
    </row>
    <row r="85" spans="1:4" ht="12.75" customHeight="1" x14ac:dyDescent="0.35">
      <c r="A85" s="28"/>
      <c r="B85" s="28"/>
      <c r="C85" s="28" t="s">
        <v>2998</v>
      </c>
      <c r="D85" s="28"/>
    </row>
    <row r="86" spans="1:4" ht="12.75" customHeight="1" x14ac:dyDescent="0.35">
      <c r="A86" s="28"/>
      <c r="B86" s="28"/>
      <c r="C86" s="28"/>
      <c r="D86" s="28"/>
    </row>
    <row r="87" spans="1:4" ht="12.75" customHeight="1" x14ac:dyDescent="0.35">
      <c r="A87" s="28"/>
      <c r="B87" s="28"/>
      <c r="C87" s="28"/>
      <c r="D87" s="28"/>
    </row>
    <row r="88" spans="1:4" ht="12.75" customHeight="1" x14ac:dyDescent="0.35">
      <c r="A88" s="28"/>
      <c r="B88" s="28"/>
      <c r="C88" s="28"/>
      <c r="D88" s="28"/>
    </row>
    <row r="89" spans="1:4" ht="12.75" customHeight="1" x14ac:dyDescent="0.35">
      <c r="A89" s="28"/>
      <c r="B89" s="28"/>
      <c r="C89" s="28"/>
      <c r="D89" s="28"/>
    </row>
    <row r="90" spans="1:4" ht="12.75" customHeight="1" x14ac:dyDescent="0.35">
      <c r="A90" s="28"/>
      <c r="B90" s="28"/>
      <c r="C90" s="28"/>
      <c r="D90" s="28"/>
    </row>
    <row r="91" spans="1:4" ht="12.75" customHeight="1" x14ac:dyDescent="0.35">
      <c r="A91" s="28"/>
      <c r="B91" s="28"/>
      <c r="C91" s="28" t="s">
        <v>2997</v>
      </c>
      <c r="D91" s="28"/>
    </row>
    <row r="92" spans="1:4" ht="12.75" customHeight="1" x14ac:dyDescent="0.35">
      <c r="A92" s="28"/>
      <c r="B92" s="28"/>
      <c r="C92" s="28"/>
      <c r="D92" s="28"/>
    </row>
    <row r="93" spans="1:4" ht="12.75" customHeight="1" x14ac:dyDescent="0.35">
      <c r="A93" s="28"/>
      <c r="B93" s="28"/>
      <c r="C93" s="28"/>
      <c r="D93" s="28"/>
    </row>
    <row r="94" spans="1:4" ht="12.75" customHeight="1" x14ac:dyDescent="0.35">
      <c r="A94" s="28"/>
      <c r="B94" s="28"/>
      <c r="C94" s="28"/>
      <c r="D94" s="28"/>
    </row>
    <row r="95" spans="1:4" ht="12.75" customHeight="1" x14ac:dyDescent="0.35">
      <c r="A95" s="28"/>
      <c r="B95" s="28"/>
      <c r="C95" s="28" t="s">
        <v>2998</v>
      </c>
      <c r="D95" s="28"/>
    </row>
    <row r="96" spans="1:4" ht="12.75" customHeight="1" x14ac:dyDescent="0.35">
      <c r="A96" s="28"/>
      <c r="B96" s="28"/>
      <c r="C96" s="28"/>
      <c r="D96" s="28"/>
    </row>
    <row r="97" spans="1:4" ht="12.75" customHeight="1" x14ac:dyDescent="0.35">
      <c r="A97" s="28"/>
      <c r="B97" s="28"/>
      <c r="C97" s="28"/>
      <c r="D97" s="28"/>
    </row>
    <row r="98" spans="1:4" ht="12.75" customHeight="1" x14ac:dyDescent="0.35">
      <c r="A98" s="28"/>
      <c r="B98" s="28"/>
      <c r="C98" s="28"/>
      <c r="D98" s="28"/>
    </row>
    <row r="99" spans="1:4" ht="12.75" customHeight="1" x14ac:dyDescent="0.35">
      <c r="A99" s="28"/>
      <c r="B99" s="28"/>
      <c r="C99" s="28"/>
      <c r="D99" s="28"/>
    </row>
    <row r="100" spans="1:4" ht="12.75" customHeight="1" x14ac:dyDescent="0.35">
      <c r="A100" s="28"/>
      <c r="B100" s="28"/>
      <c r="C100" s="28"/>
      <c r="D100" s="28"/>
    </row>
    <row r="101" spans="1:4" ht="12.75" customHeight="1" x14ac:dyDescent="0.35">
      <c r="A101" s="28"/>
      <c r="B101" s="28"/>
      <c r="C101" s="28" t="s">
        <v>2997</v>
      </c>
      <c r="D101" s="28"/>
    </row>
    <row r="102" spans="1:4" ht="12.75" customHeight="1" x14ac:dyDescent="0.35">
      <c r="A102" s="28"/>
      <c r="B102" s="28"/>
      <c r="C102" s="28"/>
      <c r="D102" s="28"/>
    </row>
    <row r="103" spans="1:4" ht="12.75" customHeight="1" x14ac:dyDescent="0.35">
      <c r="A103" s="28"/>
      <c r="B103" s="28"/>
      <c r="C103" s="28"/>
      <c r="D103" s="28"/>
    </row>
    <row r="104" spans="1:4" ht="12.75" customHeight="1" x14ac:dyDescent="0.35">
      <c r="A104" s="28"/>
      <c r="B104" s="28"/>
      <c r="C104" s="28"/>
      <c r="D104" s="28"/>
    </row>
    <row r="105" spans="1:4" ht="12.75" customHeight="1" x14ac:dyDescent="0.35">
      <c r="A105" s="28"/>
      <c r="B105" s="28"/>
      <c r="C105" s="28" t="s">
        <v>2998</v>
      </c>
      <c r="D105" s="28"/>
    </row>
    <row r="106" spans="1:4" ht="12.75" customHeight="1" x14ac:dyDescent="0.35">
      <c r="A106" s="28"/>
      <c r="B106" s="28"/>
      <c r="C106" s="28"/>
      <c r="D106" s="28"/>
    </row>
    <row r="107" spans="1:4" ht="12.75" customHeight="1" x14ac:dyDescent="0.35">
      <c r="A107" s="28"/>
      <c r="B107" s="28"/>
      <c r="C107" s="28"/>
      <c r="D107" s="28"/>
    </row>
    <row r="108" spans="1:4" ht="12.75" customHeight="1" x14ac:dyDescent="0.35">
      <c r="A108" s="28"/>
      <c r="B108" s="28"/>
      <c r="C108" s="28"/>
      <c r="D108" s="28"/>
    </row>
    <row r="109" spans="1:4" ht="12.75" customHeight="1" x14ac:dyDescent="0.35">
      <c r="A109" s="28"/>
      <c r="B109" s="28"/>
      <c r="C109" s="28"/>
      <c r="D109" s="28"/>
    </row>
    <row r="110" spans="1:4" ht="12.75" customHeight="1" x14ac:dyDescent="0.35">
      <c r="A110" s="28"/>
      <c r="B110" s="28"/>
      <c r="C110" s="28"/>
      <c r="D110" s="28"/>
    </row>
    <row r="111" spans="1:4" ht="12.75" customHeight="1" x14ac:dyDescent="0.35">
      <c r="A111" s="28"/>
      <c r="B111" s="28"/>
      <c r="C111" s="28" t="s">
        <v>2997</v>
      </c>
      <c r="D111" s="28"/>
    </row>
    <row r="112" spans="1:4" ht="12.75" customHeight="1" x14ac:dyDescent="0.35">
      <c r="A112" s="28"/>
      <c r="B112" s="28"/>
      <c r="C112" s="28"/>
      <c r="D112" s="28"/>
    </row>
    <row r="113" spans="1:4" ht="12.75" customHeight="1" x14ac:dyDescent="0.35">
      <c r="A113" s="28"/>
      <c r="B113" s="28"/>
      <c r="C113" s="28"/>
      <c r="D113" s="28"/>
    </row>
    <row r="114" spans="1:4" ht="12.75" customHeight="1" x14ac:dyDescent="0.35">
      <c r="A114" s="28"/>
      <c r="B114" s="28"/>
      <c r="C114" s="28"/>
      <c r="D114" s="28"/>
    </row>
    <row r="115" spans="1:4" ht="12.75" customHeight="1" x14ac:dyDescent="0.35">
      <c r="A115" s="28"/>
      <c r="B115" s="28"/>
      <c r="C115" s="28" t="s">
        <v>2998</v>
      </c>
      <c r="D115" s="28"/>
    </row>
    <row r="116" spans="1:4" ht="12.75" customHeight="1" x14ac:dyDescent="0.35">
      <c r="A116" s="28"/>
      <c r="B116" s="28"/>
      <c r="C116" s="28"/>
      <c r="D116" s="28"/>
    </row>
    <row r="117" spans="1:4" ht="12.75" customHeight="1" x14ac:dyDescent="0.35">
      <c r="A117" s="28"/>
      <c r="B117" s="28"/>
      <c r="C117" s="28"/>
      <c r="D117" s="28"/>
    </row>
    <row r="118" spans="1:4" ht="12.75" customHeight="1" x14ac:dyDescent="0.35">
      <c r="A118" s="28"/>
      <c r="B118" s="28"/>
      <c r="C118" s="28"/>
      <c r="D118" s="28"/>
    </row>
    <row r="119" spans="1:4" ht="12.75" customHeight="1" x14ac:dyDescent="0.35">
      <c r="A119" s="28"/>
      <c r="B119" s="28"/>
      <c r="C119" s="28"/>
      <c r="D119" s="28"/>
    </row>
    <row r="120" spans="1:4" ht="12.75" customHeight="1" x14ac:dyDescent="0.35">
      <c r="A120" s="28"/>
      <c r="B120" s="28"/>
      <c r="C120" s="28"/>
      <c r="D120" s="28"/>
    </row>
    <row r="121" spans="1:4" ht="12.75" customHeight="1" x14ac:dyDescent="0.35">
      <c r="A121" s="28"/>
      <c r="B121" s="28"/>
      <c r="C121" s="28" t="s">
        <v>2997</v>
      </c>
      <c r="D121" s="28"/>
    </row>
    <row r="122" spans="1:4" ht="12.75" customHeight="1" x14ac:dyDescent="0.35">
      <c r="A122" s="28"/>
      <c r="B122" s="28"/>
      <c r="C122" s="28"/>
      <c r="D122" s="28"/>
    </row>
    <row r="123" spans="1:4" ht="12.75" customHeight="1" x14ac:dyDescent="0.35">
      <c r="A123" s="28"/>
      <c r="B123" s="28"/>
      <c r="C123" s="28"/>
      <c r="D123" s="28"/>
    </row>
    <row r="124" spans="1:4" ht="12.75" customHeight="1" x14ac:dyDescent="0.35">
      <c r="A124" s="28"/>
      <c r="B124" s="28"/>
      <c r="C124" s="28"/>
      <c r="D124" s="28"/>
    </row>
    <row r="125" spans="1:4" ht="12.75" customHeight="1" x14ac:dyDescent="0.35">
      <c r="A125" s="28"/>
      <c r="B125" s="28"/>
      <c r="C125" s="28" t="s">
        <v>2998</v>
      </c>
      <c r="D125" s="28"/>
    </row>
    <row r="126" spans="1:4" ht="12.75" customHeight="1" x14ac:dyDescent="0.35">
      <c r="A126" s="28"/>
      <c r="B126" s="28"/>
      <c r="C126" s="28"/>
      <c r="D126" s="28"/>
    </row>
    <row r="127" spans="1:4" ht="12.75" customHeight="1" x14ac:dyDescent="0.35">
      <c r="A127" s="28"/>
      <c r="B127" s="28"/>
      <c r="C127" s="28"/>
      <c r="D127" s="28"/>
    </row>
    <row r="128" spans="1:4" ht="12.75" customHeight="1" x14ac:dyDescent="0.35">
      <c r="A128" s="28"/>
      <c r="B128" s="28"/>
      <c r="C128" s="28"/>
      <c r="D128" s="28"/>
    </row>
    <row r="129" spans="1:4" ht="12.75" customHeight="1" x14ac:dyDescent="0.35">
      <c r="A129" s="28"/>
      <c r="B129" s="28"/>
      <c r="C129" s="28"/>
      <c r="D129" s="28"/>
    </row>
    <row r="130" spans="1:4" ht="12.75" customHeight="1" x14ac:dyDescent="0.35">
      <c r="A130" s="28"/>
      <c r="B130" s="28"/>
      <c r="C130" s="28"/>
      <c r="D130" s="28"/>
    </row>
    <row r="131" spans="1:4" ht="12.75" customHeight="1" x14ac:dyDescent="0.35">
      <c r="A131" s="28"/>
      <c r="B131" s="28"/>
      <c r="C131" s="28" t="s">
        <v>2997</v>
      </c>
      <c r="D131" s="28"/>
    </row>
    <row r="132" spans="1:4" ht="12.75" customHeight="1" x14ac:dyDescent="0.35">
      <c r="A132" s="28"/>
      <c r="B132" s="28"/>
      <c r="C132" s="28"/>
      <c r="D132" s="28"/>
    </row>
    <row r="133" spans="1:4" ht="12.75" customHeight="1" x14ac:dyDescent="0.35">
      <c r="A133" s="28"/>
      <c r="B133" s="28"/>
      <c r="C133" s="28"/>
      <c r="D133" s="28"/>
    </row>
    <row r="134" spans="1:4" ht="12.75" customHeight="1" x14ac:dyDescent="0.35">
      <c r="A134" s="28"/>
      <c r="B134" s="28"/>
      <c r="C134" s="28"/>
      <c r="D134" s="28"/>
    </row>
    <row r="135" spans="1:4" ht="12.75" customHeight="1" x14ac:dyDescent="0.35">
      <c r="A135" s="28"/>
      <c r="B135" s="28"/>
      <c r="C135" s="28" t="s">
        <v>2998</v>
      </c>
      <c r="D135" s="28"/>
    </row>
    <row r="136" spans="1:4" ht="12.75" customHeight="1" x14ac:dyDescent="0.35">
      <c r="A136" s="28"/>
      <c r="B136" s="28"/>
      <c r="C136" s="28"/>
      <c r="D136" s="28"/>
    </row>
    <row r="137" spans="1:4" ht="12.75" customHeight="1" x14ac:dyDescent="0.35">
      <c r="A137" s="28"/>
      <c r="B137" s="28"/>
      <c r="C137" s="28"/>
      <c r="D137" s="28"/>
    </row>
    <row r="138" spans="1:4" ht="12.75" customHeight="1" x14ac:dyDescent="0.35">
      <c r="A138" s="28"/>
      <c r="B138" s="28"/>
      <c r="C138" s="28"/>
      <c r="D138" s="28"/>
    </row>
    <row r="139" spans="1:4" ht="12.75" customHeight="1" x14ac:dyDescent="0.35">
      <c r="A139" s="28"/>
      <c r="B139" s="28"/>
      <c r="C139" s="28"/>
      <c r="D139" s="28"/>
    </row>
    <row r="140" spans="1:4" ht="12.75" customHeight="1" x14ac:dyDescent="0.35">
      <c r="A140" s="28"/>
      <c r="B140" s="28"/>
      <c r="C140" s="28"/>
      <c r="D140" s="28"/>
    </row>
    <row r="141" spans="1:4" ht="12.75" customHeight="1" x14ac:dyDescent="0.35">
      <c r="A141" s="28"/>
      <c r="B141" s="28"/>
      <c r="C141" s="28" t="s">
        <v>2997</v>
      </c>
      <c r="D141" s="28"/>
    </row>
    <row r="142" spans="1:4" ht="12.75" customHeight="1" x14ac:dyDescent="0.35">
      <c r="A142" s="28"/>
      <c r="B142" s="28"/>
      <c r="C142" s="28"/>
      <c r="D142" s="28"/>
    </row>
    <row r="143" spans="1:4" ht="12.75" customHeight="1" x14ac:dyDescent="0.35">
      <c r="A143" s="28"/>
      <c r="B143" s="28"/>
      <c r="C143" s="28"/>
      <c r="D143" s="28"/>
    </row>
    <row r="144" spans="1:4" ht="12.75" customHeight="1" x14ac:dyDescent="0.35">
      <c r="A144" s="28"/>
      <c r="B144" s="28"/>
      <c r="C144" s="28"/>
      <c r="D144" s="28"/>
    </row>
    <row r="145" spans="1:4" ht="12.75" customHeight="1" x14ac:dyDescent="0.35">
      <c r="A145" s="28"/>
      <c r="B145" s="28"/>
      <c r="C145" s="28" t="s">
        <v>2998</v>
      </c>
      <c r="D145" s="28"/>
    </row>
    <row r="146" spans="1:4" ht="12.75" customHeight="1" x14ac:dyDescent="0.35">
      <c r="A146" s="28"/>
      <c r="B146" s="28"/>
      <c r="C146" s="28"/>
      <c r="D146" s="28"/>
    </row>
    <row r="147" spans="1:4" ht="12.75" customHeight="1" x14ac:dyDescent="0.35">
      <c r="A147" s="28"/>
      <c r="B147" s="28"/>
      <c r="C147" s="28"/>
      <c r="D147" s="28"/>
    </row>
    <row r="148" spans="1:4" ht="12.75" customHeight="1" x14ac:dyDescent="0.35">
      <c r="A148" s="28"/>
      <c r="B148" s="28"/>
      <c r="C148" s="28"/>
      <c r="D148" s="28"/>
    </row>
    <row r="149" spans="1:4" ht="12.75" customHeight="1" x14ac:dyDescent="0.35">
      <c r="A149" s="28"/>
      <c r="B149" s="28"/>
      <c r="C149" s="28"/>
      <c r="D149" s="28"/>
    </row>
    <row r="150" spans="1:4" ht="12.75" customHeight="1" x14ac:dyDescent="0.35">
      <c r="A150" s="28"/>
      <c r="B150" s="28" t="s">
        <v>2996</v>
      </c>
      <c r="C150" s="28"/>
      <c r="D150" s="28"/>
    </row>
    <row r="151" spans="1:4" ht="12.75" customHeight="1" x14ac:dyDescent="0.35">
      <c r="A151" s="28"/>
      <c r="B151" s="28"/>
      <c r="C151" s="28" t="s">
        <v>2997</v>
      </c>
      <c r="D151" s="28"/>
    </row>
    <row r="152" spans="1:4" ht="12.75" customHeight="1" x14ac:dyDescent="0.35">
      <c r="A152" s="28"/>
      <c r="B152" s="28"/>
      <c r="C152" s="28"/>
      <c r="D152" s="28"/>
    </row>
    <row r="153" spans="1:4" ht="12.75" customHeight="1" x14ac:dyDescent="0.35">
      <c r="A153" s="28"/>
      <c r="B153" s="28"/>
      <c r="C153" s="28"/>
      <c r="D153" s="28"/>
    </row>
    <row r="154" spans="1:4" ht="12.75" customHeight="1" x14ac:dyDescent="0.35">
      <c r="A154" s="28"/>
      <c r="B154" s="28" t="s">
        <v>2996</v>
      </c>
      <c r="C154" s="28"/>
      <c r="D154" s="28"/>
    </row>
    <row r="155" spans="1:4" ht="12.75" customHeight="1" x14ac:dyDescent="0.35">
      <c r="A155" s="28"/>
      <c r="B155" s="28"/>
      <c r="C155" s="28" t="s">
        <v>2998</v>
      </c>
      <c r="D155" s="28"/>
    </row>
    <row r="156" spans="1:4" ht="12.75" customHeight="1" x14ac:dyDescent="0.35">
      <c r="A156" s="28"/>
      <c r="B156" s="28"/>
      <c r="C156" s="28"/>
      <c r="D156" s="28"/>
    </row>
    <row r="157" spans="1:4" ht="12.75" customHeight="1" x14ac:dyDescent="0.35">
      <c r="A157" s="28"/>
      <c r="B157" s="28"/>
      <c r="C157" s="28"/>
      <c r="D157" s="28"/>
    </row>
    <row r="158" spans="1:4" ht="12.75" customHeight="1" x14ac:dyDescent="0.35">
      <c r="A158" s="28"/>
      <c r="B158" s="28"/>
      <c r="C158" s="28"/>
      <c r="D158" s="28"/>
    </row>
    <row r="159" spans="1:4" ht="12.75" customHeight="1" x14ac:dyDescent="0.35">
      <c r="A159" s="28"/>
      <c r="B159" s="28"/>
      <c r="C159" s="28"/>
      <c r="D159" s="28"/>
    </row>
    <row r="160" spans="1:4" ht="12.75" customHeight="1" x14ac:dyDescent="0.35">
      <c r="A160" s="28"/>
      <c r="B160" s="28" t="s">
        <v>2996</v>
      </c>
      <c r="C160" s="28"/>
      <c r="D160" s="28"/>
    </row>
    <row r="161" spans="1:4" ht="12.75" customHeight="1" x14ac:dyDescent="0.35">
      <c r="A161" s="28"/>
      <c r="B161" s="28"/>
      <c r="C161" s="28" t="s">
        <v>2997</v>
      </c>
      <c r="D161" s="28"/>
    </row>
    <row r="162" spans="1:4" ht="12.75" customHeight="1" x14ac:dyDescent="0.35">
      <c r="A162" s="28"/>
      <c r="B162" s="28"/>
      <c r="C162" s="28"/>
      <c r="D162" s="28"/>
    </row>
    <row r="163" spans="1:4" ht="12.75" customHeight="1" x14ac:dyDescent="0.35">
      <c r="A163" s="28"/>
      <c r="B163" s="28"/>
      <c r="C163" s="28"/>
      <c r="D163" s="28"/>
    </row>
    <row r="164" spans="1:4" ht="12.75" customHeight="1" x14ac:dyDescent="0.35">
      <c r="A164" s="28"/>
      <c r="B164" s="28" t="s">
        <v>2996</v>
      </c>
      <c r="C164" s="28"/>
      <c r="D164" s="28"/>
    </row>
    <row r="165" spans="1:4" ht="12.75" customHeight="1" x14ac:dyDescent="0.35">
      <c r="A165" s="28"/>
      <c r="B165" s="28"/>
      <c r="C165" s="28" t="s">
        <v>2998</v>
      </c>
      <c r="D165" s="28"/>
    </row>
    <row r="166" spans="1:4" ht="12.75" customHeight="1" x14ac:dyDescent="0.35">
      <c r="A166" s="28"/>
      <c r="B166" s="28"/>
      <c r="C166" s="28"/>
      <c r="D166" s="28"/>
    </row>
    <row r="167" spans="1:4" ht="12.75" customHeight="1" x14ac:dyDescent="0.35">
      <c r="A167" s="28"/>
      <c r="B167" s="28"/>
      <c r="C167" s="28"/>
      <c r="D167" s="28"/>
    </row>
    <row r="168" spans="1:4" ht="12.75" customHeight="1" x14ac:dyDescent="0.35">
      <c r="A168" s="28"/>
      <c r="B168" s="28"/>
      <c r="C168" s="28"/>
      <c r="D168" s="28"/>
    </row>
    <row r="169" spans="1:4" ht="12.75" customHeight="1" x14ac:dyDescent="0.35">
      <c r="A169" s="28"/>
      <c r="B169" s="28"/>
      <c r="C169" s="28"/>
      <c r="D169" s="28"/>
    </row>
    <row r="170" spans="1:4" ht="12.75" customHeight="1" x14ac:dyDescent="0.35">
      <c r="A170" s="28"/>
      <c r="B170" s="28" t="s">
        <v>2996</v>
      </c>
      <c r="C170" s="28"/>
      <c r="D170" s="28"/>
    </row>
    <row r="171" spans="1:4" ht="12.75" customHeight="1" x14ac:dyDescent="0.35">
      <c r="A171" s="28"/>
      <c r="B171" s="28"/>
      <c r="C171" s="28" t="s">
        <v>2997</v>
      </c>
      <c r="D171" s="28"/>
    </row>
    <row r="172" spans="1:4" ht="12.75" customHeight="1" x14ac:dyDescent="0.35">
      <c r="A172" s="28"/>
      <c r="B172" s="28"/>
      <c r="C172" s="28"/>
      <c r="D172" s="28"/>
    </row>
    <row r="173" spans="1:4" ht="12.75" customHeight="1" x14ac:dyDescent="0.35">
      <c r="A173" s="28"/>
      <c r="B173" s="28"/>
      <c r="C173" s="28"/>
      <c r="D173" s="28"/>
    </row>
    <row r="174" spans="1:4" ht="12.75" customHeight="1" x14ac:dyDescent="0.35">
      <c r="A174" s="28"/>
      <c r="B174" s="28" t="s">
        <v>2996</v>
      </c>
      <c r="C174" s="28"/>
      <c r="D174" s="28"/>
    </row>
    <row r="175" spans="1:4" ht="12.75" customHeight="1" x14ac:dyDescent="0.35">
      <c r="A175" s="28"/>
      <c r="B175" s="28"/>
      <c r="C175" s="28" t="s">
        <v>2998</v>
      </c>
      <c r="D175" s="28"/>
    </row>
    <row r="176" spans="1:4" ht="12.75" customHeight="1" x14ac:dyDescent="0.35">
      <c r="A176" s="28"/>
      <c r="B176" s="28"/>
      <c r="C176" s="28"/>
      <c r="D176" s="28"/>
    </row>
    <row r="177" spans="1:4" ht="12.75" customHeight="1" x14ac:dyDescent="0.35">
      <c r="A177" s="28"/>
      <c r="B177" s="28"/>
      <c r="C177" s="28"/>
      <c r="D177" s="28"/>
    </row>
    <row r="178" spans="1:4" ht="12.75" customHeight="1" x14ac:dyDescent="0.35">
      <c r="A178" s="28"/>
      <c r="B178" s="28"/>
      <c r="C178" s="28"/>
      <c r="D178" s="28"/>
    </row>
    <row r="179" spans="1:4" ht="12.75" customHeight="1" x14ac:dyDescent="0.35">
      <c r="A179" s="28"/>
      <c r="B179" s="28"/>
      <c r="C179" s="28"/>
      <c r="D179" s="28"/>
    </row>
    <row r="180" spans="1:4" ht="12.75" customHeight="1" x14ac:dyDescent="0.35">
      <c r="A180" s="28"/>
      <c r="B180" s="28" t="s">
        <v>2996</v>
      </c>
      <c r="C180" s="28"/>
      <c r="D180" s="28"/>
    </row>
    <row r="181" spans="1:4" ht="12.75" customHeight="1" x14ac:dyDescent="0.35">
      <c r="A181" s="28"/>
      <c r="B181" s="28"/>
      <c r="C181" s="28" t="s">
        <v>2997</v>
      </c>
      <c r="D181" s="28"/>
    </row>
    <row r="182" spans="1:4" ht="12.75" customHeight="1" x14ac:dyDescent="0.35">
      <c r="A182" s="28"/>
      <c r="B182" s="28"/>
      <c r="C182" s="28"/>
      <c r="D182" s="28"/>
    </row>
    <row r="183" spans="1:4" ht="12.75" customHeight="1" x14ac:dyDescent="0.35">
      <c r="A183" s="28"/>
      <c r="B183" s="28"/>
      <c r="C183" s="28"/>
      <c r="D183" s="28"/>
    </row>
    <row r="184" spans="1:4" ht="12.75" customHeight="1" x14ac:dyDescent="0.35">
      <c r="A184" s="28"/>
      <c r="B184" s="28" t="s">
        <v>2996</v>
      </c>
      <c r="C184" s="28"/>
      <c r="D184" s="28"/>
    </row>
    <row r="185" spans="1:4" ht="12.75" customHeight="1" x14ac:dyDescent="0.35">
      <c r="A185" s="28"/>
      <c r="B185" s="28"/>
      <c r="C185" s="28" t="s">
        <v>2998</v>
      </c>
      <c r="D185" s="28"/>
    </row>
    <row r="186" spans="1:4" ht="12.75" customHeight="1" x14ac:dyDescent="0.35">
      <c r="A186" s="28"/>
      <c r="B186" s="28"/>
      <c r="C186" s="28"/>
      <c r="D186" s="28"/>
    </row>
    <row r="187" spans="1:4" ht="12.75" customHeight="1" x14ac:dyDescent="0.35">
      <c r="A187" s="28"/>
      <c r="B187" s="28"/>
      <c r="C187" s="28"/>
      <c r="D187" s="28"/>
    </row>
    <row r="188" spans="1:4" ht="12.75" customHeight="1" x14ac:dyDescent="0.35">
      <c r="A188" s="28"/>
      <c r="B188" s="28"/>
      <c r="C188" s="28"/>
      <c r="D188" s="28"/>
    </row>
    <row r="189" spans="1:4" ht="12.75" customHeight="1" x14ac:dyDescent="0.35">
      <c r="A189" s="28"/>
      <c r="B189" s="28"/>
      <c r="C189" s="28"/>
      <c r="D189" s="28"/>
    </row>
    <row r="190" spans="1:4" ht="12.75" customHeight="1" x14ac:dyDescent="0.35">
      <c r="A190" s="28"/>
      <c r="B190" s="28" t="s">
        <v>2996</v>
      </c>
      <c r="C190" s="28"/>
      <c r="D190" s="28"/>
    </row>
    <row r="191" spans="1:4" ht="12.75" customHeight="1" x14ac:dyDescent="0.35">
      <c r="A191" s="28"/>
      <c r="B191" s="28"/>
      <c r="C191" s="28" t="s">
        <v>2997</v>
      </c>
      <c r="D191" s="28"/>
    </row>
    <row r="192" spans="1:4" ht="12.75" customHeight="1" x14ac:dyDescent="0.35">
      <c r="A192" s="28"/>
      <c r="B192" s="28"/>
      <c r="C192" s="28"/>
      <c r="D192" s="28"/>
    </row>
    <row r="193" spans="1:4" ht="12.75" customHeight="1" x14ac:dyDescent="0.35">
      <c r="A193" s="28"/>
      <c r="B193" s="28"/>
      <c r="C193" s="28"/>
      <c r="D193" s="28"/>
    </row>
    <row r="194" spans="1:4" ht="12.75" customHeight="1" x14ac:dyDescent="0.35">
      <c r="A194" s="28"/>
      <c r="B194" s="28" t="s">
        <v>2996</v>
      </c>
      <c r="C194" s="28"/>
      <c r="D194" s="28"/>
    </row>
    <row r="195" spans="1:4" ht="12.75" customHeight="1" x14ac:dyDescent="0.35">
      <c r="A195" s="28"/>
      <c r="B195" s="28"/>
      <c r="C195" s="28" t="s">
        <v>2998</v>
      </c>
      <c r="D195" s="28"/>
    </row>
    <row r="196" spans="1:4" ht="12.75" customHeight="1" x14ac:dyDescent="0.35">
      <c r="A196" s="28"/>
      <c r="B196" s="28"/>
      <c r="C196" s="28"/>
      <c r="D196" s="28"/>
    </row>
    <row r="197" spans="1:4" ht="12.75" customHeight="1" x14ac:dyDescent="0.35">
      <c r="A197" s="28"/>
      <c r="B197" s="28"/>
      <c r="C197" s="28"/>
      <c r="D197" s="28"/>
    </row>
    <row r="198" spans="1:4" ht="12.75" customHeight="1" x14ac:dyDescent="0.35">
      <c r="A198" s="28"/>
      <c r="B198" s="28"/>
      <c r="C198" s="28"/>
      <c r="D198" s="28"/>
    </row>
    <row r="199" spans="1:4" ht="12.75" customHeight="1" x14ac:dyDescent="0.35">
      <c r="A199" s="28"/>
      <c r="B199" s="28"/>
      <c r="C199" s="28"/>
      <c r="D199" s="28"/>
    </row>
    <row r="200" spans="1:4" ht="12.75" customHeight="1" x14ac:dyDescent="0.35">
      <c r="A200" s="28"/>
      <c r="B200" s="28" t="s">
        <v>2996</v>
      </c>
      <c r="C200" s="28"/>
      <c r="D200" s="28"/>
    </row>
    <row r="201" spans="1:4" ht="12.75" customHeight="1" x14ac:dyDescent="0.35">
      <c r="A201" s="28"/>
      <c r="B201" s="28"/>
      <c r="C201" s="28" t="s">
        <v>2997</v>
      </c>
      <c r="D201" s="28"/>
    </row>
    <row r="202" spans="1:4" ht="12.75" customHeight="1" x14ac:dyDescent="0.35">
      <c r="A202" s="28"/>
      <c r="B202" s="28"/>
      <c r="C202" s="28"/>
      <c r="D202" s="28"/>
    </row>
    <row r="203" spans="1:4" ht="12.75" customHeight="1" x14ac:dyDescent="0.35">
      <c r="A203" s="28"/>
      <c r="B203" s="28"/>
      <c r="C203" s="28"/>
      <c r="D203" s="28"/>
    </row>
    <row r="204" spans="1:4" ht="12.75" customHeight="1" x14ac:dyDescent="0.35">
      <c r="A204" s="28"/>
      <c r="B204" s="28" t="s">
        <v>2996</v>
      </c>
      <c r="C204" s="28"/>
      <c r="D204" s="28"/>
    </row>
    <row r="205" spans="1:4" ht="12.75" customHeight="1" x14ac:dyDescent="0.35">
      <c r="A205" s="28"/>
      <c r="B205" s="28"/>
      <c r="C205" s="28" t="s">
        <v>2998</v>
      </c>
      <c r="D205" s="28"/>
    </row>
    <row r="206" spans="1:4" ht="12.75" customHeight="1" x14ac:dyDescent="0.35">
      <c r="A206" s="28"/>
      <c r="B206" s="28"/>
      <c r="C206" s="28"/>
      <c r="D206" s="28"/>
    </row>
    <row r="207" spans="1:4" ht="12.75" customHeight="1" x14ac:dyDescent="0.35">
      <c r="A207" s="28"/>
      <c r="B207" s="28"/>
      <c r="C207" s="28"/>
      <c r="D207" s="28"/>
    </row>
    <row r="208" spans="1:4" ht="12.75" customHeight="1" x14ac:dyDescent="0.35">
      <c r="A208" s="28"/>
      <c r="B208" s="28"/>
      <c r="C208" s="28"/>
      <c r="D208" s="28"/>
    </row>
    <row r="209" spans="1:4" ht="12.75" customHeight="1" x14ac:dyDescent="0.35">
      <c r="A209" s="28"/>
      <c r="B209" s="28"/>
      <c r="C209" s="28"/>
      <c r="D209" s="28"/>
    </row>
    <row r="210" spans="1:4" ht="12.75" customHeight="1" x14ac:dyDescent="0.35">
      <c r="A210" s="28"/>
      <c r="B210" s="28" t="s">
        <v>2996</v>
      </c>
      <c r="C210" s="28"/>
      <c r="D210" s="28"/>
    </row>
    <row r="211" spans="1:4" ht="12.75" customHeight="1" x14ac:dyDescent="0.35">
      <c r="A211" s="28"/>
      <c r="B211" s="28"/>
      <c r="C211" s="28" t="s">
        <v>2997</v>
      </c>
      <c r="D211" s="28"/>
    </row>
    <row r="212" spans="1:4" ht="12.75" customHeight="1" x14ac:dyDescent="0.35">
      <c r="A212" s="28"/>
      <c r="B212" s="28"/>
      <c r="C212" s="28"/>
      <c r="D212" s="28"/>
    </row>
    <row r="213" spans="1:4" ht="12.75" customHeight="1" x14ac:dyDescent="0.35">
      <c r="A213" s="28"/>
      <c r="B213" s="28"/>
      <c r="C213" s="28"/>
      <c r="D213" s="28"/>
    </row>
    <row r="214" spans="1:4" ht="12.75" customHeight="1" x14ac:dyDescent="0.35">
      <c r="A214" s="28"/>
      <c r="B214" s="28" t="s">
        <v>2996</v>
      </c>
      <c r="C214" s="28"/>
      <c r="D214" s="28"/>
    </row>
    <row r="215" spans="1:4" ht="12.75" customHeight="1" x14ac:dyDescent="0.35">
      <c r="A215" s="28"/>
      <c r="B215" s="28"/>
      <c r="C215" s="28" t="s">
        <v>2998</v>
      </c>
      <c r="D215" s="28"/>
    </row>
    <row r="216" spans="1:4" ht="12.75" customHeight="1" x14ac:dyDescent="0.35">
      <c r="A216" s="28"/>
      <c r="B216" s="28"/>
      <c r="C216" s="28"/>
      <c r="D216" s="28"/>
    </row>
    <row r="217" spans="1:4" ht="12.75" customHeight="1" x14ac:dyDescent="0.35">
      <c r="A217" s="28"/>
      <c r="B217" s="28"/>
      <c r="C217" s="28"/>
      <c r="D217" s="28"/>
    </row>
    <row r="218" spans="1:4" ht="12.75" customHeight="1" x14ac:dyDescent="0.35">
      <c r="A218" s="28"/>
      <c r="B218" s="28"/>
      <c r="C218" s="28"/>
      <c r="D218" s="28"/>
    </row>
    <row r="219" spans="1:4" ht="12.75" customHeight="1" x14ac:dyDescent="0.35">
      <c r="A219" s="28"/>
      <c r="B219" s="28"/>
      <c r="C219" s="28"/>
      <c r="D219" s="28"/>
    </row>
    <row r="220" spans="1:4" ht="12.75" customHeight="1" x14ac:dyDescent="0.35">
      <c r="A220" s="28"/>
      <c r="B220" s="28" t="s">
        <v>2996</v>
      </c>
      <c r="C220" s="28"/>
      <c r="D220" s="28"/>
    </row>
    <row r="221" spans="1:4" ht="12.75" customHeight="1" x14ac:dyDescent="0.35">
      <c r="A221" s="28"/>
      <c r="B221" s="28"/>
      <c r="C221" s="28" t="s">
        <v>2997</v>
      </c>
      <c r="D221" s="28"/>
    </row>
    <row r="222" spans="1:4" ht="12.75" customHeight="1" x14ac:dyDescent="0.35">
      <c r="A222" s="28"/>
      <c r="B222" s="28"/>
      <c r="C222" s="28"/>
      <c r="D222" s="28"/>
    </row>
    <row r="223" spans="1:4" ht="12.75" customHeight="1" x14ac:dyDescent="0.35">
      <c r="A223" s="28"/>
      <c r="B223" s="28"/>
      <c r="C223" s="28"/>
      <c r="D223" s="28"/>
    </row>
    <row r="224" spans="1:4" ht="12.75" customHeight="1" x14ac:dyDescent="0.35">
      <c r="A224" s="28"/>
      <c r="B224" s="28" t="s">
        <v>2996</v>
      </c>
      <c r="C224" s="28"/>
      <c r="D224" s="28"/>
    </row>
    <row r="225" spans="1:4" ht="12.75" customHeight="1" x14ac:dyDescent="0.35">
      <c r="A225" s="28"/>
      <c r="B225" s="28"/>
      <c r="C225" s="28" t="s">
        <v>2998</v>
      </c>
      <c r="D225" s="28"/>
    </row>
    <row r="226" spans="1:4" ht="12.75" customHeight="1" x14ac:dyDescent="0.35">
      <c r="A226" s="28"/>
      <c r="B226" s="28"/>
      <c r="C226" s="28"/>
      <c r="D226" s="28"/>
    </row>
    <row r="227" spans="1:4" ht="12.75" customHeight="1" x14ac:dyDescent="0.35">
      <c r="A227" s="28"/>
      <c r="B227" s="28"/>
      <c r="C227" s="28"/>
      <c r="D227" s="28"/>
    </row>
    <row r="228" spans="1:4" ht="12.75" customHeight="1" x14ac:dyDescent="0.35">
      <c r="A228" s="28"/>
      <c r="B228" s="28"/>
      <c r="C228" s="28"/>
      <c r="D228" s="28"/>
    </row>
    <row r="229" spans="1:4" ht="12.75" customHeight="1" x14ac:dyDescent="0.35">
      <c r="A229" s="28"/>
      <c r="B229" s="28"/>
      <c r="D229" s="28"/>
    </row>
    <row r="230" spans="1:4" ht="12.75" customHeight="1" x14ac:dyDescent="0.35">
      <c r="A230" s="28"/>
      <c r="B230" s="28" t="s">
        <v>2996</v>
      </c>
      <c r="C230" s="28"/>
      <c r="D230" s="28"/>
    </row>
    <row r="231" spans="1:4" ht="12.75" customHeight="1" x14ac:dyDescent="0.35">
      <c r="A231" s="28"/>
      <c r="B231" s="28"/>
      <c r="C231" s="28" t="s">
        <v>2997</v>
      </c>
      <c r="D231" s="28"/>
    </row>
    <row r="232" spans="1:4" ht="12.75" customHeight="1" x14ac:dyDescent="0.35">
      <c r="A232" s="28"/>
      <c r="B232" s="28"/>
      <c r="C232" s="28"/>
      <c r="D232" s="28"/>
    </row>
    <row r="233" spans="1:4" ht="12.75" customHeight="1" x14ac:dyDescent="0.35">
      <c r="A233" s="28"/>
      <c r="B233" s="28"/>
      <c r="C233" s="28"/>
      <c r="D233" s="28"/>
    </row>
    <row r="234" spans="1:4" ht="12.75" customHeight="1" x14ac:dyDescent="0.35">
      <c r="A234" s="28"/>
      <c r="B234" s="28" t="s">
        <v>2996</v>
      </c>
      <c r="C234" s="28"/>
      <c r="D234" s="28"/>
    </row>
    <row r="235" spans="1:4" ht="12.75" customHeight="1" x14ac:dyDescent="0.35">
      <c r="A235" s="28"/>
      <c r="B235" s="28"/>
      <c r="C235" s="28" t="s">
        <v>2998</v>
      </c>
      <c r="D235" s="28"/>
    </row>
    <row r="236" spans="1:4" ht="12.75" customHeight="1" x14ac:dyDescent="0.35">
      <c r="A236" s="28"/>
      <c r="B236" s="28"/>
      <c r="C236" s="28"/>
      <c r="D236" s="28"/>
    </row>
    <row r="237" spans="1:4" ht="12.75" customHeight="1" x14ac:dyDescent="0.35">
      <c r="A237" s="28"/>
      <c r="B237" s="28"/>
      <c r="C237" s="28"/>
      <c r="D237" s="28"/>
    </row>
    <row r="238" spans="1:4" ht="12.75" customHeight="1" x14ac:dyDescent="0.35">
      <c r="A238" s="28"/>
      <c r="B238" s="28"/>
      <c r="C238" s="28"/>
      <c r="D238" s="28"/>
    </row>
    <row r="239" spans="1:4" ht="12.75" customHeight="1" x14ac:dyDescent="0.35">
      <c r="A239" s="28"/>
      <c r="B239" s="28"/>
      <c r="C239" s="28"/>
      <c r="D239" s="28"/>
    </row>
    <row r="240" spans="1:4" ht="12.75" customHeight="1" x14ac:dyDescent="0.35">
      <c r="A240" s="28"/>
      <c r="B240" s="28" t="s">
        <v>2996</v>
      </c>
      <c r="C240" s="28"/>
      <c r="D240" s="28"/>
    </row>
    <row r="241" spans="1:4" ht="12.75" customHeight="1" x14ac:dyDescent="0.35">
      <c r="A241" s="28"/>
      <c r="B241" s="28"/>
      <c r="C241" s="28" t="s">
        <v>2997</v>
      </c>
      <c r="D241" s="28"/>
    </row>
    <row r="242" spans="1:4" ht="12.75" customHeight="1" x14ac:dyDescent="0.35">
      <c r="A242" s="28"/>
      <c r="B242" s="28"/>
      <c r="C242" s="28"/>
      <c r="D242" s="28"/>
    </row>
    <row r="243" spans="1:4" ht="12.75" customHeight="1" x14ac:dyDescent="0.35">
      <c r="A243" s="28"/>
      <c r="B243" s="28"/>
      <c r="C243" s="28"/>
      <c r="D243" s="28"/>
    </row>
    <row r="244" spans="1:4" ht="12.75" customHeight="1" x14ac:dyDescent="0.35">
      <c r="A244" s="28"/>
      <c r="B244" s="28" t="s">
        <v>2996</v>
      </c>
      <c r="C244" s="28"/>
      <c r="D244" s="28"/>
    </row>
    <row r="245" spans="1:4" ht="12.75" customHeight="1" x14ac:dyDescent="0.35">
      <c r="A245" s="28"/>
      <c r="B245" s="28"/>
      <c r="C245" s="28" t="s">
        <v>2998</v>
      </c>
      <c r="D245" s="28"/>
    </row>
    <row r="246" spans="1:4" ht="12.75" customHeight="1" x14ac:dyDescent="0.35">
      <c r="A246" s="28"/>
      <c r="B246" s="28"/>
      <c r="C246" s="28"/>
      <c r="D246" s="28"/>
    </row>
    <row r="247" spans="1:4" ht="12.75" customHeight="1" x14ac:dyDescent="0.35">
      <c r="A247" s="28"/>
      <c r="B247" s="28"/>
      <c r="C247" s="28"/>
      <c r="D247" s="28"/>
    </row>
    <row r="248" spans="1:4" ht="12.75" customHeight="1" x14ac:dyDescent="0.35">
      <c r="A248" s="28"/>
      <c r="B248" s="28"/>
      <c r="C248" s="28"/>
      <c r="D248" s="28"/>
    </row>
    <row r="249" spans="1:4" ht="12.75" customHeight="1" x14ac:dyDescent="0.35">
      <c r="A249" s="28"/>
      <c r="B249" s="28"/>
      <c r="C249" s="28"/>
      <c r="D249" s="28"/>
    </row>
    <row r="250" spans="1:4" ht="12.75" customHeight="1" x14ac:dyDescent="0.35">
      <c r="A250" s="28"/>
      <c r="B250" s="28" t="s">
        <v>2996</v>
      </c>
      <c r="C250" s="28"/>
      <c r="D250" s="28"/>
    </row>
    <row r="251" spans="1:4" ht="12.75" customHeight="1" x14ac:dyDescent="0.35">
      <c r="A251" s="28"/>
      <c r="B251" s="28"/>
      <c r="C251" s="28" t="s">
        <v>2997</v>
      </c>
      <c r="D251" s="28"/>
    </row>
    <row r="252" spans="1:4" ht="12.75" customHeight="1" x14ac:dyDescent="0.35">
      <c r="A252" s="28"/>
      <c r="B252" s="28"/>
      <c r="C252" s="28"/>
      <c r="D252" s="28"/>
    </row>
    <row r="253" spans="1:4" ht="12.75" customHeight="1" x14ac:dyDescent="0.35">
      <c r="A253" s="28"/>
      <c r="B253" s="28"/>
      <c r="C253" s="28"/>
      <c r="D253" s="28"/>
    </row>
    <row r="254" spans="1:4" ht="12.75" customHeight="1" x14ac:dyDescent="0.35">
      <c r="A254" s="28"/>
      <c r="B254" s="28" t="s">
        <v>2996</v>
      </c>
      <c r="C254" s="28"/>
      <c r="D254" s="28"/>
    </row>
    <row r="255" spans="1:4" ht="12.75" customHeight="1" x14ac:dyDescent="0.35">
      <c r="A255" s="28"/>
      <c r="B255" s="28"/>
      <c r="C255" s="28" t="s">
        <v>2998</v>
      </c>
      <c r="D255" s="28"/>
    </row>
    <row r="256" spans="1:4" ht="12.75" customHeight="1" x14ac:dyDescent="0.35">
      <c r="A256" s="28"/>
      <c r="B256" s="28"/>
      <c r="C256" s="28"/>
      <c r="D256" s="28"/>
    </row>
    <row r="257" spans="1:4" ht="12.75" customHeight="1" x14ac:dyDescent="0.35">
      <c r="A257" s="28"/>
      <c r="B257" s="28"/>
      <c r="C257" s="28"/>
      <c r="D257" s="28"/>
    </row>
    <row r="258" spans="1:4" ht="12.75" customHeight="1" x14ac:dyDescent="0.35">
      <c r="A258" s="28"/>
      <c r="B258" s="28"/>
      <c r="C258" s="28"/>
      <c r="D258" s="28"/>
    </row>
    <row r="259" spans="1:4" ht="12.75" customHeight="1" x14ac:dyDescent="0.35">
      <c r="A259" s="28"/>
      <c r="B259" s="28"/>
      <c r="C259" s="28"/>
      <c r="D259" s="28"/>
    </row>
    <row r="260" spans="1:4" ht="12.75" customHeight="1" x14ac:dyDescent="0.35">
      <c r="A260" s="28"/>
      <c r="B260" s="28" t="s">
        <v>2996</v>
      </c>
      <c r="C260" s="28"/>
      <c r="D260" s="28"/>
    </row>
    <row r="261" spans="1:4" ht="12.75" customHeight="1" x14ac:dyDescent="0.35">
      <c r="A261" s="28"/>
      <c r="B261" s="28"/>
      <c r="C261" s="28" t="s">
        <v>2997</v>
      </c>
      <c r="D261" s="28"/>
    </row>
    <row r="262" spans="1:4" ht="12.75" customHeight="1" x14ac:dyDescent="0.35">
      <c r="A262" s="28"/>
      <c r="B262" s="28"/>
      <c r="C262" s="28"/>
      <c r="D262" s="28"/>
    </row>
    <row r="263" spans="1:4" ht="12.75" customHeight="1" x14ac:dyDescent="0.35">
      <c r="A263" s="28"/>
      <c r="B263" s="28"/>
      <c r="C263" s="28"/>
      <c r="D263" s="28"/>
    </row>
    <row r="264" spans="1:4" ht="12.75" customHeight="1" x14ac:dyDescent="0.35">
      <c r="A264" s="28"/>
      <c r="B264" s="28" t="s">
        <v>2996</v>
      </c>
      <c r="C264" s="28"/>
      <c r="D264" s="28"/>
    </row>
    <row r="265" spans="1:4" ht="12.75" customHeight="1" x14ac:dyDescent="0.35">
      <c r="A265" s="28"/>
      <c r="B265" s="28"/>
      <c r="C265" s="28" t="s">
        <v>2998</v>
      </c>
      <c r="D265" s="28"/>
    </row>
    <row r="266" spans="1:4" ht="12.75" customHeight="1" x14ac:dyDescent="0.35">
      <c r="A266" s="28"/>
      <c r="B266" s="28"/>
      <c r="C266" s="28"/>
      <c r="D266" s="28"/>
    </row>
    <row r="267" spans="1:4" ht="12.75" customHeight="1" x14ac:dyDescent="0.35">
      <c r="A267" s="28"/>
      <c r="B267" s="28"/>
      <c r="C267" s="28"/>
      <c r="D267" s="28"/>
    </row>
    <row r="268" spans="1:4" ht="12.75" customHeight="1" x14ac:dyDescent="0.35">
      <c r="A268" s="28"/>
      <c r="B268" s="28"/>
      <c r="C268" s="28"/>
      <c r="D268" s="28"/>
    </row>
    <row r="269" spans="1:4" ht="12.75" customHeight="1" x14ac:dyDescent="0.35">
      <c r="A269" s="28"/>
      <c r="B269" s="28"/>
      <c r="C269" s="28"/>
      <c r="D269" s="28"/>
    </row>
    <row r="270" spans="1:4" ht="12.75" customHeight="1" x14ac:dyDescent="0.35">
      <c r="A270" s="28"/>
      <c r="B270" s="28" t="s">
        <v>2996</v>
      </c>
      <c r="C270" s="28"/>
      <c r="D270" s="28"/>
    </row>
    <row r="271" spans="1:4" ht="12.75" customHeight="1" x14ac:dyDescent="0.35">
      <c r="A271" s="28"/>
      <c r="B271" s="28"/>
      <c r="C271" s="28" t="s">
        <v>2997</v>
      </c>
      <c r="D271" s="28"/>
    </row>
    <row r="272" spans="1:4" ht="12.75" customHeight="1" x14ac:dyDescent="0.35">
      <c r="A272" s="28"/>
      <c r="B272" s="28"/>
      <c r="C272" s="28"/>
      <c r="D272" s="28"/>
    </row>
    <row r="273" spans="1:4" ht="12.75" customHeight="1" x14ac:dyDescent="0.35">
      <c r="A273" s="28"/>
      <c r="B273" s="28"/>
      <c r="C273" s="28"/>
      <c r="D273" s="28"/>
    </row>
    <row r="274" spans="1:4" ht="12.75" customHeight="1" x14ac:dyDescent="0.35">
      <c r="A274" s="28"/>
      <c r="B274" s="28" t="s">
        <v>2996</v>
      </c>
      <c r="C274" s="28"/>
      <c r="D274" s="28"/>
    </row>
    <row r="275" spans="1:4" ht="12.75" customHeight="1" x14ac:dyDescent="0.35">
      <c r="A275" s="28"/>
      <c r="B275" s="28"/>
      <c r="C275" s="28" t="s">
        <v>2998</v>
      </c>
      <c r="D275" s="28"/>
    </row>
    <row r="276" spans="1:4" ht="12.75" customHeight="1" x14ac:dyDescent="0.35">
      <c r="A276" s="28"/>
      <c r="B276" s="28"/>
      <c r="C276" s="28"/>
      <c r="D276" s="28"/>
    </row>
    <row r="277" spans="1:4" ht="12.75" customHeight="1" x14ac:dyDescent="0.35">
      <c r="A277" s="28"/>
      <c r="B277" s="28"/>
      <c r="C277" s="28"/>
      <c r="D277" s="28"/>
    </row>
    <row r="278" spans="1:4" ht="12.75" customHeight="1" x14ac:dyDescent="0.35">
      <c r="A278" s="28"/>
      <c r="B278" s="28"/>
      <c r="C278" s="28"/>
      <c r="D278" s="28"/>
    </row>
    <row r="279" spans="1:4" ht="12.75" customHeight="1" x14ac:dyDescent="0.35">
      <c r="A279" s="28"/>
      <c r="B279" s="28"/>
      <c r="C279" s="28"/>
      <c r="D279" s="28"/>
    </row>
    <row r="280" spans="1:4" ht="12.75" customHeight="1" x14ac:dyDescent="0.35">
      <c r="A280" s="28"/>
      <c r="B280" s="28" t="s">
        <v>2996</v>
      </c>
      <c r="C280" s="28"/>
      <c r="D280" s="28"/>
    </row>
    <row r="281" spans="1:4" ht="12.75" customHeight="1" x14ac:dyDescent="0.35">
      <c r="A281" s="28"/>
      <c r="B281" s="28"/>
      <c r="C281" s="28" t="s">
        <v>2997</v>
      </c>
      <c r="D281" s="28"/>
    </row>
    <row r="282" spans="1:4" ht="12.75" customHeight="1" x14ac:dyDescent="0.35">
      <c r="A282" s="28"/>
      <c r="B282" s="28"/>
      <c r="C282" s="28"/>
      <c r="D282" s="28"/>
    </row>
    <row r="283" spans="1:4" ht="12.75" customHeight="1" x14ac:dyDescent="0.35">
      <c r="A283" s="28"/>
      <c r="B283" s="28"/>
      <c r="C283" s="28"/>
      <c r="D283" s="28"/>
    </row>
    <row r="284" spans="1:4" ht="12.75" customHeight="1" x14ac:dyDescent="0.35">
      <c r="A284" s="28"/>
      <c r="B284" s="28" t="s">
        <v>2996</v>
      </c>
      <c r="C284" s="28"/>
      <c r="D284" s="28"/>
    </row>
    <row r="285" spans="1:4" ht="12.75" customHeight="1" x14ac:dyDescent="0.35">
      <c r="A285" s="28"/>
      <c r="B285" s="28"/>
      <c r="C285" s="28" t="s">
        <v>2998</v>
      </c>
      <c r="D285" s="28"/>
    </row>
    <row r="286" spans="1:4" ht="12.75" customHeight="1" x14ac:dyDescent="0.35">
      <c r="A286" s="28"/>
      <c r="B286" s="28"/>
      <c r="C286" s="28"/>
      <c r="D286" s="28"/>
    </row>
    <row r="287" spans="1:4" ht="12.75" customHeight="1" x14ac:dyDescent="0.35">
      <c r="A287" s="28"/>
      <c r="B287" s="28"/>
      <c r="C287" s="28"/>
      <c r="D287" s="28"/>
    </row>
    <row r="288" spans="1:4" ht="12.75" customHeight="1" x14ac:dyDescent="0.35">
      <c r="A288" s="28"/>
      <c r="B288" s="28"/>
      <c r="C288" s="28"/>
      <c r="D288" s="28"/>
    </row>
    <row r="289" spans="1:4" ht="12.75" customHeight="1" x14ac:dyDescent="0.35">
      <c r="A289" s="28"/>
      <c r="B289" s="28"/>
      <c r="C289" s="28"/>
      <c r="D289" s="28"/>
    </row>
    <row r="290" spans="1:4" ht="12.75" customHeight="1" x14ac:dyDescent="0.35">
      <c r="A290" s="28"/>
      <c r="B290" s="28" t="s">
        <v>2996</v>
      </c>
      <c r="C290" s="28"/>
      <c r="D290" s="28"/>
    </row>
    <row r="291" spans="1:4" ht="12.75" customHeight="1" x14ac:dyDescent="0.35">
      <c r="A291" s="28"/>
      <c r="B291" s="28"/>
      <c r="C291" s="28" t="s">
        <v>2997</v>
      </c>
      <c r="D291" s="28"/>
    </row>
    <row r="292" spans="1:4" ht="12.75" customHeight="1" x14ac:dyDescent="0.35">
      <c r="A292" s="28"/>
      <c r="B292" s="28"/>
      <c r="C292" s="28"/>
      <c r="D292" s="28"/>
    </row>
    <row r="293" spans="1:4" ht="12.75" customHeight="1" x14ac:dyDescent="0.35">
      <c r="A293" s="28"/>
      <c r="B293" s="28"/>
      <c r="C293" s="28"/>
      <c r="D293" s="28"/>
    </row>
    <row r="294" spans="1:4" ht="12.75" customHeight="1" x14ac:dyDescent="0.35">
      <c r="A294" s="28"/>
      <c r="B294" s="28" t="s">
        <v>2996</v>
      </c>
      <c r="C294" s="28"/>
      <c r="D294" s="28"/>
    </row>
    <row r="295" spans="1:4" ht="12.75" customHeight="1" x14ac:dyDescent="0.35">
      <c r="A295" s="28"/>
      <c r="B295" s="28"/>
      <c r="C295" s="28" t="s">
        <v>2998</v>
      </c>
      <c r="D295" s="28"/>
    </row>
    <row r="296" spans="1:4" ht="12.75" customHeight="1" x14ac:dyDescent="0.35">
      <c r="A296" s="28"/>
      <c r="B296" s="28"/>
      <c r="C296" s="28"/>
      <c r="D296" s="28"/>
    </row>
    <row r="297" spans="1:4" ht="12.75" customHeight="1" x14ac:dyDescent="0.35">
      <c r="A297" s="28"/>
      <c r="B297" s="28"/>
      <c r="C297" s="28"/>
      <c r="D297" s="28"/>
    </row>
    <row r="298" spans="1:4" ht="12.75" customHeight="1" x14ac:dyDescent="0.35">
      <c r="A298" s="28"/>
      <c r="B298" s="28"/>
      <c r="C298" s="28"/>
      <c r="D298" s="28"/>
    </row>
    <row r="299" spans="1:4" ht="12.75" customHeight="1" x14ac:dyDescent="0.35">
      <c r="A299" s="28"/>
      <c r="B299" s="28"/>
      <c r="C299" s="28"/>
      <c r="D299" s="28"/>
    </row>
    <row r="300" spans="1:4" ht="12.75" customHeight="1" x14ac:dyDescent="0.35">
      <c r="A300" s="28"/>
      <c r="B300" s="28" t="s">
        <v>2996</v>
      </c>
      <c r="C300" s="28"/>
      <c r="D300" s="28"/>
    </row>
    <row r="301" spans="1:4" ht="12.75" customHeight="1" x14ac:dyDescent="0.35">
      <c r="A301" s="28"/>
      <c r="B301" s="28"/>
      <c r="C301" s="28" t="s">
        <v>2997</v>
      </c>
      <c r="D301" s="28"/>
    </row>
    <row r="302" spans="1:4" ht="12.75" customHeight="1" x14ac:dyDescent="0.35">
      <c r="A302" s="28"/>
      <c r="B302" s="28"/>
      <c r="C302" s="28"/>
      <c r="D302" s="28"/>
    </row>
    <row r="303" spans="1:4" ht="12.75" customHeight="1" x14ac:dyDescent="0.35">
      <c r="A303" s="28"/>
      <c r="B303" s="28"/>
      <c r="C303" s="28"/>
      <c r="D303" s="28"/>
    </row>
    <row r="304" spans="1:4" ht="12.75" customHeight="1" x14ac:dyDescent="0.35">
      <c r="A304" s="28"/>
      <c r="B304" s="28" t="s">
        <v>2996</v>
      </c>
      <c r="C304" s="28"/>
      <c r="D304" s="28"/>
    </row>
    <row r="305" spans="1:4" ht="12.75" customHeight="1" x14ac:dyDescent="0.35">
      <c r="A305" s="28"/>
      <c r="B305" s="28"/>
      <c r="C305" s="28" t="s">
        <v>2998</v>
      </c>
      <c r="D305" s="28"/>
    </row>
    <row r="306" spans="1:4" ht="12.75" customHeight="1" x14ac:dyDescent="0.35">
      <c r="A306" s="28"/>
      <c r="B306" s="28"/>
      <c r="C306" s="28"/>
      <c r="D306" s="28"/>
    </row>
    <row r="307" spans="1:4" ht="12.75" customHeight="1" x14ac:dyDescent="0.35">
      <c r="A307" s="28"/>
      <c r="B307" s="28"/>
      <c r="C307" s="28"/>
      <c r="D307" s="28"/>
    </row>
    <row r="308" spans="1:4" ht="12.75" customHeight="1" x14ac:dyDescent="0.35">
      <c r="A308" s="28"/>
      <c r="B308" s="28"/>
      <c r="C308" s="28"/>
      <c r="D308" s="28"/>
    </row>
    <row r="309" spans="1:4" ht="12.75" customHeight="1" x14ac:dyDescent="0.35">
      <c r="A309" s="28"/>
      <c r="B309" s="28"/>
      <c r="C309" s="28"/>
      <c r="D309" s="28"/>
    </row>
    <row r="310" spans="1:4" ht="12.75" customHeight="1" x14ac:dyDescent="0.35">
      <c r="A310" s="28"/>
      <c r="B310" s="28" t="s">
        <v>2996</v>
      </c>
      <c r="C310" s="28"/>
      <c r="D310" s="28"/>
    </row>
    <row r="311" spans="1:4" ht="12.75" customHeight="1" x14ac:dyDescent="0.35">
      <c r="A311" s="28"/>
      <c r="B311" s="28"/>
      <c r="C311" s="28" t="s">
        <v>2997</v>
      </c>
      <c r="D311" s="28"/>
    </row>
    <row r="312" spans="1:4" ht="12.75" customHeight="1" x14ac:dyDescent="0.35">
      <c r="A312" s="28"/>
      <c r="B312" s="28"/>
      <c r="C312" s="28"/>
      <c r="D312" s="28"/>
    </row>
    <row r="313" spans="1:4" ht="12.75" customHeight="1" x14ac:dyDescent="0.35">
      <c r="A313" s="28"/>
      <c r="B313" s="28"/>
      <c r="C313" s="28"/>
      <c r="D313" s="28"/>
    </row>
    <row r="314" spans="1:4" ht="12.75" customHeight="1" x14ac:dyDescent="0.35">
      <c r="A314" s="28"/>
      <c r="B314" s="28" t="s">
        <v>2996</v>
      </c>
      <c r="C314" s="28"/>
      <c r="D314" s="28"/>
    </row>
    <row r="315" spans="1:4" ht="12.75" customHeight="1" x14ac:dyDescent="0.35">
      <c r="A315" s="28"/>
      <c r="B315" s="28"/>
      <c r="C315" s="28" t="s">
        <v>2998</v>
      </c>
      <c r="D315" s="28"/>
    </row>
    <row r="316" spans="1:4" ht="12.75" customHeight="1" x14ac:dyDescent="0.35">
      <c r="A316" s="28"/>
      <c r="B316" s="28"/>
      <c r="C316" s="28"/>
      <c r="D316" s="28"/>
    </row>
    <row r="317" spans="1:4" ht="12.75" customHeight="1" x14ac:dyDescent="0.35">
      <c r="A317" s="28"/>
      <c r="B317" s="28"/>
      <c r="C317" s="28"/>
      <c r="D317" s="28"/>
    </row>
    <row r="318" spans="1:4" ht="12.75" customHeight="1" x14ac:dyDescent="0.35">
      <c r="A318" s="28"/>
      <c r="B318" s="28" t="s">
        <v>2999</v>
      </c>
      <c r="C318" s="28"/>
      <c r="D318" s="28"/>
    </row>
    <row r="319" spans="1:4" ht="12.75" customHeight="1" x14ac:dyDescent="0.35">
      <c r="A319" s="28"/>
      <c r="B319" s="28" t="s">
        <v>3000</v>
      </c>
      <c r="C319" s="28"/>
      <c r="D319" s="28"/>
    </row>
    <row r="320" spans="1:4" ht="12.75" customHeight="1" x14ac:dyDescent="0.35">
      <c r="A320" s="28"/>
      <c r="B320" s="28" t="s">
        <v>3001</v>
      </c>
      <c r="C320" s="28"/>
      <c r="D320" s="28"/>
    </row>
    <row r="321" spans="1:4" ht="12.75" customHeight="1" x14ac:dyDescent="0.35">
      <c r="A321" s="28"/>
      <c r="B321" s="28" t="s">
        <v>3002</v>
      </c>
      <c r="C321" s="28"/>
      <c r="D321" s="28"/>
    </row>
    <row r="322" spans="1:4" ht="12.75" customHeight="1" x14ac:dyDescent="0.35">
      <c r="A322" s="28"/>
      <c r="B322" s="28" t="s">
        <v>2997</v>
      </c>
      <c r="C322" s="28"/>
      <c r="D322" s="28"/>
    </row>
    <row r="323" spans="1:4" ht="12.75" customHeight="1" x14ac:dyDescent="0.35">
      <c r="A323" s="28"/>
      <c r="B323" s="28" t="s">
        <v>3003</v>
      </c>
      <c r="C323" s="28"/>
      <c r="D323" s="28"/>
    </row>
    <row r="324" spans="1:4" ht="12.75" customHeight="1" x14ac:dyDescent="0.35">
      <c r="A324" s="28"/>
      <c r="B324" s="28" t="s">
        <v>3000</v>
      </c>
      <c r="C324" s="28"/>
      <c r="D324" s="28"/>
    </row>
    <row r="325" spans="1:4" ht="12.75" customHeight="1" x14ac:dyDescent="0.35">
      <c r="A325" s="28"/>
      <c r="B325" s="28" t="s">
        <v>2994</v>
      </c>
      <c r="C325" s="28"/>
      <c r="D325" s="28"/>
    </row>
    <row r="326" spans="1:4" ht="12.75" customHeight="1" x14ac:dyDescent="0.35">
      <c r="A326" s="28"/>
      <c r="B326" s="28" t="s">
        <v>3002</v>
      </c>
      <c r="C326" s="28"/>
      <c r="D326" s="28"/>
    </row>
    <row r="327" spans="1:4" ht="12.75" customHeight="1" x14ac:dyDescent="0.35">
      <c r="A327" s="28"/>
      <c r="B327" s="28" t="s">
        <v>2998</v>
      </c>
      <c r="C327" s="28"/>
      <c r="D327" s="28"/>
    </row>
    <row r="328" spans="1:4" ht="12.75" customHeight="1" x14ac:dyDescent="0.35">
      <c r="A328" s="28"/>
      <c r="B328" s="28"/>
      <c r="C328" s="28"/>
      <c r="D328" s="28"/>
    </row>
    <row r="329" spans="1:4" ht="12.75" customHeight="1" x14ac:dyDescent="0.35">
      <c r="A329" s="28"/>
      <c r="B329" s="28" t="s">
        <v>3004</v>
      </c>
      <c r="C329" s="28"/>
      <c r="D329" s="28"/>
    </row>
    <row r="330" spans="1:4" ht="12.75" customHeight="1" x14ac:dyDescent="0.35">
      <c r="A330" s="28"/>
      <c r="B330" s="28" t="s">
        <v>3005</v>
      </c>
      <c r="C330" s="28"/>
      <c r="D330" s="28"/>
    </row>
    <row r="331" spans="1:4" ht="12.75" customHeight="1" x14ac:dyDescent="0.35">
      <c r="A331" s="28"/>
      <c r="B331" s="28" t="s">
        <v>3006</v>
      </c>
      <c r="C331" s="28"/>
      <c r="D331" s="28"/>
    </row>
    <row r="332" spans="1:4" ht="12.75" customHeight="1" x14ac:dyDescent="0.35">
      <c r="A332" s="28"/>
      <c r="B332" s="28" t="s">
        <v>3007</v>
      </c>
      <c r="C332" s="28"/>
      <c r="D332" s="28"/>
    </row>
    <row r="333" spans="1:4" ht="12.75" customHeight="1" x14ac:dyDescent="0.35">
      <c r="A333" s="28"/>
      <c r="B333" s="28" t="s">
        <v>3008</v>
      </c>
      <c r="C333" s="28"/>
      <c r="D333" s="28"/>
    </row>
    <row r="334" spans="1:4" ht="12.75" customHeight="1" x14ac:dyDescent="0.35">
      <c r="A334" s="28"/>
      <c r="B334" s="28"/>
      <c r="C334" s="28"/>
      <c r="D334" s="28"/>
    </row>
    <row r="335" spans="1:4" ht="12.75" customHeight="1" x14ac:dyDescent="0.35">
      <c r="A335" s="28"/>
      <c r="B335" s="28" t="s">
        <v>3009</v>
      </c>
      <c r="C335" s="28"/>
      <c r="D335" s="28" t="s">
        <v>3010</v>
      </c>
    </row>
    <row r="336" spans="1:4" ht="12.75" customHeight="1" x14ac:dyDescent="0.35">
      <c r="A336" s="28"/>
      <c r="B336" s="28" t="s">
        <v>3011</v>
      </c>
      <c r="C336" s="28"/>
      <c r="D336" s="28"/>
    </row>
    <row r="337" spans="1:4" ht="12.75" customHeight="1" x14ac:dyDescent="0.35">
      <c r="A337" s="28"/>
      <c r="B337" s="28" t="s">
        <v>3012</v>
      </c>
      <c r="C337" s="28"/>
      <c r="D337" s="28"/>
    </row>
    <row r="338" spans="1:4" ht="12.75" customHeight="1" x14ac:dyDescent="0.35">
      <c r="A338" s="28"/>
      <c r="B338" s="28" t="s">
        <v>3013</v>
      </c>
      <c r="C338" s="28"/>
      <c r="D338" s="28"/>
    </row>
    <row r="339" spans="1:4" ht="12.75" customHeight="1" x14ac:dyDescent="0.35">
      <c r="A339" s="28"/>
      <c r="B339" s="28" t="s">
        <v>3014</v>
      </c>
      <c r="C339" s="28"/>
      <c r="D339" s="28"/>
    </row>
    <row r="340" spans="1:4" ht="12.75" customHeight="1" x14ac:dyDescent="0.35">
      <c r="A340" s="28"/>
      <c r="B340" s="28" t="s">
        <v>3015</v>
      </c>
      <c r="C340" s="28"/>
      <c r="D340" s="28"/>
    </row>
    <row r="341" spans="1:4" ht="12.75" customHeight="1" x14ac:dyDescent="0.35">
      <c r="A341" s="28"/>
      <c r="B341" s="28" t="s">
        <v>3016</v>
      </c>
      <c r="C341" s="28"/>
      <c r="D341" s="28"/>
    </row>
    <row r="342" spans="1:4" ht="12.75" customHeight="1" x14ac:dyDescent="0.35">
      <c r="A342" s="28"/>
      <c r="B342" s="28" t="s">
        <v>3017</v>
      </c>
      <c r="C342" s="28"/>
      <c r="D342" s="28"/>
    </row>
    <row r="343" spans="1:4" ht="12.75" customHeight="1" x14ac:dyDescent="0.35">
      <c r="A343" s="28"/>
      <c r="B343" s="28" t="s">
        <v>3018</v>
      </c>
      <c r="C343" s="28"/>
      <c r="D343" s="28"/>
    </row>
    <row r="344" spans="1:4" ht="12.75" customHeight="1" x14ac:dyDescent="0.35">
      <c r="A344" s="28"/>
      <c r="B344" s="28" t="s">
        <v>3019</v>
      </c>
      <c r="C344" s="28"/>
      <c r="D344" s="28"/>
    </row>
    <row r="345" spans="1:4" ht="12.75" customHeight="1" x14ac:dyDescent="0.35">
      <c r="A345" s="28"/>
      <c r="B345" s="28" t="s">
        <v>3020</v>
      </c>
      <c r="C345" s="28"/>
      <c r="D345" s="28"/>
    </row>
    <row r="346" spans="1:4" ht="12.75" customHeight="1" x14ac:dyDescent="0.35">
      <c r="A346" s="28"/>
      <c r="B346" s="28" t="s">
        <v>3021</v>
      </c>
      <c r="C346" s="28"/>
      <c r="D346" s="28"/>
    </row>
    <row r="347" spans="1:4" ht="12.75" customHeight="1" x14ac:dyDescent="0.35">
      <c r="A347" s="28"/>
      <c r="B347" s="28"/>
      <c r="C347" s="28" t="s">
        <v>3022</v>
      </c>
      <c r="D347" s="28"/>
    </row>
    <row r="348" spans="1:4" ht="12.75" customHeight="1" x14ac:dyDescent="0.35">
      <c r="A348" s="28"/>
      <c r="B348" s="28"/>
      <c r="C348" s="28"/>
      <c r="D348" s="28"/>
    </row>
    <row r="349" spans="1:4" ht="12.75" customHeight="1" x14ac:dyDescent="0.35">
      <c r="A349" s="28"/>
      <c r="B349" s="28"/>
      <c r="C349" s="28" t="s">
        <v>3023</v>
      </c>
      <c r="D349" s="28"/>
    </row>
    <row r="350" spans="1:4" ht="12.75" customHeight="1" x14ac:dyDescent="0.35">
      <c r="A350" s="28"/>
      <c r="B350" s="28"/>
      <c r="C350" s="28" t="s">
        <v>2267</v>
      </c>
      <c r="D350" s="28"/>
    </row>
    <row r="351" spans="1:4" ht="12.75" customHeight="1" x14ac:dyDescent="0.35">
      <c r="A351" s="28"/>
      <c r="B351" s="28"/>
      <c r="C351" s="28" t="s">
        <v>3024</v>
      </c>
      <c r="D351" s="28"/>
    </row>
    <row r="352" spans="1:4" ht="12.75" customHeight="1" x14ac:dyDescent="0.35">
      <c r="A352" s="28"/>
      <c r="B352" s="28"/>
      <c r="C352" s="28"/>
      <c r="D352" s="28"/>
    </row>
    <row r="353" spans="1:4" ht="12.75" customHeight="1" x14ac:dyDescent="0.35">
      <c r="A353" s="28"/>
      <c r="B353" s="28"/>
      <c r="C353" s="28"/>
      <c r="D353" s="28"/>
    </row>
    <row r="354" spans="1:4" ht="12.75" customHeight="1" x14ac:dyDescent="0.35">
      <c r="A354" s="28"/>
      <c r="B354" s="28"/>
      <c r="C354" s="28"/>
      <c r="D354" s="28"/>
    </row>
    <row r="355" spans="1:4" ht="12.75" customHeight="1" x14ac:dyDescent="0.35">
      <c r="A355" s="28"/>
      <c r="B355" s="28"/>
      <c r="C355" s="28"/>
      <c r="D355" s="28"/>
    </row>
    <row r="356" spans="1:4" ht="12.75" customHeight="1" x14ac:dyDescent="0.35">
      <c r="A356" s="28"/>
      <c r="B356" s="28"/>
      <c r="C356" s="28"/>
      <c r="D356" s="28"/>
    </row>
    <row r="357" spans="1:4" ht="12.75" customHeight="1" x14ac:dyDescent="0.35">
      <c r="A357" s="28"/>
      <c r="B357" s="28"/>
      <c r="C357" s="28"/>
      <c r="D357" s="28"/>
    </row>
    <row r="358" spans="1:4" ht="12.75" customHeight="1" x14ac:dyDescent="0.35">
      <c r="A358" s="28"/>
      <c r="B358" s="28"/>
      <c r="C358" s="28"/>
      <c r="D358" s="28"/>
    </row>
    <row r="359" spans="1:4" ht="12.75" customHeight="1" x14ac:dyDescent="0.35">
      <c r="A359" s="28"/>
      <c r="B359" s="28"/>
      <c r="C359" s="28"/>
      <c r="D359" s="28"/>
    </row>
    <row r="360" spans="1:4" ht="12.75" customHeight="1" x14ac:dyDescent="0.35">
      <c r="A360" s="28"/>
      <c r="B360" s="28"/>
      <c r="C360" s="28"/>
      <c r="D360" s="28"/>
    </row>
    <row r="361" spans="1:4" ht="12.75" customHeight="1" x14ac:dyDescent="0.35">
      <c r="A361" s="28"/>
      <c r="B361" s="28"/>
      <c r="C361" s="28"/>
      <c r="D361" s="28"/>
    </row>
    <row r="362" spans="1:4" ht="12.75" customHeight="1" x14ac:dyDescent="0.35">
      <c r="A362" s="28"/>
      <c r="B362" s="28"/>
      <c r="C362" s="28"/>
      <c r="D362" s="28"/>
    </row>
    <row r="363" spans="1:4" ht="12.75" customHeight="1" x14ac:dyDescent="0.35">
      <c r="A363" s="28"/>
      <c r="B363" s="28"/>
      <c r="C363" s="28"/>
      <c r="D363" s="28"/>
    </row>
    <row r="364" spans="1:4" ht="12.75" customHeight="1" x14ac:dyDescent="0.35">
      <c r="A364" s="28"/>
      <c r="B364" s="28"/>
      <c r="C364" s="28"/>
      <c r="D364" s="28"/>
    </row>
    <row r="365" spans="1:4" ht="12.75" customHeight="1" x14ac:dyDescent="0.35">
      <c r="A365" s="28"/>
      <c r="B365" s="28"/>
      <c r="C365" s="28"/>
      <c r="D365" s="28"/>
    </row>
    <row r="366" spans="1:4" ht="12.75" customHeight="1" x14ac:dyDescent="0.35">
      <c r="A366" s="28"/>
      <c r="B366" s="28"/>
      <c r="C366" s="28"/>
      <c r="D366" s="28"/>
    </row>
    <row r="367" spans="1:4" ht="12.75" customHeight="1" x14ac:dyDescent="0.35">
      <c r="A367" s="28"/>
      <c r="B367" s="28"/>
      <c r="C367" s="28"/>
      <c r="D367" s="28"/>
    </row>
    <row r="368" spans="1:4" ht="12.75" customHeight="1" x14ac:dyDescent="0.35">
      <c r="A368" s="28"/>
      <c r="B368" s="28"/>
      <c r="C368" s="28"/>
      <c r="D368" s="28"/>
    </row>
    <row r="369" spans="1:4" ht="12.75" customHeight="1" x14ac:dyDescent="0.35">
      <c r="A369" s="28"/>
      <c r="B369" s="28"/>
      <c r="C369" s="28"/>
      <c r="D369" s="28"/>
    </row>
    <row r="370" spans="1:4" ht="12.75" customHeight="1" x14ac:dyDescent="0.35">
      <c r="A370" s="28"/>
      <c r="B370" s="28"/>
      <c r="C370" s="28"/>
      <c r="D370" s="28"/>
    </row>
    <row r="371" spans="1:4" ht="12.75" customHeight="1" x14ac:dyDescent="0.35">
      <c r="A371" s="28"/>
      <c r="B371" s="28"/>
      <c r="C371" s="28"/>
      <c r="D371" s="28"/>
    </row>
    <row r="372" spans="1:4" ht="12.75" customHeight="1" x14ac:dyDescent="0.35">
      <c r="A372" s="28"/>
      <c r="B372" s="28"/>
      <c r="C372" s="28"/>
      <c r="D372" s="28"/>
    </row>
    <row r="373" spans="1:4" ht="12.75" customHeight="1" x14ac:dyDescent="0.35">
      <c r="A373" s="28"/>
      <c r="B373" s="28"/>
      <c r="C373" s="28"/>
      <c r="D373" s="28"/>
    </row>
    <row r="374" spans="1:4" ht="12.75" customHeight="1" x14ac:dyDescent="0.35">
      <c r="A374" s="28"/>
      <c r="B374" s="28"/>
      <c r="C374" s="28"/>
      <c r="D374" s="28"/>
    </row>
    <row r="375" spans="1:4" ht="12.75" customHeight="1" x14ac:dyDescent="0.35">
      <c r="A375" s="28"/>
      <c r="B375" s="28"/>
      <c r="C375" s="28"/>
      <c r="D375" s="28"/>
    </row>
    <row r="376" spans="1:4" ht="12.75" customHeight="1" x14ac:dyDescent="0.35">
      <c r="A376" s="28"/>
      <c r="B376" s="28"/>
      <c r="C376" s="28"/>
      <c r="D376" s="28"/>
    </row>
    <row r="377" spans="1:4" ht="12.75" customHeight="1" x14ac:dyDescent="0.35">
      <c r="A377" s="28"/>
      <c r="B377" s="28"/>
      <c r="C377" s="28"/>
      <c r="D377" s="28"/>
    </row>
    <row r="378" spans="1:4" ht="12.75" customHeight="1" x14ac:dyDescent="0.35">
      <c r="A378" s="28"/>
      <c r="B378" s="28"/>
      <c r="C378" s="28"/>
      <c r="D378" s="28"/>
    </row>
    <row r="379" spans="1:4" ht="12.75" customHeight="1" x14ac:dyDescent="0.35">
      <c r="A379" s="28"/>
      <c r="B379" s="28"/>
      <c r="C379" s="28"/>
      <c r="D379" s="28"/>
    </row>
    <row r="380" spans="1:4" ht="12.75" customHeight="1" x14ac:dyDescent="0.35">
      <c r="A380" s="28"/>
      <c r="B380" s="28"/>
      <c r="C380" s="28"/>
      <c r="D380" s="28"/>
    </row>
    <row r="381" spans="1:4" ht="12.75" customHeight="1" x14ac:dyDescent="0.35">
      <c r="A381" s="28"/>
      <c r="B381" s="28"/>
      <c r="C381" s="28"/>
      <c r="D381" s="28"/>
    </row>
    <row r="382" spans="1:4" ht="12.75" customHeight="1" x14ac:dyDescent="0.35">
      <c r="A382" s="28"/>
      <c r="B382" s="28"/>
      <c r="C382" s="28"/>
      <c r="D382" s="28"/>
    </row>
    <row r="383" spans="1:4" ht="12.75" customHeight="1" x14ac:dyDescent="0.35">
      <c r="A383" s="28"/>
      <c r="B383" s="28"/>
      <c r="C383" s="28"/>
      <c r="D383" s="28"/>
    </row>
    <row r="384" spans="1:4" ht="12.75" customHeight="1" x14ac:dyDescent="0.35">
      <c r="A384" s="28"/>
      <c r="B384" s="28"/>
      <c r="C384" s="28"/>
      <c r="D384" s="28"/>
    </row>
    <row r="385" spans="1:4" ht="12.75" customHeight="1" x14ac:dyDescent="0.35">
      <c r="A385" s="28"/>
      <c r="B385" s="28"/>
      <c r="C385" s="28" t="s">
        <v>3025</v>
      </c>
      <c r="D385" s="28"/>
    </row>
    <row r="386" spans="1:4" ht="12.75" customHeight="1" x14ac:dyDescent="0.35">
      <c r="A386" s="28"/>
      <c r="B386" s="28"/>
      <c r="C386" s="28"/>
      <c r="D386" s="28"/>
    </row>
    <row r="387" spans="1:4" ht="12.75" customHeight="1" x14ac:dyDescent="0.35">
      <c r="A387" s="28"/>
      <c r="B387" s="28"/>
      <c r="C387" s="28"/>
      <c r="D387" s="28"/>
    </row>
    <row r="388" spans="1:4" ht="12.75" customHeight="1" x14ac:dyDescent="0.35">
      <c r="A388" s="28"/>
      <c r="B388" s="28"/>
      <c r="C388" s="28"/>
      <c r="D388" s="28"/>
    </row>
    <row r="389" spans="1:4" ht="12.75" customHeight="1" x14ac:dyDescent="0.35">
      <c r="A389" s="28"/>
      <c r="B389" s="28"/>
      <c r="C389" s="28"/>
      <c r="D389" s="28"/>
    </row>
    <row r="390" spans="1:4" ht="12.75" customHeight="1" x14ac:dyDescent="0.35">
      <c r="A390" s="28"/>
      <c r="B390" s="28"/>
      <c r="C390" s="28"/>
      <c r="D390" s="28"/>
    </row>
    <row r="391" spans="1:4" ht="12.75" customHeight="1" x14ac:dyDescent="0.35">
      <c r="A391" s="28"/>
      <c r="B391" s="28"/>
      <c r="C391" s="28"/>
      <c r="D391" s="28"/>
    </row>
    <row r="392" spans="1:4" ht="12.75" customHeight="1" x14ac:dyDescent="0.35">
      <c r="A392" s="28"/>
      <c r="B392" s="28"/>
      <c r="C392" s="28"/>
      <c r="D392" s="28"/>
    </row>
    <row r="393" spans="1:4" ht="12.75" customHeight="1" x14ac:dyDescent="0.35">
      <c r="A393" s="28"/>
      <c r="B393" s="28"/>
      <c r="C393" s="28"/>
      <c r="D393" s="28"/>
    </row>
    <row r="394" spans="1:4" ht="12.75" customHeight="1" x14ac:dyDescent="0.35">
      <c r="A394" s="28"/>
      <c r="B394" s="28"/>
      <c r="C394" s="28"/>
      <c r="D394" s="28"/>
    </row>
    <row r="395" spans="1:4" ht="12.75" customHeight="1" x14ac:dyDescent="0.35">
      <c r="A395" s="28"/>
      <c r="B395" s="28"/>
      <c r="C395" s="28"/>
      <c r="D395" s="28"/>
    </row>
    <row r="396" spans="1:4" ht="12.75" customHeight="1" x14ac:dyDescent="0.35">
      <c r="A396" s="28"/>
      <c r="B396" s="28"/>
      <c r="C396" s="28"/>
      <c r="D396" s="28"/>
    </row>
    <row r="397" spans="1:4" ht="12.75" customHeight="1" x14ac:dyDescent="0.35">
      <c r="A397" s="28"/>
      <c r="B397" s="28"/>
      <c r="C397" s="28"/>
      <c r="D397" s="28"/>
    </row>
    <row r="398" spans="1:4" ht="12.75" customHeight="1" x14ac:dyDescent="0.35">
      <c r="A398" s="28"/>
      <c r="B398" s="28"/>
      <c r="C398" s="28"/>
      <c r="D398" s="28"/>
    </row>
    <row r="399" spans="1:4" ht="12.75" customHeight="1" x14ac:dyDescent="0.35">
      <c r="A399" s="28"/>
      <c r="B399" s="28"/>
      <c r="C399" s="28"/>
      <c r="D399" s="28"/>
    </row>
    <row r="400" spans="1:4" ht="12.75" customHeight="1" x14ac:dyDescent="0.35">
      <c r="A400" s="28"/>
      <c r="B400" s="28"/>
      <c r="C400" s="28"/>
      <c r="D400" s="28"/>
    </row>
    <row r="401" spans="1:4" ht="12.75" customHeight="1" x14ac:dyDescent="0.35">
      <c r="A401" s="28"/>
      <c r="B401" s="28"/>
      <c r="C401" s="28"/>
      <c r="D401" s="28"/>
    </row>
    <row r="402" spans="1:4" ht="12.75" customHeight="1" x14ac:dyDescent="0.35">
      <c r="A402" s="28"/>
      <c r="B402" s="28"/>
      <c r="C402" s="28"/>
      <c r="D402" s="28"/>
    </row>
    <row r="403" spans="1:4" ht="12.75" customHeight="1" x14ac:dyDescent="0.35">
      <c r="A403" s="28"/>
      <c r="B403" s="28"/>
      <c r="C403" s="28"/>
      <c r="D403" s="28"/>
    </row>
    <row r="404" spans="1:4" ht="12.75" customHeight="1" x14ac:dyDescent="0.35">
      <c r="A404" s="28"/>
      <c r="B404" s="28"/>
      <c r="C404" s="28"/>
      <c r="D404" s="28"/>
    </row>
    <row r="405" spans="1:4" ht="12.75" customHeight="1" x14ac:dyDescent="0.35">
      <c r="A405" s="28"/>
      <c r="B405" s="28"/>
      <c r="C405" s="28"/>
      <c r="D405" s="28"/>
    </row>
    <row r="406" spans="1:4" ht="12.75" customHeight="1" x14ac:dyDescent="0.35">
      <c r="A406" s="28"/>
      <c r="B406" s="28"/>
      <c r="C406" s="28"/>
      <c r="D406" s="28"/>
    </row>
    <row r="407" spans="1:4" ht="12.75" customHeight="1" x14ac:dyDescent="0.35">
      <c r="A407" s="28"/>
      <c r="B407" s="28"/>
      <c r="C407" s="28"/>
      <c r="D407" s="28"/>
    </row>
    <row r="408" spans="1:4" ht="12.75" customHeight="1" x14ac:dyDescent="0.35">
      <c r="A408" s="28"/>
      <c r="B408" s="28"/>
      <c r="C408" s="28"/>
      <c r="D408" s="28"/>
    </row>
    <row r="409" spans="1:4" ht="12.75" customHeight="1" x14ac:dyDescent="0.35">
      <c r="A409" s="28"/>
      <c r="B409" s="28"/>
      <c r="C409" s="28"/>
      <c r="D409" s="28"/>
    </row>
    <row r="410" spans="1:4" ht="12.75" customHeight="1" x14ac:dyDescent="0.35">
      <c r="A410" s="28"/>
      <c r="B410" s="28"/>
      <c r="C410" s="28"/>
      <c r="D410" s="28"/>
    </row>
    <row r="411" spans="1:4" ht="12.75" customHeight="1" x14ac:dyDescent="0.35">
      <c r="A411" s="28"/>
      <c r="B411" s="28"/>
      <c r="C411" s="28"/>
      <c r="D411" s="28"/>
    </row>
    <row r="412" spans="1:4" ht="12.75" customHeight="1" x14ac:dyDescent="0.35">
      <c r="A412" s="28"/>
      <c r="B412" s="28"/>
      <c r="C412" s="28"/>
      <c r="D412" s="28"/>
    </row>
    <row r="413" spans="1:4" ht="12.75" customHeight="1" x14ac:dyDescent="0.35">
      <c r="A413" s="28"/>
      <c r="B413" s="28"/>
      <c r="C413" s="28"/>
      <c r="D413" s="28"/>
    </row>
    <row r="414" spans="1:4" ht="12.75" customHeight="1" x14ac:dyDescent="0.35">
      <c r="A414" s="28"/>
      <c r="B414" s="28"/>
      <c r="C414" s="28"/>
      <c r="D414" s="28"/>
    </row>
    <row r="415" spans="1:4" ht="12.75" customHeight="1" x14ac:dyDescent="0.35">
      <c r="A415" s="28"/>
      <c r="B415" s="28"/>
      <c r="C415" s="28"/>
      <c r="D415" s="28"/>
    </row>
    <row r="416" spans="1:4" ht="12.75" customHeight="1" x14ac:dyDescent="0.35">
      <c r="A416" s="28"/>
      <c r="B416" s="28"/>
      <c r="C416" s="28"/>
      <c r="D416" s="28"/>
    </row>
    <row r="417" spans="1:4" ht="12.75" customHeight="1" x14ac:dyDescent="0.35">
      <c r="A417" s="28"/>
      <c r="B417" s="28"/>
      <c r="C417" s="28"/>
      <c r="D417" s="28"/>
    </row>
    <row r="418" spans="1:4" ht="12.75" customHeight="1" x14ac:dyDescent="0.35">
      <c r="A418" s="28"/>
      <c r="B418" s="28"/>
      <c r="C418" s="28"/>
      <c r="D418" s="28"/>
    </row>
    <row r="419" spans="1:4" ht="12.75" customHeight="1" x14ac:dyDescent="0.35">
      <c r="A419" s="28"/>
      <c r="B419" s="28"/>
      <c r="C419" s="28"/>
      <c r="D419" s="28"/>
    </row>
    <row r="420" spans="1:4" ht="12.75" customHeight="1" x14ac:dyDescent="0.35">
      <c r="A420" s="28"/>
      <c r="B420" s="28"/>
      <c r="C420" s="28"/>
      <c r="D420" s="28"/>
    </row>
    <row r="421" spans="1:4" ht="12.75" customHeight="1" x14ac:dyDescent="0.35">
      <c r="A421" s="28"/>
      <c r="B421" s="28"/>
      <c r="C421" s="28"/>
      <c r="D421" s="28"/>
    </row>
    <row r="422" spans="1:4" ht="12.75" customHeight="1" x14ac:dyDescent="0.35">
      <c r="A422" s="28"/>
      <c r="B422" s="28"/>
      <c r="C422" s="28" t="s">
        <v>3026</v>
      </c>
      <c r="D422" s="28"/>
    </row>
    <row r="423" spans="1:4" ht="12.75" customHeight="1" x14ac:dyDescent="0.35">
      <c r="A423" s="28"/>
      <c r="B423" s="28" t="s">
        <v>3027</v>
      </c>
      <c r="C423" s="28"/>
      <c r="D423" s="28"/>
    </row>
    <row r="424" spans="1:4" ht="12.75" customHeight="1" x14ac:dyDescent="0.35">
      <c r="A424" s="28"/>
      <c r="B424" s="28" t="s">
        <v>3028</v>
      </c>
      <c r="C424" s="28"/>
      <c r="D424" s="28"/>
    </row>
    <row r="425" spans="1:4" ht="12.75" customHeight="1" x14ac:dyDescent="0.35">
      <c r="A425" s="28"/>
      <c r="B425" s="28" t="s">
        <v>2267</v>
      </c>
      <c r="C425" s="28"/>
      <c r="D425" s="28"/>
    </row>
    <row r="426" spans="1:4" ht="12.75" customHeight="1" x14ac:dyDescent="0.35">
      <c r="A426" s="28"/>
      <c r="B426" s="28" t="s">
        <v>3029</v>
      </c>
      <c r="C426" s="28"/>
      <c r="D426" s="28"/>
    </row>
    <row r="427" spans="1:4" ht="12.75" customHeight="1" x14ac:dyDescent="0.35">
      <c r="A427" s="28"/>
      <c r="B427" s="28" t="s">
        <v>3030</v>
      </c>
      <c r="C427" s="28"/>
      <c r="D427" s="28"/>
    </row>
    <row r="428" spans="1:4" ht="12.75" customHeight="1" x14ac:dyDescent="0.35">
      <c r="A428" s="28"/>
      <c r="B428" s="28" t="s">
        <v>3031</v>
      </c>
      <c r="C428" s="28"/>
      <c r="D428" s="28"/>
    </row>
    <row r="429" spans="1:4" ht="12.75" customHeight="1" x14ac:dyDescent="0.35">
      <c r="A429" s="28"/>
      <c r="B429" s="28" t="s">
        <v>3032</v>
      </c>
      <c r="C429" s="28"/>
      <c r="D429" s="28"/>
    </row>
    <row r="430" spans="1:4" ht="12.75" customHeight="1" x14ac:dyDescent="0.35">
      <c r="A430" s="28"/>
      <c r="B430" s="28" t="s">
        <v>3033</v>
      </c>
      <c r="C430" s="28"/>
      <c r="D430" s="28"/>
    </row>
    <row r="431" spans="1:4" ht="12.75" customHeight="1" x14ac:dyDescent="0.35">
      <c r="A431" s="28"/>
      <c r="B431" s="28" t="s">
        <v>3034</v>
      </c>
      <c r="C431" s="28"/>
      <c r="D431" s="28"/>
    </row>
    <row r="432" spans="1:4" ht="12.75" customHeight="1" x14ac:dyDescent="0.35">
      <c r="A432" s="28"/>
      <c r="B432" s="28" t="s">
        <v>3035</v>
      </c>
      <c r="C432" s="28"/>
      <c r="D432" s="28"/>
    </row>
    <row r="433" spans="1:4" ht="12.75" customHeight="1" x14ac:dyDescent="0.35">
      <c r="A433" s="28"/>
      <c r="B433" s="28"/>
      <c r="C433" s="28"/>
      <c r="D433" s="28"/>
    </row>
    <row r="434" spans="1:4" ht="12.75" customHeight="1" x14ac:dyDescent="0.35">
      <c r="A434" s="28"/>
      <c r="B434" s="28"/>
      <c r="C434" s="28"/>
      <c r="D434" s="28"/>
    </row>
    <row r="435" spans="1:4" ht="12.75" customHeight="1" x14ac:dyDescent="0.35">
      <c r="A435" s="28"/>
      <c r="B435" s="28"/>
      <c r="C435" s="28"/>
      <c r="D435" s="28"/>
    </row>
    <row r="436" spans="1:4" ht="12.75" customHeight="1" x14ac:dyDescent="0.35">
      <c r="A436" s="28"/>
      <c r="B436" s="28"/>
      <c r="C436" s="28"/>
      <c r="D436" s="28"/>
    </row>
    <row r="437" spans="1:4" ht="12.75" customHeight="1" x14ac:dyDescent="0.35">
      <c r="A437" s="28"/>
      <c r="B437" s="28"/>
      <c r="C437" s="28"/>
      <c r="D437" s="28"/>
    </row>
    <row r="438" spans="1:4" ht="12.75" customHeight="1" x14ac:dyDescent="0.35">
      <c r="A438" s="28"/>
      <c r="B438" s="28"/>
      <c r="C438" s="28"/>
      <c r="D438" s="28"/>
    </row>
    <row r="439" spans="1:4" ht="12.75" customHeight="1" x14ac:dyDescent="0.35">
      <c r="A439" s="28"/>
      <c r="B439" s="28" t="s">
        <v>3036</v>
      </c>
      <c r="C439" s="28"/>
      <c r="D439" s="28"/>
    </row>
    <row r="440" spans="1:4" ht="12.75" customHeight="1" x14ac:dyDescent="0.35">
      <c r="A440" s="28"/>
      <c r="B440" s="28"/>
      <c r="C440" s="28"/>
      <c r="D440" s="28"/>
    </row>
    <row r="441" spans="1:4" ht="12.75" customHeight="1" x14ac:dyDescent="0.35">
      <c r="A441" s="28"/>
      <c r="B441" s="28" t="s">
        <v>2992</v>
      </c>
      <c r="C441" s="28"/>
      <c r="D441" s="28"/>
    </row>
    <row r="442" spans="1:4" ht="12.75" customHeight="1" x14ac:dyDescent="0.35">
      <c r="A442" s="28"/>
      <c r="B442" s="28" t="s">
        <v>3037</v>
      </c>
      <c r="C442" s="28"/>
      <c r="D442" s="28"/>
    </row>
    <row r="443" spans="1:4" ht="12.75" customHeight="1" x14ac:dyDescent="0.35">
      <c r="A443" s="28"/>
      <c r="B443" s="28"/>
      <c r="C443" s="28"/>
      <c r="D443" s="28"/>
    </row>
    <row r="444" spans="1:4" ht="12.75" customHeight="1" x14ac:dyDescent="0.35">
      <c r="A444" s="28"/>
      <c r="B444" s="28"/>
      <c r="C444" s="28"/>
      <c r="D444" s="28"/>
    </row>
    <row r="445" spans="1:4" ht="12.75" customHeight="1" x14ac:dyDescent="0.35">
      <c r="A445" s="28"/>
      <c r="B445" s="28"/>
      <c r="C445" s="28"/>
      <c r="D445" s="28"/>
    </row>
    <row r="446" spans="1:4" ht="12.75" customHeight="1" x14ac:dyDescent="0.35">
      <c r="A446" s="28"/>
      <c r="B446" s="28"/>
      <c r="C446" s="28"/>
      <c r="D446" s="28"/>
    </row>
    <row r="447" spans="1:4" ht="12.75" customHeight="1" x14ac:dyDescent="0.35">
      <c r="A447" s="28"/>
      <c r="B447" s="28"/>
      <c r="C447" s="28"/>
      <c r="D447" s="28"/>
    </row>
    <row r="448" spans="1:4" ht="12.75" customHeight="1" x14ac:dyDescent="0.35">
      <c r="A448" s="28"/>
      <c r="B448" s="28"/>
      <c r="C448" s="28"/>
      <c r="D448" s="28"/>
    </row>
    <row r="449" spans="1:4" ht="12.75" customHeight="1" x14ac:dyDescent="0.35">
      <c r="A449" s="28"/>
      <c r="B449" s="28"/>
      <c r="C449" s="28"/>
      <c r="D449" s="28"/>
    </row>
    <row r="450" spans="1:4" ht="12.75" customHeight="1" x14ac:dyDescent="0.35">
      <c r="A450" s="28"/>
      <c r="B450" s="28"/>
      <c r="C450" s="28"/>
      <c r="D450" s="28"/>
    </row>
    <row r="451" spans="1:4" ht="12.75" customHeight="1" x14ac:dyDescent="0.35">
      <c r="A451" s="28"/>
      <c r="B451" s="28"/>
      <c r="C451" s="28"/>
      <c r="D451" s="28"/>
    </row>
    <row r="452" spans="1:4" ht="12.75" customHeight="1" x14ac:dyDescent="0.35">
      <c r="A452" s="28"/>
      <c r="B452" s="28"/>
      <c r="C452" s="28"/>
      <c r="D452" s="28"/>
    </row>
    <row r="453" spans="1:4" ht="12.75" customHeight="1" x14ac:dyDescent="0.35">
      <c r="A453" s="28"/>
      <c r="B453" s="28" t="s">
        <v>3038</v>
      </c>
      <c r="C453" s="28"/>
      <c r="D453" s="28"/>
    </row>
    <row r="454" spans="1:4" ht="12.75" customHeight="1" x14ac:dyDescent="0.35">
      <c r="A454" s="28"/>
      <c r="B454" s="28" t="s">
        <v>5296</v>
      </c>
      <c r="C454" s="28"/>
      <c r="D454" s="28"/>
    </row>
    <row r="455" spans="1:4" ht="12.75" customHeight="1" x14ac:dyDescent="0.35">
      <c r="A455" s="28"/>
      <c r="B455" s="28" t="str">
        <f>IF(PrintMode=0,"      ","")&amp;"Sonstige betriebliche Erträge"</f>
        <v xml:space="preserve">      Sonstige betriebliche Erträge</v>
      </c>
      <c r="C455" s="28"/>
      <c r="D455" s="28"/>
    </row>
    <row r="456" spans="1:4" ht="12.75" customHeight="1" x14ac:dyDescent="0.35">
      <c r="A456" s="28"/>
      <c r="B456" s="28" t="s">
        <v>3039</v>
      </c>
      <c r="C456" s="28"/>
      <c r="D456" s="28"/>
    </row>
    <row r="457" spans="1:4" ht="12.75" customHeight="1" x14ac:dyDescent="0.35">
      <c r="A457" s="28"/>
      <c r="B457" s="28"/>
      <c r="C457" s="28" t="s">
        <v>3040</v>
      </c>
      <c r="D457" s="28"/>
    </row>
    <row r="458" spans="1:4" ht="12.75" customHeight="1" x14ac:dyDescent="0.35">
      <c r="A458" s="28"/>
      <c r="B458" s="28"/>
      <c r="C458" s="28" t="s">
        <v>3041</v>
      </c>
      <c r="D458" s="28"/>
    </row>
    <row r="459" spans="1:4" ht="12.75" customHeight="1" x14ac:dyDescent="0.35">
      <c r="A459" s="28"/>
      <c r="B459" s="28"/>
      <c r="C459" s="28" t="s">
        <v>3042</v>
      </c>
      <c r="D459" s="28"/>
    </row>
    <row r="460" spans="1:4" ht="12.75" customHeight="1" x14ac:dyDescent="0.35">
      <c r="A460" s="28"/>
      <c r="B460" s="28"/>
      <c r="C460" s="28" t="s">
        <v>3043</v>
      </c>
      <c r="D460" s="28"/>
    </row>
    <row r="461" spans="1:4" ht="12.75" customHeight="1" x14ac:dyDescent="0.35">
      <c r="A461" s="28"/>
      <c r="B461" s="28"/>
      <c r="C461" s="28"/>
      <c r="D461" s="28"/>
    </row>
    <row r="462" spans="1:4" ht="12.75" customHeight="1" x14ac:dyDescent="0.35">
      <c r="A462" s="28"/>
      <c r="B462" s="28"/>
      <c r="C462" s="28"/>
      <c r="D462" s="28"/>
    </row>
    <row r="463" spans="1:4" ht="12.75" customHeight="1" x14ac:dyDescent="0.35">
      <c r="A463" s="28"/>
      <c r="B463" s="28"/>
      <c r="C463" s="28"/>
      <c r="D463" s="28"/>
    </row>
    <row r="464" spans="1:4" ht="12.75" customHeight="1" x14ac:dyDescent="0.35">
      <c r="A464" s="28"/>
      <c r="B464" s="28"/>
      <c r="C464" s="28"/>
      <c r="D464" s="28"/>
    </row>
    <row r="465" spans="1:4" ht="12.75" customHeight="1" x14ac:dyDescent="0.35">
      <c r="A465" s="28"/>
      <c r="B465" s="28"/>
      <c r="C465" s="28"/>
      <c r="D465" s="28"/>
    </row>
    <row r="466" spans="1:4" ht="12.75" customHeight="1" x14ac:dyDescent="0.35">
      <c r="A466" s="28"/>
      <c r="B466" s="28"/>
      <c r="C466" s="28"/>
      <c r="D466" s="28"/>
    </row>
    <row r="467" spans="1:4" ht="12.75" customHeight="1" x14ac:dyDescent="0.35">
      <c r="A467" s="28"/>
      <c r="B467" s="28" t="s">
        <v>3044</v>
      </c>
      <c r="C467" s="28"/>
      <c r="D467" s="28"/>
    </row>
    <row r="468" spans="1:4" ht="12.75" customHeight="1" x14ac:dyDescent="0.35">
      <c r="A468" s="28"/>
      <c r="B468" s="28" t="s">
        <v>5296</v>
      </c>
      <c r="C468" s="28"/>
      <c r="D468" s="28"/>
    </row>
    <row r="469" spans="1:4" ht="12.75" customHeight="1" x14ac:dyDescent="0.35">
      <c r="A469" s="28"/>
      <c r="B469" s="28" t="s">
        <v>5297</v>
      </c>
      <c r="C469" s="28"/>
      <c r="D469" s="28"/>
    </row>
    <row r="470" spans="1:4" ht="12.75" customHeight="1" x14ac:dyDescent="0.35">
      <c r="A470" s="28"/>
      <c r="B470" s="28" t="s">
        <v>3045</v>
      </c>
      <c r="C470" s="28"/>
      <c r="D470" s="28"/>
    </row>
    <row r="471" spans="1:4" ht="12.75" customHeight="1" x14ac:dyDescent="0.35">
      <c r="A471" s="28"/>
      <c r="B471" s="28"/>
      <c r="C471" s="28" t="s">
        <v>3042</v>
      </c>
      <c r="D471" s="28"/>
    </row>
    <row r="472" spans="1:4" ht="12.75" customHeight="1" x14ac:dyDescent="0.35">
      <c r="A472" s="28"/>
      <c r="B472" s="28"/>
      <c r="C472" s="28" t="s">
        <v>3046</v>
      </c>
      <c r="D472" s="28"/>
    </row>
    <row r="473" spans="1:4" ht="12.75" customHeight="1" x14ac:dyDescent="0.35">
      <c r="A473" s="28"/>
      <c r="B473" s="28"/>
      <c r="C473" s="28" t="s">
        <v>3047</v>
      </c>
      <c r="D473" s="28"/>
    </row>
    <row r="474" spans="1:4" ht="12.75" customHeight="1" x14ac:dyDescent="0.35">
      <c r="A474" s="28"/>
      <c r="B474" s="28"/>
      <c r="C474" s="28"/>
      <c r="D474" s="28"/>
    </row>
    <row r="475" spans="1:4" ht="12.75" customHeight="1" x14ac:dyDescent="0.35">
      <c r="A475" s="28"/>
      <c r="B475" s="28"/>
      <c r="C475" s="28"/>
      <c r="D475" s="28"/>
    </row>
    <row r="476" spans="1:4" ht="12.75" customHeight="1" x14ac:dyDescent="0.35">
      <c r="A476" s="28"/>
      <c r="B476" s="28"/>
      <c r="C476" s="28"/>
      <c r="D476" s="28"/>
    </row>
    <row r="477" spans="1:4" ht="12.75" customHeight="1" x14ac:dyDescent="0.35">
      <c r="A477" s="28"/>
      <c r="B477" s="28"/>
      <c r="C477" s="28"/>
      <c r="D477" s="28"/>
    </row>
    <row r="478" spans="1:4" ht="12.75" customHeight="1" x14ac:dyDescent="0.35">
      <c r="A478" s="28"/>
      <c r="B478" s="28"/>
      <c r="C478" s="28"/>
      <c r="D478" s="28"/>
    </row>
    <row r="479" spans="1:4" ht="12.75" customHeight="1" x14ac:dyDescent="0.35">
      <c r="A479" s="28"/>
      <c r="B479" s="28"/>
      <c r="C479" s="28"/>
      <c r="D479" s="28"/>
    </row>
    <row r="480" spans="1:4" ht="12.75" customHeight="1" x14ac:dyDescent="0.35">
      <c r="A480" s="28"/>
      <c r="B480" s="28"/>
      <c r="D480" s="28"/>
    </row>
    <row r="481" spans="1:4" ht="12.75" customHeight="1" x14ac:dyDescent="0.35">
      <c r="A481" s="28"/>
      <c r="B481" s="28" t="str">
        <f>"Veränderung Rückstellungen"&amp;IF(CalculatedDepreciation,", anderen","")</f>
        <v>Veränderung Rückstellungen</v>
      </c>
      <c r="C481" s="28"/>
      <c r="D481" s="28"/>
    </row>
    <row r="482" spans="1:4" ht="12.75" customHeight="1" x14ac:dyDescent="0.35">
      <c r="A482" s="28"/>
      <c r="B482" s="1241" t="s">
        <v>5356</v>
      </c>
      <c r="C482" s="28"/>
      <c r="D482" s="28"/>
    </row>
    <row r="483" spans="1:4" ht="12.75" customHeight="1" x14ac:dyDescent="0.35">
      <c r="A483" s="28"/>
      <c r="B483" s="28" t="s">
        <v>3048</v>
      </c>
      <c r="C483" s="28"/>
      <c r="D483" s="28"/>
    </row>
    <row r="484" spans="1:4" ht="12.75" customHeight="1" x14ac:dyDescent="0.35">
      <c r="A484" s="28"/>
      <c r="B484" s="28" t="s">
        <v>5296</v>
      </c>
      <c r="C484" s="28"/>
      <c r="D484" s="28"/>
    </row>
    <row r="485" spans="1:4" ht="12.75" customHeight="1" x14ac:dyDescent="0.35">
      <c r="A485" s="28"/>
      <c r="B485" s="28" t="s">
        <v>5084</v>
      </c>
      <c r="C485" s="28"/>
      <c r="D485" s="28"/>
    </row>
    <row r="486" spans="1:4" ht="12.75" customHeight="1" x14ac:dyDescent="0.35">
      <c r="A486" s="28"/>
      <c r="B486" s="28" t="s">
        <v>3001</v>
      </c>
      <c r="C486" s="28"/>
      <c r="D486" s="28"/>
    </row>
    <row r="487" spans="1:4" ht="12.75" customHeight="1" x14ac:dyDescent="0.35">
      <c r="A487" s="28"/>
      <c r="B487" s="28"/>
      <c r="C487" s="28" t="s">
        <v>3049</v>
      </c>
      <c r="D487" s="28"/>
    </row>
    <row r="488" spans="1:4" ht="12.75" customHeight="1" x14ac:dyDescent="0.35">
      <c r="A488" s="28"/>
      <c r="B488" s="28"/>
      <c r="C488" s="28" t="s">
        <v>3050</v>
      </c>
      <c r="D488" s="28"/>
    </row>
    <row r="489" spans="1:4" ht="12.75" customHeight="1" x14ac:dyDescent="0.35">
      <c r="A489" s="28"/>
      <c r="B489" s="28" t="s">
        <v>3051</v>
      </c>
      <c r="C489" s="28"/>
      <c r="D489" s="28"/>
    </row>
    <row r="490" spans="1:4" ht="12.75" customHeight="1" x14ac:dyDescent="0.35">
      <c r="A490" s="28"/>
      <c r="B490" s="28" t="s">
        <v>5296</v>
      </c>
      <c r="C490" s="28"/>
      <c r="D490" s="28"/>
    </row>
    <row r="491" spans="1:4" ht="12.75" customHeight="1" x14ac:dyDescent="0.35">
      <c r="A491" s="28"/>
      <c r="B491" s="28" t="s">
        <v>5083</v>
      </c>
      <c r="C491" s="28"/>
      <c r="D491" s="28"/>
    </row>
    <row r="492" spans="1:4" ht="12.75" customHeight="1" x14ac:dyDescent="0.35">
      <c r="A492" s="28"/>
      <c r="B492" s="28" t="s">
        <v>3052</v>
      </c>
      <c r="C492" s="28"/>
      <c r="D492" s="28"/>
    </row>
    <row r="493" spans="1:4" ht="12.75" customHeight="1" x14ac:dyDescent="0.35">
      <c r="A493" s="28"/>
      <c r="B493" s="28"/>
      <c r="C493" s="28" t="s">
        <v>3052</v>
      </c>
      <c r="D493" s="28"/>
    </row>
    <row r="494" spans="1:4" ht="12.75" customHeight="1" x14ac:dyDescent="0.35">
      <c r="A494" s="28"/>
      <c r="B494" s="28"/>
      <c r="C494" s="28" t="s">
        <v>3053</v>
      </c>
      <c r="D494" s="28"/>
    </row>
    <row r="495" spans="1:4" ht="12.75" customHeight="1" x14ac:dyDescent="0.35">
      <c r="A495" s="28"/>
      <c r="B495" s="28" t="s">
        <v>3054</v>
      </c>
      <c r="C495" s="28"/>
      <c r="D495" s="28"/>
    </row>
    <row r="496" spans="1:4" ht="12.75" customHeight="1" x14ac:dyDescent="0.35">
      <c r="A496" s="28"/>
      <c r="B496" s="28" t="s">
        <v>3055</v>
      </c>
      <c r="C496" s="28"/>
      <c r="D496" s="28"/>
    </row>
    <row r="497" spans="1:4" ht="12.75" customHeight="1" x14ac:dyDescent="0.35">
      <c r="A497" s="28"/>
      <c r="B497" s="28"/>
      <c r="C497" s="28" t="s">
        <v>3056</v>
      </c>
      <c r="D497" s="28"/>
    </row>
    <row r="498" spans="1:4" ht="12.75" customHeight="1" x14ac:dyDescent="0.35">
      <c r="A498" s="28"/>
      <c r="B498" s="28"/>
      <c r="C498" s="28" t="s">
        <v>4853</v>
      </c>
      <c r="D498" s="28"/>
    </row>
    <row r="499" spans="1:4" ht="12.75" customHeight="1" x14ac:dyDescent="0.35">
      <c r="A499" s="28"/>
      <c r="B499" s="28" t="s">
        <v>5310</v>
      </c>
      <c r="C499" s="28"/>
      <c r="D499" s="28"/>
    </row>
    <row r="500" spans="1:4" ht="12.75" customHeight="1" x14ac:dyDescent="0.35">
      <c r="A500" s="28"/>
      <c r="B500" s="28" t="s">
        <v>5308</v>
      </c>
      <c r="C500" s="28"/>
      <c r="D500" s="28"/>
    </row>
    <row r="501" spans="1:4" ht="12.75" customHeight="1" x14ac:dyDescent="0.35">
      <c r="A501" s="28"/>
      <c r="B501" s="28"/>
      <c r="C501" s="28" t="s">
        <v>3057</v>
      </c>
      <c r="D501" s="28"/>
    </row>
    <row r="502" spans="1:4" ht="12.75" customHeight="1" x14ac:dyDescent="0.35">
      <c r="A502" s="28"/>
      <c r="C502" s="28" t="str">
        <f>"Veränderung Rechnungsabgrenzungsposten"&amp;IF(CalculatedDepreciation,", anderen","")</f>
        <v>Veränderung Rechnungsabgrenzungsposten</v>
      </c>
      <c r="D502" s="28"/>
    </row>
    <row r="503" spans="1:4" ht="12.75" customHeight="1" x14ac:dyDescent="0.35">
      <c r="A503" s="28"/>
      <c r="B503" s="28" t="s">
        <v>4848</v>
      </c>
      <c r="C503" s="28"/>
      <c r="D503" s="28"/>
    </row>
    <row r="504" spans="1:4" ht="12.75" customHeight="1" x14ac:dyDescent="0.35">
      <c r="A504" s="28"/>
      <c r="B504" s="105" t="s">
        <v>3058</v>
      </c>
      <c r="C504" s="28"/>
      <c r="D504" s="28"/>
    </row>
    <row r="505" spans="1:4" ht="12.75" customHeight="1" x14ac:dyDescent="0.35">
      <c r="A505" s="28"/>
      <c r="B505" s="28" t="s">
        <v>3059</v>
      </c>
      <c r="C505" s="28"/>
      <c r="D505" s="28"/>
    </row>
    <row r="506" spans="1:4" ht="12.75" customHeight="1" x14ac:dyDescent="0.35">
      <c r="A506" s="28"/>
      <c r="B506" s="28" t="s">
        <v>3060</v>
      </c>
      <c r="C506" s="28"/>
      <c r="D506" s="28"/>
    </row>
    <row r="507" spans="1:4" ht="12.75" customHeight="1" x14ac:dyDescent="0.35">
      <c r="A507" s="28"/>
      <c r="B507" s="28" t="s">
        <v>5296</v>
      </c>
      <c r="C507" s="28"/>
      <c r="D507" s="28"/>
    </row>
    <row r="508" spans="1:4" ht="12.75" customHeight="1" x14ac:dyDescent="0.35">
      <c r="A508" s="28"/>
      <c r="B508" s="28" t="s">
        <v>5298</v>
      </c>
      <c r="C508" s="28"/>
      <c r="D508" s="28"/>
    </row>
    <row r="509" spans="1:4" ht="12.75" customHeight="1" x14ac:dyDescent="0.35">
      <c r="A509" s="28"/>
      <c r="B509" s="28" t="s">
        <v>3061</v>
      </c>
      <c r="C509" s="28"/>
      <c r="D509" s="28"/>
    </row>
    <row r="510" spans="1:4" ht="12.75" customHeight="1" x14ac:dyDescent="0.35">
      <c r="A510" s="28"/>
      <c r="B510" s="28" t="s">
        <v>3062</v>
      </c>
      <c r="C510" s="28"/>
      <c r="D510" s="28"/>
    </row>
    <row r="511" spans="1:4" ht="12.75" customHeight="1" x14ac:dyDescent="0.35">
      <c r="A511" s="28"/>
      <c r="B511" s="28" t="s">
        <v>3063</v>
      </c>
      <c r="C511" s="28"/>
      <c r="D511" s="28"/>
    </row>
    <row r="512" spans="1:4" ht="12.75" customHeight="1" x14ac:dyDescent="0.35">
      <c r="A512" s="28"/>
      <c r="B512" s="28" t="s">
        <v>3064</v>
      </c>
      <c r="C512" s="28"/>
      <c r="D512" s="28"/>
    </row>
    <row r="513" spans="1:4" ht="12.75" customHeight="1" x14ac:dyDescent="0.35">
      <c r="A513" s="28"/>
      <c r="B513" s="28" t="s">
        <v>3065</v>
      </c>
      <c r="C513" s="28"/>
      <c r="D513" s="28"/>
    </row>
    <row r="514" spans="1:4" ht="12.75" customHeight="1" x14ac:dyDescent="0.35">
      <c r="A514" s="28"/>
      <c r="B514" s="28" t="s">
        <v>3066</v>
      </c>
      <c r="C514" s="28"/>
      <c r="D514" s="28"/>
    </row>
    <row r="515" spans="1:4" ht="12.75" customHeight="1" x14ac:dyDescent="0.35">
      <c r="A515" s="28"/>
      <c r="B515" s="28" t="s">
        <v>3067</v>
      </c>
      <c r="C515" s="28"/>
      <c r="D515" s="28"/>
    </row>
    <row r="516" spans="1:4" ht="12.75" customHeight="1" x14ac:dyDescent="0.35">
      <c r="A516" s="28"/>
      <c r="B516" s="28"/>
      <c r="C516" s="28"/>
      <c r="D516" s="28"/>
    </row>
    <row r="517" spans="1:4" ht="12.75" customHeight="1" x14ac:dyDescent="0.35">
      <c r="A517" s="28"/>
      <c r="B517" s="28"/>
      <c r="C517" s="28"/>
      <c r="D517" s="28"/>
    </row>
    <row r="518" spans="1:4" ht="12.75" customHeight="1" x14ac:dyDescent="0.35">
      <c r="A518" s="28"/>
      <c r="B518" s="28" t="s">
        <v>3068</v>
      </c>
      <c r="C518" s="28"/>
      <c r="D518" s="28"/>
    </row>
    <row r="519" spans="1:4" ht="12.75" customHeight="1" x14ac:dyDescent="0.35">
      <c r="A519" s="28"/>
      <c r="B519" s="28" t="s">
        <v>3069</v>
      </c>
      <c r="C519" s="28"/>
      <c r="D519" s="28"/>
    </row>
    <row r="520" spans="1:4" ht="12.75" customHeight="1" x14ac:dyDescent="0.35">
      <c r="A520" s="28"/>
      <c r="B520" s="28" t="s">
        <v>3001</v>
      </c>
      <c r="C520" s="28"/>
      <c r="D520" s="28"/>
    </row>
    <row r="521" spans="1:4" ht="12.75" customHeight="1" x14ac:dyDescent="0.35">
      <c r="A521" s="28"/>
      <c r="B521" s="28" t="s">
        <v>3070</v>
      </c>
      <c r="C521" s="28"/>
      <c r="D521" s="28"/>
    </row>
    <row r="522" spans="1:4" ht="12.75" customHeight="1" x14ac:dyDescent="0.35">
      <c r="A522" s="28"/>
      <c r="B522" s="28" t="s">
        <v>3071</v>
      </c>
      <c r="C522" s="28"/>
      <c r="D522" s="28"/>
    </row>
    <row r="523" spans="1:4" ht="12.75" customHeight="1" x14ac:dyDescent="0.35">
      <c r="A523" s="28"/>
      <c r="B523" s="28" t="s">
        <v>3072</v>
      </c>
      <c r="C523" s="28"/>
      <c r="D523" s="28"/>
    </row>
    <row r="524" spans="1:4" ht="12.75" customHeight="1" x14ac:dyDescent="0.35">
      <c r="A524" s="28"/>
      <c r="B524" s="28" t="s">
        <v>3059</v>
      </c>
      <c r="C524" s="28"/>
      <c r="D524" s="28"/>
    </row>
    <row r="525" spans="1:4" ht="12.75" customHeight="1" x14ac:dyDescent="0.35">
      <c r="A525" s="28"/>
      <c r="B525" s="28" t="s">
        <v>3073</v>
      </c>
      <c r="C525" s="28"/>
      <c r="D525" s="28"/>
    </row>
    <row r="526" spans="1:4" ht="12.75" customHeight="1" x14ac:dyDescent="0.35">
      <c r="A526" s="28"/>
      <c r="B526" s="28" t="s">
        <v>3074</v>
      </c>
      <c r="C526" s="28"/>
      <c r="D526" s="28"/>
    </row>
    <row r="527" spans="1:4" ht="12.75" customHeight="1" x14ac:dyDescent="0.35">
      <c r="A527" s="28"/>
      <c r="B527" s="28" t="s">
        <v>3075</v>
      </c>
      <c r="C527" s="28"/>
      <c r="D527" s="28"/>
    </row>
    <row r="528" spans="1:4" ht="12.75" customHeight="1" x14ac:dyDescent="0.35">
      <c r="A528" s="28"/>
      <c r="B528" s="28" t="s">
        <v>3076</v>
      </c>
      <c r="C528" s="28"/>
      <c r="D528" s="28"/>
    </row>
    <row r="529" spans="1:4" ht="12.75" customHeight="1" x14ac:dyDescent="0.35">
      <c r="A529" s="28"/>
      <c r="B529" s="28" t="s">
        <v>3077</v>
      </c>
      <c r="C529" s="28"/>
      <c r="D529" s="28"/>
    </row>
    <row r="530" spans="1:4" ht="12.75" customHeight="1" x14ac:dyDescent="0.35">
      <c r="A530" s="28"/>
      <c r="B530" s="28" t="s">
        <v>3078</v>
      </c>
      <c r="C530" s="28"/>
      <c r="D530" s="28"/>
    </row>
    <row r="531" spans="1:4" ht="12.75" customHeight="1" x14ac:dyDescent="0.35">
      <c r="A531" s="28"/>
      <c r="B531" s="28" t="s">
        <v>3079</v>
      </c>
      <c r="C531" s="28"/>
      <c r="D531" s="28"/>
    </row>
    <row r="532" spans="1:4" ht="12.75" customHeight="1" x14ac:dyDescent="0.35">
      <c r="A532" s="28"/>
      <c r="B532" s="28"/>
      <c r="C532" s="28"/>
      <c r="D532" s="28"/>
    </row>
    <row r="533" spans="1:4" ht="12.75" customHeight="1" x14ac:dyDescent="0.35">
      <c r="A533" s="28"/>
      <c r="B533" s="28"/>
      <c r="C533" s="28"/>
      <c r="D533" s="28"/>
    </row>
    <row r="534" spans="1:4" ht="12.75" customHeight="1" x14ac:dyDescent="0.35">
      <c r="A534" s="28"/>
      <c r="B534" s="28"/>
      <c r="C534" s="28"/>
      <c r="D534" s="28"/>
    </row>
    <row r="535" spans="1:4" ht="12.75" customHeight="1" x14ac:dyDescent="0.35">
      <c r="A535" s="28"/>
      <c r="B535" s="28"/>
      <c r="C535" s="28"/>
      <c r="D535" s="28"/>
    </row>
    <row r="536" spans="1:4" ht="12.75" customHeight="1" x14ac:dyDescent="0.35">
      <c r="A536" s="28"/>
      <c r="B536" s="28"/>
      <c r="C536" s="28"/>
      <c r="D536" s="28"/>
    </row>
    <row r="537" spans="1:4" ht="12.75" customHeight="1" x14ac:dyDescent="0.35">
      <c r="A537" s="28"/>
      <c r="B537" s="28" t="s">
        <v>689</v>
      </c>
      <c r="C537" s="28"/>
      <c r="D537" s="28"/>
    </row>
    <row r="538" spans="1:4" ht="12.75" customHeight="1" x14ac:dyDescent="0.35">
      <c r="A538" s="28"/>
      <c r="B538" s="28"/>
      <c r="C538" s="28"/>
      <c r="D538" s="28"/>
    </row>
    <row r="539" spans="1:4" ht="12.75" customHeight="1" x14ac:dyDescent="0.35">
      <c r="A539" s="28"/>
      <c r="B539" s="28" t="s">
        <v>2992</v>
      </c>
      <c r="C539" s="28"/>
      <c r="D539" s="28"/>
    </row>
    <row r="540" spans="1:4" ht="12.75" customHeight="1" x14ac:dyDescent="0.35">
      <c r="A540" s="28"/>
      <c r="B540" s="28" t="s">
        <v>3080</v>
      </c>
      <c r="C540" s="28"/>
      <c r="D540" s="28"/>
    </row>
    <row r="541" spans="1:4" ht="12.75" customHeight="1" x14ac:dyDescent="0.35">
      <c r="A541" s="28"/>
      <c r="B541" s="28"/>
      <c r="C541" s="194" t="s">
        <v>3081</v>
      </c>
      <c r="D541"/>
    </row>
    <row r="542" spans="1:4" ht="12.75" customHeight="1" x14ac:dyDescent="0.35">
      <c r="A542" s="28"/>
      <c r="B542" s="28"/>
      <c r="C542" s="194" t="s">
        <v>3082</v>
      </c>
      <c r="D542"/>
    </row>
    <row r="543" spans="1:4" ht="12.75" customHeight="1" x14ac:dyDescent="0.35">
      <c r="A543" s="28"/>
      <c r="B543" s="28"/>
      <c r="C543" s="194" t="s">
        <v>3083</v>
      </c>
      <c r="D543"/>
    </row>
    <row r="544" spans="1:4" ht="12.75" customHeight="1" x14ac:dyDescent="0.35">
      <c r="A544" s="28"/>
      <c r="B544" s="28"/>
      <c r="C544" s="194" t="s">
        <v>5225</v>
      </c>
      <c r="D544"/>
    </row>
    <row r="545" spans="1:4" ht="12.75" customHeight="1" x14ac:dyDescent="0.35">
      <c r="A545" s="28"/>
      <c r="C545" s="194" t="s">
        <v>3081</v>
      </c>
      <c r="D545"/>
    </row>
    <row r="546" spans="1:4" ht="12.75" customHeight="1" x14ac:dyDescent="0.35">
      <c r="A546" s="28"/>
      <c r="C546" s="194" t="s">
        <v>5214</v>
      </c>
      <c r="D546"/>
    </row>
    <row r="547" spans="1:4" ht="12.75" customHeight="1" x14ac:dyDescent="0.35">
      <c r="A547" s="28"/>
      <c r="C547" s="194" t="s">
        <v>3083</v>
      </c>
      <c r="D547"/>
    </row>
    <row r="548" spans="1:4" ht="12.75" customHeight="1" x14ac:dyDescent="0.35">
      <c r="A548" s="28"/>
      <c r="C548" s="194" t="s">
        <v>5225</v>
      </c>
      <c r="D548"/>
    </row>
    <row r="549" spans="1:4" ht="12.75" customHeight="1" x14ac:dyDescent="0.35">
      <c r="A549" s="28"/>
      <c r="C549" s="194" t="s">
        <v>3081</v>
      </c>
      <c r="D549"/>
    </row>
    <row r="550" spans="1:4" ht="12.75" customHeight="1" x14ac:dyDescent="0.35">
      <c r="A550" s="28"/>
      <c r="B550" s="28"/>
      <c r="C550" s="194" t="s">
        <v>5215</v>
      </c>
      <c r="D550"/>
    </row>
    <row r="551" spans="1:4" ht="12.75" customHeight="1" x14ac:dyDescent="0.35">
      <c r="A551" s="28"/>
      <c r="B551" s="28"/>
      <c r="C551" s="194" t="s">
        <v>3083</v>
      </c>
      <c r="D551"/>
    </row>
    <row r="552" spans="1:4" ht="12.75" customHeight="1" x14ac:dyDescent="0.35">
      <c r="A552" s="28"/>
      <c r="B552" s="28"/>
      <c r="C552" s="194" t="s">
        <v>5225</v>
      </c>
      <c r="D552"/>
    </row>
    <row r="553" spans="1:4" ht="12.75" customHeight="1" x14ac:dyDescent="0.35">
      <c r="A553" s="28"/>
      <c r="B553" s="28"/>
      <c r="C553" s="194" t="s">
        <v>3081</v>
      </c>
      <c r="D553"/>
    </row>
    <row r="554" spans="1:4" ht="12.75" customHeight="1" x14ac:dyDescent="0.35">
      <c r="A554" s="28"/>
      <c r="B554" s="28"/>
      <c r="C554" s="194" t="s">
        <v>5216</v>
      </c>
      <c r="D554"/>
    </row>
    <row r="555" spans="1:4" ht="12.75" customHeight="1" x14ac:dyDescent="0.35">
      <c r="A555" s="28"/>
      <c r="B555" s="28"/>
      <c r="C555" s="194" t="s">
        <v>3083</v>
      </c>
      <c r="D555"/>
    </row>
    <row r="556" spans="1:4" ht="12.75" customHeight="1" x14ac:dyDescent="0.35">
      <c r="A556" s="28"/>
      <c r="B556" s="28"/>
      <c r="C556" s="194" t="s">
        <v>5225</v>
      </c>
      <c r="D556"/>
    </row>
    <row r="557" spans="1:4" ht="12.75" customHeight="1" x14ac:dyDescent="0.35">
      <c r="A557" s="28"/>
      <c r="B557" s="28"/>
      <c r="C557" s="194" t="s">
        <v>3081</v>
      </c>
      <c r="D557"/>
    </row>
    <row r="558" spans="1:4" ht="12.75" customHeight="1" x14ac:dyDescent="0.35">
      <c r="A558" s="28"/>
      <c r="B558" s="28"/>
      <c r="C558" s="194" t="s">
        <v>5217</v>
      </c>
      <c r="D558"/>
    </row>
    <row r="559" spans="1:4" ht="12.75" customHeight="1" x14ac:dyDescent="0.35">
      <c r="A559" s="28"/>
      <c r="B559" s="28"/>
      <c r="C559" s="194" t="s">
        <v>3083</v>
      </c>
      <c r="D559"/>
    </row>
    <row r="560" spans="1:4" ht="12.75" customHeight="1" x14ac:dyDescent="0.35">
      <c r="A560" s="28"/>
      <c r="B560" s="28"/>
      <c r="C560" s="194" t="s">
        <v>5225</v>
      </c>
      <c r="D560"/>
    </row>
    <row r="561" spans="1:4" ht="12.75" customHeight="1" x14ac:dyDescent="0.35">
      <c r="A561" s="28"/>
      <c r="B561" s="28"/>
      <c r="C561" s="1241" t="s">
        <v>5364</v>
      </c>
      <c r="D561"/>
    </row>
    <row r="562" spans="1:4" ht="12.75" customHeight="1" x14ac:dyDescent="0.35">
      <c r="A562" s="28"/>
      <c r="B562" s="28"/>
      <c r="C562" s="1241" t="s">
        <v>5365</v>
      </c>
      <c r="D562"/>
    </row>
    <row r="563" spans="1:4" ht="12.75" customHeight="1" x14ac:dyDescent="0.35">
      <c r="A563" s="28"/>
      <c r="B563" s="28"/>
      <c r="C563" s="28" t="s">
        <v>3084</v>
      </c>
      <c r="D563"/>
    </row>
    <row r="564" spans="1:4" ht="12.75" customHeight="1" x14ac:dyDescent="0.35">
      <c r="A564" s="28"/>
      <c r="B564" s="28"/>
      <c r="C564" s="28" t="s">
        <v>3085</v>
      </c>
      <c r="D564"/>
    </row>
    <row r="565" spans="1:4" ht="12.75" customHeight="1" x14ac:dyDescent="0.35">
      <c r="A565" s="28"/>
      <c r="B565" s="28"/>
      <c r="C565" s="1241" t="s">
        <v>5371</v>
      </c>
      <c r="D565"/>
    </row>
    <row r="566" spans="1:4" ht="12.75" customHeight="1" x14ac:dyDescent="0.35">
      <c r="A566" s="28"/>
      <c r="B566" s="28"/>
      <c r="C566" s="1241" t="s">
        <v>5372</v>
      </c>
      <c r="D566"/>
    </row>
    <row r="567" spans="1:4" ht="12.75" customHeight="1" x14ac:dyDescent="0.35">
      <c r="A567" s="28"/>
      <c r="B567" s="28"/>
      <c r="C567" s="28" t="s">
        <v>3086</v>
      </c>
      <c r="D567"/>
    </row>
    <row r="568" spans="1:4" ht="12.75" customHeight="1" x14ac:dyDescent="0.35">
      <c r="A568" s="28"/>
      <c r="B568" s="28"/>
      <c r="C568" s="28" t="s">
        <v>3087</v>
      </c>
      <c r="D568"/>
    </row>
    <row r="569" spans="1:4" ht="12.75" customHeight="1" x14ac:dyDescent="0.35">
      <c r="A569" s="28"/>
      <c r="B569" s="28"/>
      <c r="C569" s="194" t="s">
        <v>5227</v>
      </c>
      <c r="D569"/>
    </row>
    <row r="570" spans="1:4" ht="12.75" customHeight="1" x14ac:dyDescent="0.35">
      <c r="A570" s="28"/>
      <c r="B570" s="28" t="s">
        <v>3088</v>
      </c>
      <c r="C570" s="28"/>
      <c r="D570"/>
    </row>
    <row r="571" spans="1:4" ht="12.75" customHeight="1" x14ac:dyDescent="0.35">
      <c r="A571" s="28"/>
      <c r="B571" s="28"/>
      <c r="C571" s="28" t="s">
        <v>5222</v>
      </c>
      <c r="D571"/>
    </row>
    <row r="572" spans="1:4" ht="12.75" customHeight="1" x14ac:dyDescent="0.35">
      <c r="A572" s="28"/>
      <c r="B572" s="28"/>
      <c r="C572" s="28" t="s">
        <v>3088</v>
      </c>
      <c r="D572"/>
    </row>
    <row r="573" spans="1:4" ht="12.75" customHeight="1" x14ac:dyDescent="0.35">
      <c r="A573" s="28"/>
      <c r="B573" s="28"/>
      <c r="C573" s="28" t="s">
        <v>5223</v>
      </c>
      <c r="D573"/>
    </row>
    <row r="574" spans="1:4" ht="12.75" customHeight="1" x14ac:dyDescent="0.35">
      <c r="A574" s="28"/>
      <c r="C574" s="194" t="s">
        <v>5225</v>
      </c>
      <c r="D574"/>
    </row>
    <row r="575" spans="1:4" ht="12.75" customHeight="1" x14ac:dyDescent="0.35">
      <c r="A575" s="28"/>
      <c r="B575" s="28"/>
      <c r="C575" s="28" t="s">
        <v>5222</v>
      </c>
      <c r="D575"/>
    </row>
    <row r="576" spans="1:4" ht="12.75" customHeight="1" x14ac:dyDescent="0.35">
      <c r="A576" s="28"/>
      <c r="B576" s="28"/>
      <c r="C576" s="28" t="s">
        <v>5218</v>
      </c>
      <c r="D576"/>
    </row>
    <row r="577" spans="1:4" ht="12.75" customHeight="1" x14ac:dyDescent="0.35">
      <c r="A577" s="28"/>
      <c r="B577" s="28"/>
      <c r="C577" s="28" t="s">
        <v>5223</v>
      </c>
      <c r="D577"/>
    </row>
    <row r="578" spans="1:4" ht="12.75" customHeight="1" x14ac:dyDescent="0.35">
      <c r="A578" s="28"/>
      <c r="C578" s="194" t="s">
        <v>5225</v>
      </c>
      <c r="D578"/>
    </row>
    <row r="579" spans="1:4" ht="12.75" customHeight="1" x14ac:dyDescent="0.35">
      <c r="A579" s="28"/>
      <c r="B579" s="28"/>
      <c r="C579" s="28" t="s">
        <v>5222</v>
      </c>
      <c r="D579"/>
    </row>
    <row r="580" spans="1:4" ht="12.75" customHeight="1" x14ac:dyDescent="0.35">
      <c r="A580" s="28"/>
      <c r="B580" s="28"/>
      <c r="C580" s="28" t="s">
        <v>5219</v>
      </c>
      <c r="D580"/>
    </row>
    <row r="581" spans="1:4" ht="12.75" customHeight="1" x14ac:dyDescent="0.35">
      <c r="A581" s="28"/>
      <c r="B581" s="28"/>
      <c r="C581" s="28" t="s">
        <v>5223</v>
      </c>
      <c r="D581"/>
    </row>
    <row r="582" spans="1:4" ht="12.75" customHeight="1" x14ac:dyDescent="0.35">
      <c r="A582" s="28"/>
      <c r="C582" s="194" t="s">
        <v>5225</v>
      </c>
      <c r="D582"/>
    </row>
    <row r="583" spans="1:4" ht="12.75" customHeight="1" x14ac:dyDescent="0.35">
      <c r="A583" s="28"/>
      <c r="B583" s="28"/>
      <c r="C583" s="28" t="s">
        <v>5222</v>
      </c>
      <c r="D583"/>
    </row>
    <row r="584" spans="1:4" ht="12.75" customHeight="1" x14ac:dyDescent="0.35">
      <c r="A584" s="28"/>
      <c r="B584" s="28"/>
      <c r="C584" s="28" t="s">
        <v>5220</v>
      </c>
      <c r="D584"/>
    </row>
    <row r="585" spans="1:4" ht="12.75" customHeight="1" x14ac:dyDescent="0.35">
      <c r="A585" s="28"/>
      <c r="B585" s="28"/>
      <c r="C585" s="28" t="s">
        <v>5223</v>
      </c>
      <c r="D585"/>
    </row>
    <row r="586" spans="1:4" ht="12.75" customHeight="1" x14ac:dyDescent="0.35">
      <c r="A586" s="28"/>
      <c r="C586" s="194" t="s">
        <v>5225</v>
      </c>
      <c r="D586"/>
    </row>
    <row r="587" spans="1:4" ht="12.75" customHeight="1" x14ac:dyDescent="0.35">
      <c r="A587" s="28"/>
      <c r="B587" s="28"/>
      <c r="C587" s="28" t="s">
        <v>5222</v>
      </c>
      <c r="D587"/>
    </row>
    <row r="588" spans="1:4" ht="12.75" customHeight="1" x14ac:dyDescent="0.35">
      <c r="A588" s="28"/>
      <c r="B588" s="28"/>
      <c r="C588" s="28" t="s">
        <v>5221</v>
      </c>
      <c r="D588"/>
    </row>
    <row r="589" spans="1:4" ht="12.75" customHeight="1" x14ac:dyDescent="0.35">
      <c r="A589" s="28"/>
      <c r="B589" s="28"/>
      <c r="C589" s="28" t="s">
        <v>5223</v>
      </c>
      <c r="D589"/>
    </row>
    <row r="590" spans="1:4" ht="12.75" customHeight="1" x14ac:dyDescent="0.35">
      <c r="A590" s="28"/>
      <c r="C590" s="194" t="s">
        <v>5225</v>
      </c>
      <c r="D590"/>
    </row>
    <row r="591" spans="1:4" ht="12.75" customHeight="1" x14ac:dyDescent="0.35">
      <c r="A591" s="28"/>
      <c r="B591" s="28"/>
      <c r="C591" s="194" t="s">
        <v>5226</v>
      </c>
      <c r="D591"/>
    </row>
    <row r="592" spans="1:4" ht="12.75" customHeight="1" x14ac:dyDescent="0.35">
      <c r="A592" s="28"/>
      <c r="B592" s="28" t="s">
        <v>3089</v>
      </c>
      <c r="C592" s="28"/>
      <c r="D592"/>
    </row>
    <row r="593" spans="1:4" ht="12.75" customHeight="1" x14ac:dyDescent="0.35">
      <c r="A593" s="28"/>
      <c r="B593" s="28"/>
      <c r="C593" s="28" t="s">
        <v>3090</v>
      </c>
      <c r="D593"/>
    </row>
    <row r="594" spans="1:4" ht="12.75" customHeight="1" x14ac:dyDescent="0.35">
      <c r="A594" s="28"/>
      <c r="B594" s="28"/>
      <c r="C594" s="194" t="s">
        <v>3091</v>
      </c>
      <c r="D594"/>
    </row>
    <row r="595" spans="1:4" ht="12.75" customHeight="1" x14ac:dyDescent="0.35">
      <c r="A595" s="28"/>
      <c r="B595" s="28"/>
      <c r="C595" s="28" t="s">
        <v>3092</v>
      </c>
      <c r="D595"/>
    </row>
    <row r="596" spans="1:4" ht="12.75" customHeight="1" x14ac:dyDescent="0.35">
      <c r="A596" s="28"/>
      <c r="B596" s="28"/>
      <c r="C596" s="28" t="s">
        <v>3093</v>
      </c>
      <c r="D596"/>
    </row>
    <row r="597" spans="1:4" ht="12.75" customHeight="1" x14ac:dyDescent="0.35">
      <c r="A597" s="28"/>
      <c r="B597" s="28"/>
      <c r="C597" s="28" t="s">
        <v>3090</v>
      </c>
      <c r="D597"/>
    </row>
    <row r="598" spans="1:4" ht="12.75" customHeight="1" x14ac:dyDescent="0.35">
      <c r="A598" s="28"/>
      <c r="B598" s="28"/>
      <c r="C598" s="194" t="s">
        <v>5172</v>
      </c>
      <c r="D598"/>
    </row>
    <row r="599" spans="1:4" ht="12.75" customHeight="1" x14ac:dyDescent="0.35">
      <c r="A599" s="28"/>
      <c r="B599" s="28"/>
      <c r="C599" s="28" t="s">
        <v>3092</v>
      </c>
      <c r="D599"/>
    </row>
    <row r="600" spans="1:4" ht="12.75" customHeight="1" x14ac:dyDescent="0.35">
      <c r="A600" s="28"/>
      <c r="B600" s="28"/>
      <c r="C600" s="28" t="s">
        <v>3093</v>
      </c>
      <c r="D600"/>
    </row>
    <row r="601" spans="1:4" ht="12.75" customHeight="1" x14ac:dyDescent="0.35">
      <c r="A601" s="28"/>
      <c r="B601" s="28"/>
      <c r="C601" s="28" t="s">
        <v>3090</v>
      </c>
      <c r="D601"/>
    </row>
    <row r="602" spans="1:4" ht="12.75" customHeight="1" x14ac:dyDescent="0.35">
      <c r="A602" s="28"/>
      <c r="B602" s="28"/>
      <c r="C602" s="194" t="s">
        <v>5173</v>
      </c>
      <c r="D602"/>
    </row>
    <row r="603" spans="1:4" ht="12.75" customHeight="1" x14ac:dyDescent="0.35">
      <c r="A603" s="28"/>
      <c r="B603" s="28"/>
      <c r="C603" s="28" t="s">
        <v>3092</v>
      </c>
      <c r="D603"/>
    </row>
    <row r="604" spans="1:4" ht="12.75" customHeight="1" x14ac:dyDescent="0.35">
      <c r="A604" s="28"/>
      <c r="B604" s="28"/>
      <c r="C604" s="28" t="s">
        <v>3093</v>
      </c>
      <c r="D604"/>
    </row>
    <row r="605" spans="1:4" ht="12.75" customHeight="1" x14ac:dyDescent="0.35">
      <c r="A605" s="28"/>
      <c r="B605" s="28"/>
      <c r="C605" s="28" t="s">
        <v>3090</v>
      </c>
      <c r="D605"/>
    </row>
    <row r="606" spans="1:4" ht="12.75" customHeight="1" x14ac:dyDescent="0.35">
      <c r="A606" s="28"/>
      <c r="B606" s="28"/>
      <c r="C606" s="194" t="s">
        <v>5174</v>
      </c>
      <c r="D606"/>
    </row>
    <row r="607" spans="1:4" ht="12.75" customHeight="1" x14ac:dyDescent="0.35">
      <c r="A607" s="28"/>
      <c r="B607" s="28"/>
      <c r="C607" s="28" t="s">
        <v>3092</v>
      </c>
      <c r="D607"/>
    </row>
    <row r="608" spans="1:4" ht="12.75" customHeight="1" x14ac:dyDescent="0.35">
      <c r="A608" s="28"/>
      <c r="B608" s="28"/>
      <c r="C608" s="28" t="s">
        <v>3093</v>
      </c>
      <c r="D608"/>
    </row>
    <row r="609" spans="1:4" ht="12.75" customHeight="1" x14ac:dyDescent="0.35">
      <c r="A609" s="28"/>
      <c r="B609" s="28"/>
      <c r="C609" s="28" t="s">
        <v>3090</v>
      </c>
      <c r="D609"/>
    </row>
    <row r="610" spans="1:4" ht="12.75" customHeight="1" x14ac:dyDescent="0.35">
      <c r="A610" s="28"/>
      <c r="B610" s="28"/>
      <c r="C610" s="194" t="s">
        <v>5175</v>
      </c>
      <c r="D610"/>
    </row>
    <row r="611" spans="1:4" ht="12.75" customHeight="1" x14ac:dyDescent="0.35">
      <c r="A611" s="28"/>
      <c r="B611" s="28"/>
      <c r="C611" s="28" t="s">
        <v>3092</v>
      </c>
      <c r="D611"/>
    </row>
    <row r="612" spans="1:4" ht="12.75" customHeight="1" x14ac:dyDescent="0.35">
      <c r="A612" s="28"/>
      <c r="B612" s="28"/>
      <c r="C612" s="28" t="s">
        <v>3093</v>
      </c>
      <c r="D612"/>
    </row>
    <row r="613" spans="1:4" ht="12.75" customHeight="1" x14ac:dyDescent="0.35">
      <c r="A613" s="28"/>
      <c r="B613" s="28"/>
      <c r="C613" s="1241" t="s">
        <v>5383</v>
      </c>
      <c r="D613"/>
    </row>
    <row r="614" spans="1:4" ht="12.75" customHeight="1" x14ac:dyDescent="0.35">
      <c r="A614" s="28"/>
      <c r="B614" s="28"/>
      <c r="C614" s="1241" t="s">
        <v>5384</v>
      </c>
      <c r="D614"/>
    </row>
    <row r="615" spans="1:4" ht="12.75" customHeight="1" x14ac:dyDescent="0.35">
      <c r="A615" s="28"/>
      <c r="B615" s="28"/>
      <c r="C615" s="28" t="s">
        <v>3094</v>
      </c>
      <c r="D615"/>
    </row>
    <row r="616" spans="1:4" ht="12.75" customHeight="1" x14ac:dyDescent="0.35">
      <c r="A616" s="28"/>
      <c r="B616" s="28"/>
      <c r="C616" s="28" t="s">
        <v>3095</v>
      </c>
      <c r="D616"/>
    </row>
    <row r="617" spans="1:4" ht="12.75" customHeight="1" x14ac:dyDescent="0.35">
      <c r="A617" s="28"/>
      <c r="B617" s="28"/>
      <c r="C617" s="1241" t="s">
        <v>5396</v>
      </c>
      <c r="D617"/>
    </row>
    <row r="618" spans="1:4" ht="12.75" customHeight="1" x14ac:dyDescent="0.35">
      <c r="A618" s="28"/>
      <c r="B618" s="28"/>
      <c r="C618" s="1241" t="s">
        <v>5395</v>
      </c>
      <c r="D618"/>
    </row>
    <row r="619" spans="1:4" ht="12.75" customHeight="1" x14ac:dyDescent="0.35">
      <c r="A619" s="28"/>
      <c r="B619" s="28"/>
      <c r="C619" s="194" t="s">
        <v>5224</v>
      </c>
      <c r="D619"/>
    </row>
    <row r="620" spans="1:4" ht="12.75" customHeight="1" x14ac:dyDescent="0.35">
      <c r="A620" s="28"/>
      <c r="B620" s="28" t="s">
        <v>5260</v>
      </c>
      <c r="C620" s="28"/>
      <c r="D620" s="28"/>
    </row>
    <row r="621" spans="1:4" ht="12.75" customHeight="1" x14ac:dyDescent="0.35">
      <c r="A621" s="28"/>
      <c r="B621" s="28" t="s">
        <v>3096</v>
      </c>
      <c r="C621" s="28"/>
      <c r="D621" s="28"/>
    </row>
    <row r="622" spans="1:4" ht="12.75" customHeight="1" x14ac:dyDescent="0.35">
      <c r="A622" s="28"/>
      <c r="B622" s="28"/>
      <c r="C622" s="28"/>
      <c r="D622" s="28"/>
    </row>
    <row r="623" spans="1:4" ht="12.75" customHeight="1" x14ac:dyDescent="0.35">
      <c r="A623" s="28"/>
      <c r="B623" s="28"/>
      <c r="C623" s="28"/>
      <c r="D623" s="28"/>
    </row>
    <row r="624" spans="1:4" ht="12.75" customHeight="1" x14ac:dyDescent="0.35">
      <c r="A624" s="28"/>
      <c r="B624" s="28"/>
      <c r="C624" s="28"/>
      <c r="D624" s="28"/>
    </row>
    <row r="625" spans="1:4" ht="12.75" customHeight="1" x14ac:dyDescent="0.35">
      <c r="A625" s="28"/>
      <c r="B625" s="28" t="s">
        <v>3097</v>
      </c>
      <c r="C625" s="28"/>
      <c r="D625" s="28"/>
    </row>
    <row r="626" spans="1:4" ht="12.75" customHeight="1" x14ac:dyDescent="0.35">
      <c r="A626" s="28"/>
      <c r="B626" s="28"/>
      <c r="C626" s="28"/>
      <c r="D626" s="28"/>
    </row>
    <row r="627" spans="1:4" ht="12.75" customHeight="1" x14ac:dyDescent="0.35">
      <c r="A627" s="28"/>
      <c r="B627" s="28" t="s">
        <v>2992</v>
      </c>
      <c r="C627" s="28"/>
      <c r="D627" s="28"/>
    </row>
    <row r="628" spans="1:4" ht="12.75" customHeight="1" x14ac:dyDescent="0.35">
      <c r="A628" s="28"/>
      <c r="B628" s="28" t="s">
        <v>3098</v>
      </c>
      <c r="C628" s="28"/>
      <c r="D628" s="28"/>
    </row>
    <row r="629" spans="1:4" ht="12.75" customHeight="1" x14ac:dyDescent="0.35">
      <c r="A629" s="28"/>
      <c r="B629" s="28"/>
      <c r="C629" s="28" t="s">
        <v>3038</v>
      </c>
      <c r="D629" s="28"/>
    </row>
    <row r="630" spans="1:4" ht="12.75" customHeight="1" x14ac:dyDescent="0.35">
      <c r="A630" s="28"/>
      <c r="B630" s="28"/>
      <c r="C630" s="28"/>
      <c r="D630" s="28"/>
    </row>
    <row r="631" spans="1:4" ht="12.75" customHeight="1" x14ac:dyDescent="0.35">
      <c r="A631" s="28"/>
      <c r="B631" s="28"/>
      <c r="C631" s="28"/>
      <c r="D631" s="28"/>
    </row>
    <row r="632" spans="1:4" ht="12.75" customHeight="1" x14ac:dyDescent="0.35">
      <c r="A632" s="28"/>
      <c r="B632" s="28"/>
      <c r="C632" s="28"/>
      <c r="D632" s="28"/>
    </row>
    <row r="633" spans="1:4" ht="12.75" customHeight="1" x14ac:dyDescent="0.35">
      <c r="A633" s="28"/>
      <c r="B633" s="28"/>
      <c r="C633" s="28"/>
      <c r="D633" s="28"/>
    </row>
    <row r="634" spans="1:4" ht="12.75" customHeight="1" x14ac:dyDescent="0.35">
      <c r="A634" s="28"/>
      <c r="B634" s="28"/>
      <c r="C634" s="28"/>
      <c r="D634" s="28"/>
    </row>
    <row r="635" spans="1:4" ht="12.75" customHeight="1" x14ac:dyDescent="0.35">
      <c r="A635" s="28"/>
      <c r="B635" s="28"/>
      <c r="C635" s="28"/>
      <c r="D635" s="28"/>
    </row>
    <row r="636" spans="1:4" ht="12.75" customHeight="1" x14ac:dyDescent="0.35">
      <c r="A636" s="28"/>
      <c r="B636" s="28"/>
      <c r="C636" s="28"/>
      <c r="D636" s="28"/>
    </row>
    <row r="637" spans="1:4" ht="12.75" customHeight="1" x14ac:dyDescent="0.35">
      <c r="A637" s="28"/>
      <c r="B637" s="28"/>
      <c r="C637" s="28"/>
      <c r="D637" s="28"/>
    </row>
    <row r="638" spans="1:4" ht="12.75" customHeight="1" x14ac:dyDescent="0.35">
      <c r="A638" s="28"/>
      <c r="B638" s="28"/>
      <c r="C638" s="28"/>
      <c r="D638" s="28"/>
    </row>
    <row r="639" spans="1:4" ht="12.75" customHeight="1" x14ac:dyDescent="0.35">
      <c r="A639" s="28"/>
      <c r="B639" s="28"/>
      <c r="C639" s="28"/>
      <c r="D639" s="28"/>
    </row>
    <row r="640" spans="1:4" ht="12.75" customHeight="1" x14ac:dyDescent="0.35">
      <c r="A640" s="28"/>
      <c r="B640" s="28"/>
      <c r="C640" s="28" t="s">
        <v>3039</v>
      </c>
      <c r="D640" s="28"/>
    </row>
    <row r="641" spans="1:4" ht="12.75" customHeight="1" x14ac:dyDescent="0.35">
      <c r="A641" s="28"/>
      <c r="B641" s="28"/>
      <c r="C641" s="28"/>
      <c r="D641" s="28"/>
    </row>
    <row r="642" spans="1:4" ht="12.75" customHeight="1" x14ac:dyDescent="0.35">
      <c r="A642" s="28"/>
      <c r="B642" s="28"/>
      <c r="C642" s="28"/>
      <c r="D642" s="28"/>
    </row>
    <row r="643" spans="1:4" ht="12.75" customHeight="1" x14ac:dyDescent="0.35">
      <c r="A643" s="28"/>
      <c r="B643" s="28"/>
      <c r="C643" s="28"/>
      <c r="D643" s="28"/>
    </row>
    <row r="644" spans="1:4" ht="12.75" customHeight="1" x14ac:dyDescent="0.35">
      <c r="A644" s="28"/>
      <c r="B644" s="28"/>
      <c r="C644" s="28"/>
      <c r="D644" s="28"/>
    </row>
    <row r="645" spans="1:4" ht="12.75" customHeight="1" x14ac:dyDescent="0.35">
      <c r="A645" s="28"/>
      <c r="B645" s="28"/>
      <c r="C645" s="28"/>
      <c r="D645" s="28"/>
    </row>
    <row r="646" spans="1:4" ht="12.75" customHeight="1" x14ac:dyDescent="0.35">
      <c r="A646" s="28"/>
      <c r="B646" s="28"/>
      <c r="C646" s="28"/>
      <c r="D646" s="28"/>
    </row>
    <row r="647" spans="1:4" ht="12.75" customHeight="1" x14ac:dyDescent="0.35">
      <c r="A647" s="28"/>
      <c r="B647" s="28"/>
      <c r="C647" s="28"/>
      <c r="D647" s="28"/>
    </row>
    <row r="648" spans="1:4" ht="12.75" customHeight="1" x14ac:dyDescent="0.35">
      <c r="A648" s="28"/>
      <c r="B648" s="28"/>
      <c r="C648" s="28"/>
      <c r="D648" s="28"/>
    </row>
    <row r="649" spans="1:4" ht="12.75" customHeight="1" x14ac:dyDescent="0.35">
      <c r="A649" s="28"/>
      <c r="B649" s="28"/>
      <c r="C649" s="28"/>
      <c r="D649" s="28"/>
    </row>
    <row r="650" spans="1:4" ht="12.75" customHeight="1" x14ac:dyDescent="0.35">
      <c r="A650" s="28"/>
      <c r="B650" s="28"/>
      <c r="C650" s="28"/>
      <c r="D650" s="28"/>
    </row>
    <row r="651" spans="1:4" ht="12.75" customHeight="1" x14ac:dyDescent="0.35">
      <c r="A651" s="28"/>
      <c r="B651" s="28"/>
      <c r="C651" s="28" t="s">
        <v>3045</v>
      </c>
      <c r="D651" s="28"/>
    </row>
    <row r="652" spans="1:4" ht="12.75" customHeight="1" x14ac:dyDescent="0.35">
      <c r="A652" s="28"/>
      <c r="B652" s="28"/>
      <c r="C652" s="28"/>
      <c r="D652" s="28"/>
    </row>
    <row r="653" spans="1:4" ht="12.75" customHeight="1" x14ac:dyDescent="0.35">
      <c r="A653" s="28"/>
      <c r="B653" s="28"/>
      <c r="C653" s="28"/>
      <c r="D653" s="28"/>
    </row>
    <row r="654" spans="1:4" ht="12.75" customHeight="1" x14ac:dyDescent="0.35">
      <c r="A654" s="28"/>
      <c r="B654" s="28"/>
      <c r="C654" s="28"/>
      <c r="D654" s="28"/>
    </row>
    <row r="655" spans="1:4" ht="12.75" customHeight="1" x14ac:dyDescent="0.35">
      <c r="A655" s="28"/>
      <c r="B655" s="28"/>
      <c r="C655" s="28"/>
      <c r="D655" s="28"/>
    </row>
    <row r="656" spans="1:4" ht="12.75" customHeight="1" x14ac:dyDescent="0.35">
      <c r="A656" s="28"/>
      <c r="B656" s="28"/>
      <c r="C656" s="28"/>
      <c r="D656" s="28"/>
    </row>
    <row r="657" spans="1:4" ht="12.75" customHeight="1" x14ac:dyDescent="0.35">
      <c r="A657" s="28"/>
      <c r="B657" s="28"/>
      <c r="C657" s="28"/>
      <c r="D657" s="28"/>
    </row>
    <row r="658" spans="1:4" ht="12.75" customHeight="1" x14ac:dyDescent="0.35">
      <c r="A658" s="28"/>
      <c r="B658" s="28"/>
      <c r="C658" s="28"/>
      <c r="D658" s="28"/>
    </row>
    <row r="659" spans="1:4" ht="12.75" customHeight="1" x14ac:dyDescent="0.35">
      <c r="A659" s="28"/>
      <c r="B659" s="28"/>
      <c r="C659" s="28"/>
      <c r="D659" s="28"/>
    </row>
    <row r="660" spans="1:4" ht="12.75" customHeight="1" x14ac:dyDescent="0.35">
      <c r="A660" s="28"/>
      <c r="B660" s="28"/>
      <c r="C660" s="28"/>
      <c r="D660" s="28"/>
    </row>
    <row r="661" spans="1:4" ht="12.75" customHeight="1" x14ac:dyDescent="0.35">
      <c r="A661" s="28"/>
      <c r="B661" s="28"/>
      <c r="C661" s="28"/>
      <c r="D661" s="28"/>
    </row>
    <row r="662" spans="1:4" ht="12.75" customHeight="1" x14ac:dyDescent="0.35">
      <c r="A662" s="28"/>
      <c r="B662" s="28"/>
      <c r="C662" s="28" t="s">
        <v>3099</v>
      </c>
      <c r="D662" s="28"/>
    </row>
    <row r="663" spans="1:4" ht="12.75" customHeight="1" x14ac:dyDescent="0.35">
      <c r="A663" s="28"/>
      <c r="B663" s="28"/>
      <c r="C663" s="28"/>
      <c r="D663" s="28"/>
    </row>
    <row r="664" spans="1:4" ht="12.75" customHeight="1" x14ac:dyDescent="0.35">
      <c r="A664" s="28"/>
      <c r="B664" s="28"/>
      <c r="C664" s="28" t="s">
        <v>5261</v>
      </c>
      <c r="D664" s="28"/>
    </row>
    <row r="665" spans="1:4" ht="12.75" customHeight="1" x14ac:dyDescent="0.35">
      <c r="A665" s="28"/>
      <c r="B665" s="28"/>
      <c r="C665" s="28"/>
      <c r="D665" s="28"/>
    </row>
    <row r="666" spans="1:4" ht="12.75" customHeight="1" x14ac:dyDescent="0.35">
      <c r="A666" s="28"/>
      <c r="B666" s="28"/>
      <c r="C666" s="28"/>
      <c r="D666" s="28"/>
    </row>
    <row r="667" spans="1:4" ht="12.75" customHeight="1" x14ac:dyDescent="0.35">
      <c r="A667" s="28"/>
      <c r="B667" s="28"/>
      <c r="C667" s="28"/>
      <c r="D667" s="28"/>
    </row>
    <row r="668" spans="1:4" ht="12.75" customHeight="1" x14ac:dyDescent="0.35">
      <c r="A668" s="28"/>
      <c r="B668" s="28" t="s">
        <v>3098</v>
      </c>
      <c r="C668" s="28"/>
      <c r="D668" s="28"/>
    </row>
    <row r="669" spans="1:4" ht="12.75" customHeight="1" x14ac:dyDescent="0.35">
      <c r="A669" s="28"/>
      <c r="B669" s="28" t="s">
        <v>2991</v>
      </c>
      <c r="C669" s="28"/>
      <c r="D669" s="28"/>
    </row>
    <row r="670" spans="1:4" ht="12.75" customHeight="1" x14ac:dyDescent="0.35">
      <c r="A670" s="28"/>
      <c r="B670" s="28" t="s">
        <v>3100</v>
      </c>
      <c r="C670" s="28"/>
      <c r="D670" s="28"/>
    </row>
    <row r="671" spans="1:4" ht="12.75" customHeight="1" x14ac:dyDescent="0.35">
      <c r="A671" s="28"/>
      <c r="B671" s="28" t="s">
        <v>3101</v>
      </c>
      <c r="C671" s="28"/>
      <c r="D671" s="28"/>
    </row>
    <row r="672" spans="1:4" ht="12.75" customHeight="1" x14ac:dyDescent="0.35">
      <c r="A672" s="28"/>
      <c r="B672" s="28"/>
      <c r="C672" s="28" t="s">
        <v>3102</v>
      </c>
      <c r="D672" s="28"/>
    </row>
    <row r="673" spans="1:4" ht="12.75" customHeight="1" x14ac:dyDescent="0.35">
      <c r="A673" s="28"/>
      <c r="B673" s="28"/>
      <c r="C673" s="28"/>
      <c r="D673" s="28"/>
    </row>
    <row r="674" spans="1:4" ht="12.75" customHeight="1" x14ac:dyDescent="0.35">
      <c r="A674" s="28"/>
      <c r="B674" s="28"/>
      <c r="C674" s="28" t="s">
        <v>4848</v>
      </c>
      <c r="D674" s="28"/>
    </row>
    <row r="675" spans="1:4" ht="12.75" customHeight="1" x14ac:dyDescent="0.35">
      <c r="A675" s="28"/>
      <c r="B675" s="28" t="str">
        <f>"Free Cash Flow "&amp;IF(FCFEinUse&lt;&gt;1,"(FCF)","zum Unternehmen (FCFF)")</f>
        <v>Free Cash Flow (FCF)</v>
      </c>
      <c r="C675" s="28"/>
      <c r="D675" s="28"/>
    </row>
    <row r="676" spans="1:4" ht="12.75" customHeight="1" x14ac:dyDescent="0.35">
      <c r="A676" s="28"/>
      <c r="B676" s="28" t="str">
        <f>"Diskontierter Free Cash Flow "&amp;IF(FCFEinUse&lt;&gt;1,"(DFCF)","zum Unternehmen (DFCFF)")</f>
        <v>Diskontierter Free Cash Flow (DFCF)</v>
      </c>
      <c r="C676" s="28"/>
      <c r="D676" s="28"/>
    </row>
    <row r="677" spans="1:4" ht="12.75" customHeight="1" x14ac:dyDescent="0.35">
      <c r="A677" s="28"/>
      <c r="B677" s="28" t="str">
        <f>"Kumulierter Diskontierter Free Cash Flow"&amp;IF(FCFEinUse&lt;&gt;1,""," zum Unternehmen")</f>
        <v>Kumulierter Diskontierter Free Cash Flow</v>
      </c>
      <c r="C677" s="28"/>
      <c r="D677" s="28"/>
    </row>
    <row r="678" spans="1:4" ht="12.75" customHeight="1" x14ac:dyDescent="0.35">
      <c r="A678" s="28"/>
      <c r="B678" s="28" t="s">
        <v>3103</v>
      </c>
      <c r="C678" s="28"/>
      <c r="D678" s="28"/>
    </row>
    <row r="679" spans="1:4" ht="12.75" customHeight="1" x14ac:dyDescent="0.35">
      <c r="A679" s="28"/>
      <c r="B679" s="28" t="s">
        <v>784</v>
      </c>
      <c r="C679" s="28"/>
      <c r="D679" s="28"/>
    </row>
    <row r="680" spans="1:4" ht="12.75" customHeight="1" x14ac:dyDescent="0.35">
      <c r="A680" s="28"/>
      <c r="B680" s="28" t="s">
        <v>3104</v>
      </c>
      <c r="C680" s="28"/>
      <c r="D680" s="28"/>
    </row>
    <row r="681" spans="1:4" ht="12.75" customHeight="1" x14ac:dyDescent="0.35">
      <c r="A681" s="28"/>
      <c r="B681" s="28" t="s">
        <v>3105</v>
      </c>
      <c r="C681" s="28"/>
      <c r="D681" s="28"/>
    </row>
    <row r="682" spans="1:4" ht="12.75" customHeight="1" x14ac:dyDescent="0.35">
      <c r="A682" s="28"/>
      <c r="B682" s="28"/>
      <c r="C682" s="28" t="s">
        <v>3052</v>
      </c>
      <c r="D682" s="28"/>
    </row>
    <row r="683" spans="1:4" ht="12.75" customHeight="1" x14ac:dyDescent="0.35">
      <c r="A683" s="28"/>
      <c r="B683" s="28"/>
      <c r="C683" s="28" t="s">
        <v>3106</v>
      </c>
      <c r="D683" s="28"/>
    </row>
    <row r="684" spans="1:4" ht="12.75" customHeight="1" x14ac:dyDescent="0.35">
      <c r="A684" s="28"/>
      <c r="B684" s="28"/>
      <c r="C684" s="28" t="s">
        <v>3107</v>
      </c>
      <c r="D684" s="28"/>
    </row>
    <row r="685" spans="1:4" ht="12.75" customHeight="1" x14ac:dyDescent="0.35">
      <c r="A685" s="28"/>
      <c r="B685" s="28"/>
      <c r="C685" s="28" t="s">
        <v>3108</v>
      </c>
      <c r="D685" s="28"/>
    </row>
    <row r="686" spans="1:4" ht="12.75" customHeight="1" x14ac:dyDescent="0.35">
      <c r="A686" s="28"/>
      <c r="B686" s="28"/>
      <c r="C686" s="28" t="str">
        <f>C684</f>
        <v>Fremdkapital, Erhöh. (+) / Tilgung (-)</v>
      </c>
      <c r="D686" s="28"/>
    </row>
    <row r="687" spans="1:4" ht="12.75" customHeight="1" x14ac:dyDescent="0.35">
      <c r="A687" s="28"/>
      <c r="B687" s="28"/>
      <c r="C687" s="28" t="s">
        <v>3109</v>
      </c>
      <c r="D687" s="28"/>
    </row>
    <row r="688" spans="1:4" ht="12.75" customHeight="1" x14ac:dyDescent="0.35">
      <c r="A688" s="28"/>
      <c r="B688" s="28"/>
      <c r="C688" s="28" t="s">
        <v>3110</v>
      </c>
      <c r="D688" s="28"/>
    </row>
    <row r="689" spans="1:4" ht="12.75" customHeight="1" x14ac:dyDescent="0.35">
      <c r="A689" s="28"/>
      <c r="B689" s="28"/>
      <c r="C689" s="1241" t="s">
        <v>5401</v>
      </c>
      <c r="D689" s="28"/>
    </row>
    <row r="690" spans="1:4" ht="12.75" customHeight="1" x14ac:dyDescent="0.35">
      <c r="A690" s="28"/>
      <c r="B690" s="28"/>
      <c r="C690" s="28" t="s">
        <v>3111</v>
      </c>
      <c r="D690" s="28"/>
    </row>
    <row r="691" spans="1:4" ht="12.75" customHeight="1" x14ac:dyDescent="0.35">
      <c r="A691" s="28"/>
      <c r="B691" s="28"/>
      <c r="C691" s="28" t="s">
        <v>3112</v>
      </c>
      <c r="D691" s="28"/>
    </row>
    <row r="692" spans="1:4" ht="12.75" customHeight="1" x14ac:dyDescent="0.35">
      <c r="A692" s="28"/>
      <c r="B692" s="97" t="s">
        <v>3113</v>
      </c>
      <c r="D692" s="28"/>
    </row>
    <row r="693" spans="1:4" ht="12.75" customHeight="1" x14ac:dyDescent="0.35">
      <c r="A693" s="28"/>
      <c r="B693" s="97" t="s">
        <v>3114</v>
      </c>
      <c r="D693" s="28"/>
    </row>
    <row r="694" spans="1:4" ht="12.75" customHeight="1" x14ac:dyDescent="0.35">
      <c r="A694" s="28"/>
      <c r="B694" s="97" t="s">
        <v>3115</v>
      </c>
      <c r="D694" s="28"/>
    </row>
    <row r="695" spans="1:4" ht="12.75" customHeight="1" x14ac:dyDescent="0.35">
      <c r="A695" s="28"/>
      <c r="B695" s="97" t="s">
        <v>3116</v>
      </c>
      <c r="D695" s="28"/>
    </row>
    <row r="696" spans="1:4" ht="12.75" customHeight="1" x14ac:dyDescent="0.35">
      <c r="A696" s="28"/>
      <c r="B696" s="28"/>
      <c r="C696" s="28" t="s">
        <v>3117</v>
      </c>
      <c r="D696" s="28"/>
    </row>
    <row r="697" spans="1:4" ht="12.75" customHeight="1" x14ac:dyDescent="0.35">
      <c r="A697" s="28"/>
      <c r="B697" s="28"/>
      <c r="C697" s="28" t="s">
        <v>3118</v>
      </c>
      <c r="D697" s="28"/>
    </row>
    <row r="698" spans="1:4" ht="12.75" customHeight="1" x14ac:dyDescent="0.35">
      <c r="A698" s="28"/>
      <c r="B698" s="28"/>
      <c r="C698" s="28" t="s">
        <v>3119</v>
      </c>
      <c r="D698" s="28"/>
    </row>
    <row r="699" spans="1:4" ht="12.75" customHeight="1" x14ac:dyDescent="0.35">
      <c r="A699" s="28"/>
      <c r="B699" s="28"/>
      <c r="C699" s="28" t="s">
        <v>3120</v>
      </c>
      <c r="D699" s="28"/>
    </row>
    <row r="700" spans="1:4" ht="12.75" customHeight="1" x14ac:dyDescent="0.35">
      <c r="A700" s="28"/>
      <c r="B700" s="28"/>
      <c r="C700" s="28" t="s">
        <v>3121</v>
      </c>
      <c r="D700" s="28"/>
    </row>
    <row r="701" spans="1:4" ht="12.75" customHeight="1" x14ac:dyDescent="0.35">
      <c r="A701" s="28"/>
      <c r="B701" s="28"/>
      <c r="C701" s="105" t="s">
        <v>3122</v>
      </c>
      <c r="D701" s="28"/>
    </row>
    <row r="702" spans="1:4" ht="12.75" customHeight="1" x14ac:dyDescent="0.35">
      <c r="A702" s="28"/>
      <c r="B702" s="28" t="s">
        <v>3123</v>
      </c>
      <c r="C702" s="28"/>
      <c r="D702" s="28"/>
    </row>
    <row r="703" spans="1:4" ht="12.75" customHeight="1" x14ac:dyDescent="0.35">
      <c r="A703" s="28"/>
      <c r="B703" s="28" t="s">
        <v>3124</v>
      </c>
      <c r="C703" s="28"/>
      <c r="D703" s="28"/>
    </row>
    <row r="704" spans="1:4" ht="12.75" customHeight="1" x14ac:dyDescent="0.35">
      <c r="A704" s="28"/>
      <c r="B704" s="28"/>
      <c r="C704" s="28"/>
      <c r="D704" s="28"/>
    </row>
    <row r="705" spans="1:4" ht="12.75" customHeight="1" x14ac:dyDescent="0.35">
      <c r="A705" s="28"/>
      <c r="B705" s="28"/>
      <c r="C705" s="28"/>
      <c r="D705" s="28"/>
    </row>
    <row r="706" spans="1:4" ht="12.75" customHeight="1" x14ac:dyDescent="0.35">
      <c r="A706" s="28"/>
      <c r="B706" s="28"/>
      <c r="C706" s="28"/>
      <c r="D706" s="28"/>
    </row>
    <row r="707" spans="1:4" ht="12.75" customHeight="1" x14ac:dyDescent="0.35">
      <c r="A707" s="28"/>
      <c r="B707" s="28" t="s">
        <v>3125</v>
      </c>
      <c r="C707" s="28"/>
      <c r="D707" s="28"/>
    </row>
    <row r="708" spans="1:4" ht="12.75" customHeight="1" x14ac:dyDescent="0.35">
      <c r="A708" s="28"/>
      <c r="B708" s="28"/>
      <c r="C708" s="28"/>
      <c r="D708" s="28"/>
    </row>
    <row r="709" spans="1:4" ht="12.75" customHeight="1" x14ac:dyDescent="0.35">
      <c r="A709" s="28"/>
      <c r="B709" s="28" t="s">
        <v>2992</v>
      </c>
      <c r="C709" s="28"/>
      <c r="D709" s="28"/>
    </row>
    <row r="710" spans="1:4" ht="12.75" customHeight="1" x14ac:dyDescent="0.35">
      <c r="A710" s="28"/>
      <c r="B710" s="28" t="s">
        <v>3126</v>
      </c>
      <c r="C710" s="28"/>
      <c r="D710" s="28" t="s">
        <v>3127</v>
      </c>
    </row>
    <row r="711" spans="1:4" ht="12.75" customHeight="1" x14ac:dyDescent="0.35">
      <c r="A711" s="28"/>
      <c r="B711" s="28" t="s">
        <v>3128</v>
      </c>
      <c r="C711" s="28"/>
      <c r="D711" s="28"/>
    </row>
    <row r="712" spans="1:4" ht="12.75" customHeight="1" x14ac:dyDescent="0.35">
      <c r="A712" s="28"/>
      <c r="B712" s="28"/>
      <c r="C712" s="28" t="s">
        <v>3129</v>
      </c>
      <c r="D712" s="28"/>
    </row>
    <row r="713" spans="1:4" ht="12.75" customHeight="1" x14ac:dyDescent="0.35">
      <c r="A713" s="28"/>
      <c r="B713" s="28"/>
      <c r="C713" s="28" t="s">
        <v>3130</v>
      </c>
      <c r="D713" s="28"/>
    </row>
    <row r="714" spans="1:4" ht="12.75" customHeight="1" x14ac:dyDescent="0.35">
      <c r="A714" s="28"/>
      <c r="B714" s="28"/>
      <c r="C714" s="28" t="s">
        <v>3131</v>
      </c>
      <c r="D714" s="28"/>
    </row>
    <row r="715" spans="1:4" ht="12.75" customHeight="1" x14ac:dyDescent="0.35">
      <c r="A715" s="28"/>
      <c r="B715" s="28"/>
      <c r="C715" s="103" t="s">
        <v>3130</v>
      </c>
      <c r="D715" s="28"/>
    </row>
    <row r="716" spans="1:4" ht="12.75" customHeight="1" x14ac:dyDescent="0.35">
      <c r="A716" s="28"/>
      <c r="B716" s="28"/>
      <c r="C716" s="103" t="s">
        <v>3132</v>
      </c>
      <c r="D716" s="28"/>
    </row>
    <row r="717" spans="1:4" ht="12.75" customHeight="1" x14ac:dyDescent="0.35">
      <c r="A717" s="28"/>
      <c r="B717" s="28"/>
      <c r="C717" s="103" t="s">
        <v>3133</v>
      </c>
      <c r="D717" s="28"/>
    </row>
    <row r="718" spans="1:4" ht="12.75" customHeight="1" x14ac:dyDescent="0.35">
      <c r="A718" s="28"/>
      <c r="B718" s="28"/>
      <c r="C718" s="103" t="s">
        <v>3134</v>
      </c>
      <c r="D718" s="28"/>
    </row>
    <row r="719" spans="1:4" ht="12.75" customHeight="1" x14ac:dyDescent="0.35">
      <c r="A719" s="28"/>
      <c r="B719" s="28"/>
      <c r="C719" s="103" t="s">
        <v>3133</v>
      </c>
      <c r="D719" s="28"/>
    </row>
    <row r="720" spans="1:4" ht="12.75" customHeight="1" x14ac:dyDescent="0.35">
      <c r="A720" s="28"/>
      <c r="B720" s="28"/>
      <c r="C720" s="103" t="s">
        <v>3132</v>
      </c>
      <c r="D720" s="28"/>
    </row>
    <row r="721" spans="1:4" ht="12.75" customHeight="1" x14ac:dyDescent="0.35">
      <c r="A721" s="28"/>
      <c r="B721" s="28"/>
      <c r="C721" s="103" t="s">
        <v>3135</v>
      </c>
      <c r="D721" s="28"/>
    </row>
    <row r="722" spans="1:4" ht="12.75" customHeight="1" x14ac:dyDescent="0.35">
      <c r="A722" s="28"/>
      <c r="B722" s="28"/>
      <c r="C722" s="103" t="s">
        <v>3136</v>
      </c>
      <c r="D722" s="28"/>
    </row>
    <row r="723" spans="1:4" ht="12.75" customHeight="1" x14ac:dyDescent="0.35">
      <c r="A723" s="28"/>
      <c r="B723" s="28"/>
      <c r="C723" s="103" t="s">
        <v>3135</v>
      </c>
      <c r="D723" s="28"/>
    </row>
    <row r="724" spans="1:4" ht="12.75" customHeight="1" x14ac:dyDescent="0.35">
      <c r="A724" s="28"/>
      <c r="B724" s="28"/>
      <c r="C724" s="103" t="s">
        <v>3132</v>
      </c>
      <c r="D724" s="28"/>
    </row>
    <row r="725" spans="1:4" ht="12.75" customHeight="1" x14ac:dyDescent="0.35">
      <c r="A725" s="28"/>
      <c r="B725" s="28"/>
      <c r="C725" s="103" t="s">
        <v>3137</v>
      </c>
      <c r="D725" s="28"/>
    </row>
    <row r="726" spans="1:4" ht="12.75" customHeight="1" x14ac:dyDescent="0.35">
      <c r="A726" s="28"/>
      <c r="B726" s="28"/>
      <c r="C726" s="103" t="s">
        <v>3138</v>
      </c>
      <c r="D726" s="28"/>
    </row>
    <row r="727" spans="1:4" ht="12.75" customHeight="1" x14ac:dyDescent="0.35">
      <c r="A727" s="28"/>
      <c r="B727" s="28"/>
      <c r="C727" s="103" t="s">
        <v>3137</v>
      </c>
      <c r="D727" s="28"/>
    </row>
    <row r="728" spans="1:4" ht="12.75" customHeight="1" x14ac:dyDescent="0.35">
      <c r="A728" s="28"/>
      <c r="B728" s="28"/>
      <c r="C728" s="103" t="s">
        <v>3132</v>
      </c>
      <c r="D728" s="28"/>
    </row>
    <row r="729" spans="1:4" ht="12.75" customHeight="1" x14ac:dyDescent="0.35">
      <c r="A729" s="28"/>
      <c r="B729" s="28"/>
      <c r="C729" s="28" t="s">
        <v>3139</v>
      </c>
      <c r="D729" s="28"/>
    </row>
    <row r="730" spans="1:4" ht="12.75" customHeight="1" x14ac:dyDescent="0.35">
      <c r="A730" s="28"/>
      <c r="B730" s="28"/>
      <c r="C730" s="28" t="s">
        <v>3140</v>
      </c>
      <c r="D730" s="28"/>
    </row>
    <row r="731" spans="1:4" ht="12.75" customHeight="1" x14ac:dyDescent="0.35">
      <c r="A731" s="28"/>
      <c r="B731" s="28"/>
      <c r="C731" s="28" t="s">
        <v>3141</v>
      </c>
      <c r="D731" s="28"/>
    </row>
    <row r="732" spans="1:4" ht="12.75" customHeight="1" x14ac:dyDescent="0.35">
      <c r="A732" s="28"/>
      <c r="B732" s="28"/>
      <c r="C732" s="28" t="s">
        <v>3140</v>
      </c>
      <c r="D732" s="28"/>
    </row>
    <row r="733" spans="1:4" ht="12.75" customHeight="1" x14ac:dyDescent="0.35">
      <c r="A733" s="28"/>
      <c r="B733" s="28"/>
      <c r="C733" s="103" t="s">
        <v>3132</v>
      </c>
      <c r="D733" s="28"/>
    </row>
    <row r="734" spans="1:4" ht="12.75" customHeight="1" x14ac:dyDescent="0.35">
      <c r="A734" s="28"/>
      <c r="B734" s="28"/>
      <c r="C734" s="103" t="s">
        <v>3142</v>
      </c>
      <c r="D734" s="28"/>
    </row>
    <row r="735" spans="1:4" ht="12.75" customHeight="1" x14ac:dyDescent="0.35">
      <c r="A735" s="28"/>
      <c r="B735" s="28"/>
      <c r="C735" s="103" t="s">
        <v>3143</v>
      </c>
      <c r="D735" s="28"/>
    </row>
    <row r="736" spans="1:4" ht="12.75" customHeight="1" x14ac:dyDescent="0.35">
      <c r="A736" s="28"/>
      <c r="B736" s="28"/>
      <c r="C736" s="103" t="s">
        <v>3142</v>
      </c>
      <c r="D736" s="28"/>
    </row>
    <row r="737" spans="1:4" ht="12.75" customHeight="1" x14ac:dyDescent="0.35">
      <c r="A737" s="28"/>
      <c r="B737" s="28"/>
      <c r="C737" s="103" t="s">
        <v>3132</v>
      </c>
      <c r="D737" s="28"/>
    </row>
    <row r="738" spans="1:4" ht="12.75" customHeight="1" x14ac:dyDescent="0.35">
      <c r="A738" s="28"/>
      <c r="B738" s="28"/>
      <c r="C738" s="103" t="s">
        <v>3144</v>
      </c>
      <c r="D738" s="28"/>
    </row>
    <row r="739" spans="1:4" ht="12.75" customHeight="1" x14ac:dyDescent="0.35">
      <c r="A739" s="28"/>
      <c r="B739" s="28"/>
      <c r="C739" s="103" t="s">
        <v>3145</v>
      </c>
      <c r="D739" s="28"/>
    </row>
    <row r="740" spans="1:4" ht="12.75" customHeight="1" x14ac:dyDescent="0.35">
      <c r="A740" s="28"/>
      <c r="B740" s="28"/>
      <c r="C740" s="103" t="s">
        <v>3144</v>
      </c>
      <c r="D740" s="28"/>
    </row>
    <row r="741" spans="1:4" ht="12.75" customHeight="1" x14ac:dyDescent="0.35">
      <c r="A741" s="28"/>
      <c r="B741" s="28"/>
      <c r="C741" s="103" t="s">
        <v>3132</v>
      </c>
      <c r="D741" s="28"/>
    </row>
    <row r="742" spans="1:4" ht="12.75" customHeight="1" x14ac:dyDescent="0.35">
      <c r="A742" s="28"/>
      <c r="B742" s="28"/>
      <c r="C742" s="106" t="s">
        <v>3146</v>
      </c>
      <c r="D742" s="28"/>
    </row>
    <row r="743" spans="1:4" ht="12.75" customHeight="1" x14ac:dyDescent="0.35">
      <c r="A743" s="28"/>
      <c r="B743" s="28"/>
      <c r="C743" s="106" t="s">
        <v>3147</v>
      </c>
      <c r="D743" s="28"/>
    </row>
    <row r="744" spans="1:4" ht="12.75" customHeight="1" x14ac:dyDescent="0.35">
      <c r="A744" s="28"/>
      <c r="B744" s="28"/>
      <c r="C744" s="106" t="s">
        <v>3146</v>
      </c>
      <c r="D744" s="28"/>
    </row>
    <row r="745" spans="1:4" ht="12.75" customHeight="1" x14ac:dyDescent="0.35">
      <c r="A745" s="28"/>
      <c r="B745" s="28"/>
      <c r="C745" s="106" t="s">
        <v>3132</v>
      </c>
      <c r="D745" s="28"/>
    </row>
    <row r="746" spans="1:4" ht="12.75" customHeight="1" x14ac:dyDescent="0.35">
      <c r="A746" s="28"/>
      <c r="B746" s="28"/>
      <c r="C746" s="103" t="s">
        <v>3148</v>
      </c>
      <c r="D746" s="28"/>
    </row>
    <row r="747" spans="1:4" ht="12.75" customHeight="1" x14ac:dyDescent="0.35">
      <c r="A747" s="28"/>
      <c r="B747" s="28"/>
      <c r="C747" s="103" t="s">
        <v>3149</v>
      </c>
      <c r="D747" s="28"/>
    </row>
    <row r="748" spans="1:4" ht="12.75" customHeight="1" x14ac:dyDescent="0.35">
      <c r="A748" s="28"/>
      <c r="B748" s="28"/>
      <c r="C748" s="103" t="s">
        <v>3148</v>
      </c>
      <c r="D748" s="28"/>
    </row>
    <row r="749" spans="1:4" ht="12.75" customHeight="1" x14ac:dyDescent="0.35">
      <c r="A749" s="28"/>
      <c r="B749" s="28"/>
      <c r="C749" s="103" t="s">
        <v>3132</v>
      </c>
      <c r="D749" s="28"/>
    </row>
    <row r="750" spans="1:4" ht="12.75" customHeight="1" x14ac:dyDescent="0.35">
      <c r="A750" s="28"/>
      <c r="B750" s="28"/>
      <c r="C750" s="28" t="s">
        <v>3150</v>
      </c>
      <c r="D750" s="28"/>
    </row>
    <row r="751" spans="1:4" ht="12.75" customHeight="1" x14ac:dyDescent="0.35">
      <c r="A751" s="28"/>
      <c r="B751" s="28"/>
      <c r="C751" s="28" t="s">
        <v>3151</v>
      </c>
      <c r="D751" s="28"/>
    </row>
    <row r="752" spans="1:4" ht="12.75" customHeight="1" x14ac:dyDescent="0.35">
      <c r="A752" s="28"/>
      <c r="B752" s="28"/>
      <c r="C752" s="28" t="s">
        <v>3152</v>
      </c>
      <c r="D752" s="28"/>
    </row>
    <row r="753" spans="1:4" ht="12.75" customHeight="1" x14ac:dyDescent="0.35">
      <c r="A753" s="28"/>
      <c r="B753" s="28"/>
      <c r="C753" s="28" t="s">
        <v>3151</v>
      </c>
      <c r="D753" s="28"/>
    </row>
    <row r="754" spans="1:4" ht="12.75" customHeight="1" x14ac:dyDescent="0.35">
      <c r="A754" s="28"/>
      <c r="B754" s="28"/>
      <c r="C754" s="103" t="s">
        <v>3132</v>
      </c>
      <c r="D754" s="28"/>
    </row>
    <row r="755" spans="1:4" ht="12.75" customHeight="1" x14ac:dyDescent="0.35">
      <c r="A755" s="28"/>
      <c r="B755" s="28"/>
      <c r="C755" s="28" t="s">
        <v>3153</v>
      </c>
      <c r="D755" s="28"/>
    </row>
    <row r="756" spans="1:4" ht="12.75" customHeight="1" x14ac:dyDescent="0.35">
      <c r="A756" s="28"/>
      <c r="B756" s="28"/>
      <c r="C756" s="28" t="s">
        <v>3154</v>
      </c>
      <c r="D756" s="28"/>
    </row>
    <row r="757" spans="1:4" ht="12.75" customHeight="1" x14ac:dyDescent="0.35">
      <c r="A757" s="28"/>
      <c r="B757" s="28"/>
      <c r="C757" s="28" t="s">
        <v>3153</v>
      </c>
      <c r="D757" s="28"/>
    </row>
    <row r="758" spans="1:4" ht="12.75" customHeight="1" x14ac:dyDescent="0.35">
      <c r="A758" s="28"/>
      <c r="B758" s="28"/>
      <c r="C758" s="103" t="s">
        <v>3132</v>
      </c>
      <c r="D758" s="28"/>
    </row>
    <row r="759" spans="1:4" ht="12.75" customHeight="1" x14ac:dyDescent="0.35">
      <c r="A759" s="28"/>
      <c r="B759" s="28"/>
      <c r="C759" s="28" t="s">
        <v>3155</v>
      </c>
      <c r="D759" s="28"/>
    </row>
    <row r="760" spans="1:4" ht="12.75" customHeight="1" x14ac:dyDescent="0.35">
      <c r="A760" s="28"/>
      <c r="B760" s="28"/>
      <c r="C760" s="28" t="s">
        <v>3156</v>
      </c>
      <c r="D760" s="28"/>
    </row>
    <row r="761" spans="1:4" ht="12.75" customHeight="1" x14ac:dyDescent="0.35">
      <c r="A761" s="28"/>
      <c r="B761" s="28"/>
      <c r="C761" s="28" t="s">
        <v>3155</v>
      </c>
      <c r="D761" s="28"/>
    </row>
    <row r="762" spans="1:4" ht="12.75" customHeight="1" x14ac:dyDescent="0.35">
      <c r="A762" s="28"/>
      <c r="B762" s="28"/>
      <c r="C762" s="103" t="s">
        <v>3132</v>
      </c>
      <c r="D762" s="28"/>
    </row>
    <row r="763" spans="1:4" ht="12.75" customHeight="1" x14ac:dyDescent="0.35">
      <c r="A763" s="28"/>
      <c r="B763" s="28"/>
      <c r="C763" s="28" t="s">
        <v>3157</v>
      </c>
      <c r="D763" s="28"/>
    </row>
    <row r="764" spans="1:4" ht="12.75" customHeight="1" x14ac:dyDescent="0.35">
      <c r="A764" s="28"/>
      <c r="B764" s="28"/>
      <c r="C764" s="28" t="s">
        <v>3158</v>
      </c>
      <c r="D764" s="28"/>
    </row>
    <row r="765" spans="1:4" ht="12.75" customHeight="1" x14ac:dyDescent="0.35">
      <c r="A765" s="28"/>
      <c r="B765" s="28"/>
      <c r="C765" s="28" t="s">
        <v>3157</v>
      </c>
      <c r="D765" s="28"/>
    </row>
    <row r="766" spans="1:4" ht="12.75" customHeight="1" x14ac:dyDescent="0.35">
      <c r="A766" s="28"/>
      <c r="B766" s="28"/>
      <c r="C766" s="103" t="s">
        <v>3132</v>
      </c>
      <c r="D766" s="28"/>
    </row>
    <row r="767" spans="1:4" ht="12.75" customHeight="1" x14ac:dyDescent="0.35">
      <c r="A767" s="28"/>
      <c r="B767" s="28"/>
      <c r="C767" s="28" t="s">
        <v>3159</v>
      </c>
      <c r="D767" s="28"/>
    </row>
    <row r="768" spans="1:4" ht="12.75" customHeight="1" x14ac:dyDescent="0.35">
      <c r="A768" s="28"/>
      <c r="B768" s="28" t="s">
        <v>3160</v>
      </c>
      <c r="C768" s="28"/>
      <c r="D768" s="28"/>
    </row>
    <row r="769" spans="1:4" ht="12.75" customHeight="1" x14ac:dyDescent="0.35">
      <c r="A769" s="28"/>
      <c r="B769" s="28"/>
      <c r="C769" s="28" t="s">
        <v>3088</v>
      </c>
      <c r="D769" s="28"/>
    </row>
    <row r="770" spans="1:4" ht="12.75" customHeight="1" x14ac:dyDescent="0.35">
      <c r="A770" s="28"/>
      <c r="B770" s="28"/>
      <c r="C770" s="28" t="s">
        <v>3082</v>
      </c>
      <c r="D770" s="28"/>
    </row>
    <row r="771" spans="1:4" ht="12.75" customHeight="1" x14ac:dyDescent="0.35">
      <c r="A771" s="28"/>
      <c r="B771" s="28"/>
      <c r="C771" s="1241" t="s">
        <v>5364</v>
      </c>
      <c r="D771" s="28"/>
    </row>
    <row r="772" spans="1:4" ht="12.75" customHeight="1" x14ac:dyDescent="0.35">
      <c r="A772" s="28"/>
      <c r="B772" s="28"/>
      <c r="C772" s="28" t="s">
        <v>3084</v>
      </c>
      <c r="D772" s="28"/>
    </row>
    <row r="773" spans="1:4" ht="12.75" customHeight="1" x14ac:dyDescent="0.35">
      <c r="A773" s="28"/>
      <c r="B773" s="28"/>
      <c r="C773" s="1241" t="s">
        <v>5371</v>
      </c>
      <c r="D773" s="28"/>
    </row>
    <row r="774" spans="1:4" ht="12.75" customHeight="1" x14ac:dyDescent="0.35">
      <c r="A774" s="28"/>
      <c r="B774" s="28"/>
      <c r="C774" s="28" t="s">
        <v>3161</v>
      </c>
      <c r="D774" s="28"/>
    </row>
    <row r="775" spans="1:4" ht="12.75" customHeight="1" x14ac:dyDescent="0.35">
      <c r="A775" s="28"/>
      <c r="B775" s="28"/>
      <c r="C775" s="28" t="s">
        <v>3162</v>
      </c>
      <c r="D775" s="28"/>
    </row>
    <row r="776" spans="1:4" ht="12.75" customHeight="1" x14ac:dyDescent="0.35">
      <c r="A776" s="28"/>
      <c r="B776" s="28" t="s">
        <v>3126</v>
      </c>
      <c r="C776" s="28"/>
      <c r="D776" s="28"/>
    </row>
    <row r="777" spans="1:4" ht="12.75" customHeight="1" x14ac:dyDescent="0.35">
      <c r="A777" s="28"/>
      <c r="B777" s="28"/>
      <c r="C777" s="28"/>
      <c r="D777" s="28"/>
    </row>
    <row r="778" spans="1:4" ht="12.75" customHeight="1" x14ac:dyDescent="0.35">
      <c r="A778" s="28"/>
      <c r="B778" s="28"/>
      <c r="C778" s="28"/>
      <c r="D778" s="28"/>
    </row>
    <row r="779" spans="1:4" ht="12.75" customHeight="1" x14ac:dyDescent="0.35">
      <c r="A779" s="28"/>
      <c r="B779" s="28"/>
      <c r="C779" s="28"/>
      <c r="D779" s="28"/>
    </row>
    <row r="780" spans="1:4" ht="12.75" customHeight="1" x14ac:dyDescent="0.35">
      <c r="A780" s="28"/>
      <c r="B780" s="28"/>
      <c r="C780" s="28"/>
      <c r="D780" s="28"/>
    </row>
    <row r="781" spans="1:4" ht="12.75" customHeight="1" x14ac:dyDescent="0.35">
      <c r="A781" s="28"/>
      <c r="B781" s="28"/>
      <c r="C781" s="28"/>
      <c r="D781" s="28"/>
    </row>
    <row r="782" spans="1:4" ht="12.75" customHeight="1" x14ac:dyDescent="0.35">
      <c r="A782" s="28"/>
      <c r="B782" s="28"/>
      <c r="C782" s="28"/>
      <c r="D782" s="28"/>
    </row>
    <row r="783" spans="1:4" ht="12.75" customHeight="1" x14ac:dyDescent="0.35">
      <c r="A783" s="28"/>
      <c r="B783" s="28"/>
      <c r="C783" s="28"/>
      <c r="D783" s="28"/>
    </row>
    <row r="784" spans="1:4" ht="12.75" customHeight="1" x14ac:dyDescent="0.35">
      <c r="A784" s="28"/>
      <c r="B784" s="28"/>
      <c r="C784" s="28"/>
      <c r="D784" s="28"/>
    </row>
    <row r="785" spans="1:4" ht="12.75" customHeight="1" x14ac:dyDescent="0.35">
      <c r="A785" s="28"/>
      <c r="B785" s="28"/>
      <c r="C785" s="28"/>
      <c r="D785" s="28"/>
    </row>
    <row r="786" spans="1:4" ht="12.75" customHeight="1" x14ac:dyDescent="0.35">
      <c r="A786" s="28"/>
      <c r="B786" s="28"/>
      <c r="C786" s="28"/>
      <c r="D786" s="28"/>
    </row>
    <row r="787" spans="1:4" ht="12.75" customHeight="1" x14ac:dyDescent="0.35">
      <c r="A787" s="28"/>
      <c r="B787" s="28"/>
      <c r="C787" s="28"/>
      <c r="D787" s="28"/>
    </row>
    <row r="788" spans="1:4" ht="12.75" customHeight="1" x14ac:dyDescent="0.35">
      <c r="A788" s="28"/>
      <c r="B788" s="28"/>
      <c r="C788" s="28"/>
      <c r="D788" s="28"/>
    </row>
    <row r="789" spans="1:4" ht="12.75" customHeight="1" x14ac:dyDescent="0.35">
      <c r="A789" s="28"/>
      <c r="B789" s="28" t="s">
        <v>3163</v>
      </c>
      <c r="C789" s="28"/>
      <c r="D789" s="28"/>
    </row>
    <row r="790" spans="1:4" ht="12.75" customHeight="1" x14ac:dyDescent="0.35">
      <c r="A790" s="28"/>
      <c r="B790" s="28" t="s">
        <v>3164</v>
      </c>
      <c r="C790" s="28"/>
      <c r="D790" s="28"/>
    </row>
    <row r="791" spans="1:4" ht="12.75" customHeight="1" x14ac:dyDescent="0.35">
      <c r="A791" s="28"/>
      <c r="B791" s="28" t="s">
        <v>3165</v>
      </c>
      <c r="C791" s="28"/>
      <c r="D791" s="28"/>
    </row>
    <row r="792" spans="1:4" ht="12.75" customHeight="1" x14ac:dyDescent="0.35">
      <c r="A792" s="28"/>
      <c r="B792" s="28"/>
      <c r="C792" s="28"/>
      <c r="D792" s="28"/>
    </row>
    <row r="793" spans="1:4" ht="12.75" customHeight="1" x14ac:dyDescent="0.35">
      <c r="A793" s="28"/>
      <c r="B793" s="28" t="s">
        <v>3166</v>
      </c>
      <c r="C793" s="28"/>
      <c r="D793" s="28"/>
    </row>
    <row r="794" spans="1:4" ht="12.75" customHeight="1" x14ac:dyDescent="0.35">
      <c r="A794" s="28"/>
      <c r="B794" s="28" t="s">
        <v>3032</v>
      </c>
      <c r="C794" s="28"/>
      <c r="D794" s="28"/>
    </row>
    <row r="795" spans="1:4" ht="12.75" customHeight="1" x14ac:dyDescent="0.35">
      <c r="A795" s="28"/>
      <c r="B795" s="28"/>
      <c r="C795" s="28" t="s">
        <v>3013</v>
      </c>
      <c r="D795" s="28"/>
    </row>
    <row r="796" spans="1:4" ht="12.75" customHeight="1" x14ac:dyDescent="0.35">
      <c r="A796" s="28"/>
      <c r="B796" s="28"/>
      <c r="C796" s="28" t="s">
        <v>3167</v>
      </c>
      <c r="D796" s="28"/>
    </row>
    <row r="797" spans="1:4" ht="12.75" customHeight="1" x14ac:dyDescent="0.35">
      <c r="A797" s="28"/>
      <c r="B797" s="28"/>
      <c r="C797" s="28" t="s">
        <v>3168</v>
      </c>
      <c r="D797" s="28"/>
    </row>
    <row r="798" spans="1:4" ht="12.75" customHeight="1" x14ac:dyDescent="0.35">
      <c r="A798" s="28"/>
      <c r="B798" s="28"/>
      <c r="C798" s="28" t="s">
        <v>3016</v>
      </c>
      <c r="D798" s="28"/>
    </row>
    <row r="799" spans="1:4" ht="12.75" customHeight="1" x14ac:dyDescent="0.35">
      <c r="A799" s="28"/>
      <c r="B799" s="28"/>
      <c r="C799" s="28" t="s">
        <v>3017</v>
      </c>
      <c r="D799" s="28"/>
    </row>
    <row r="800" spans="1:4" ht="12.75" customHeight="1" x14ac:dyDescent="0.35">
      <c r="A800" s="28"/>
      <c r="B800" s="28"/>
      <c r="C800" s="28" t="s">
        <v>3169</v>
      </c>
      <c r="D800" s="28"/>
    </row>
    <row r="801" spans="1:4" ht="12.75" customHeight="1" x14ac:dyDescent="0.35">
      <c r="A801" s="28"/>
      <c r="B801" s="97" t="s">
        <v>5309</v>
      </c>
      <c r="D801" s="28"/>
    </row>
    <row r="802" spans="1:4" ht="12.75" customHeight="1" x14ac:dyDescent="0.35">
      <c r="A802" s="28"/>
      <c r="B802" s="28" t="s">
        <v>3170</v>
      </c>
      <c r="C802" s="28"/>
      <c r="D802" s="28"/>
    </row>
    <row r="803" spans="1:4" ht="12.75" customHeight="1" x14ac:dyDescent="0.35">
      <c r="A803" s="28"/>
      <c r="B803" s="28" t="s">
        <v>3171</v>
      </c>
      <c r="C803" s="28"/>
    </row>
    <row r="804" spans="1:4" ht="12.75" customHeight="1" x14ac:dyDescent="0.35">
      <c r="A804" s="28"/>
      <c r="B804" s="28" t="s">
        <v>3089</v>
      </c>
      <c r="C804" s="28"/>
    </row>
    <row r="805" spans="1:4" ht="12.75" customHeight="1" x14ac:dyDescent="0.35">
      <c r="A805" s="28"/>
      <c r="B805" s="28"/>
      <c r="C805" s="28" t="s">
        <v>3172</v>
      </c>
      <c r="D805" s="28"/>
    </row>
    <row r="806" spans="1:4" ht="12.75" customHeight="1" x14ac:dyDescent="0.35">
      <c r="A806" s="28"/>
      <c r="B806" s="28"/>
      <c r="C806" s="28" t="s">
        <v>3173</v>
      </c>
      <c r="D806" s="28"/>
    </row>
    <row r="807" spans="1:4" ht="12.75" customHeight="1" x14ac:dyDescent="0.35">
      <c r="A807" s="28"/>
      <c r="B807" s="28"/>
      <c r="C807" s="1241" t="s">
        <v>5408</v>
      </c>
      <c r="D807" s="28"/>
    </row>
    <row r="808" spans="1:4" ht="12.75" customHeight="1" x14ac:dyDescent="0.35">
      <c r="A808" s="28"/>
      <c r="B808" s="28"/>
      <c r="C808" s="28" t="s">
        <v>3174</v>
      </c>
      <c r="D808" s="28"/>
    </row>
    <row r="809" spans="1:4" ht="12.75" customHeight="1" x14ac:dyDescent="0.35">
      <c r="A809" s="28"/>
      <c r="B809" s="28"/>
      <c r="C809" s="101" t="s">
        <v>3175</v>
      </c>
      <c r="D809" s="28"/>
    </row>
    <row r="810" spans="1:4" ht="12.75" customHeight="1" x14ac:dyDescent="0.35">
      <c r="A810" s="28"/>
      <c r="B810" s="28"/>
      <c r="C810" s="28" t="s">
        <v>2991</v>
      </c>
      <c r="D810" s="28"/>
    </row>
    <row r="811" spans="1:4" ht="12.75" customHeight="1" x14ac:dyDescent="0.35">
      <c r="A811" s="28"/>
      <c r="B811" s="28"/>
      <c r="C811" s="28" t="s">
        <v>3176</v>
      </c>
      <c r="D811" s="28"/>
    </row>
    <row r="812" spans="1:4" ht="12.75" customHeight="1" x14ac:dyDescent="0.35">
      <c r="A812" s="28"/>
      <c r="B812" s="28"/>
      <c r="C812" s="28" t="s">
        <v>3177</v>
      </c>
      <c r="D812" s="28"/>
    </row>
    <row r="813" spans="1:4" ht="12.75" customHeight="1" x14ac:dyDescent="0.35">
      <c r="A813" s="28"/>
      <c r="B813" s="28"/>
      <c r="C813" s="28" t="s">
        <v>3178</v>
      </c>
      <c r="D813" s="28"/>
    </row>
    <row r="814" spans="1:4" ht="12.75" customHeight="1" x14ac:dyDescent="0.35">
      <c r="A814" s="28"/>
      <c r="B814" s="28"/>
      <c r="C814" s="28" t="s">
        <v>3179</v>
      </c>
      <c r="D814" s="28"/>
    </row>
    <row r="815" spans="1:4" ht="12.75" customHeight="1" x14ac:dyDescent="0.35">
      <c r="A815" s="28"/>
      <c r="B815" s="28"/>
      <c r="C815" s="28" t="s">
        <v>3180</v>
      </c>
      <c r="D815" s="28"/>
    </row>
    <row r="816" spans="1:4" ht="12.75" customHeight="1" x14ac:dyDescent="0.35">
      <c r="A816" s="28"/>
      <c r="B816" s="28"/>
      <c r="C816" s="28" t="s">
        <v>3181</v>
      </c>
      <c r="D816" s="28"/>
    </row>
    <row r="817" spans="1:4" ht="12.75" customHeight="1" x14ac:dyDescent="0.35">
      <c r="A817" s="28"/>
      <c r="B817" s="28"/>
      <c r="C817" s="1241" t="s">
        <v>5410</v>
      </c>
      <c r="D817" s="28"/>
    </row>
    <row r="818" spans="1:4" ht="12.75" customHeight="1" x14ac:dyDescent="0.35">
      <c r="A818" s="28"/>
      <c r="B818" s="28"/>
      <c r="C818" s="28" t="s">
        <v>3094</v>
      </c>
      <c r="D818" s="28"/>
    </row>
    <row r="819" spans="1:4" ht="12.75" customHeight="1" x14ac:dyDescent="0.35">
      <c r="A819" s="28"/>
      <c r="B819" s="28"/>
      <c r="C819" s="1241" t="s">
        <v>5414</v>
      </c>
      <c r="D819" s="28"/>
    </row>
    <row r="820" spans="1:4" ht="12.75" customHeight="1" x14ac:dyDescent="0.35">
      <c r="A820" s="28"/>
      <c r="B820" s="28"/>
      <c r="C820" s="28" t="s">
        <v>3182</v>
      </c>
      <c r="D820" s="28"/>
    </row>
    <row r="821" spans="1:4" ht="12.75" customHeight="1" x14ac:dyDescent="0.35">
      <c r="A821" s="28"/>
      <c r="B821" s="28"/>
      <c r="C821" s="28" t="s">
        <v>3183</v>
      </c>
      <c r="D821" s="28"/>
    </row>
    <row r="822" spans="1:4" ht="12.75" customHeight="1" x14ac:dyDescent="0.35">
      <c r="A822" s="28"/>
      <c r="B822" s="28"/>
      <c r="C822" s="28" t="s">
        <v>3184</v>
      </c>
      <c r="D822" s="28"/>
    </row>
    <row r="823" spans="1:4" ht="12.75" customHeight="1" x14ac:dyDescent="0.35">
      <c r="A823" s="28"/>
      <c r="B823" s="28" t="s">
        <v>3166</v>
      </c>
      <c r="C823" s="28"/>
      <c r="D823" s="28"/>
    </row>
    <row r="824" spans="1:4" ht="12.75" customHeight="1" x14ac:dyDescent="0.35">
      <c r="A824" s="28"/>
      <c r="B824" s="28" t="s">
        <v>3185</v>
      </c>
      <c r="C824" s="28"/>
      <c r="D824" s="28"/>
    </row>
    <row r="825" spans="1:4" ht="12.75" customHeight="1" x14ac:dyDescent="0.35">
      <c r="A825" s="28"/>
      <c r="B825" s="28" t="s">
        <v>3030</v>
      </c>
      <c r="C825" s="28"/>
      <c r="D825" s="28"/>
    </row>
    <row r="826" spans="1:4" ht="12.75" customHeight="1" x14ac:dyDescent="0.35">
      <c r="A826" s="28"/>
      <c r="B826" s="28" t="s">
        <v>3059</v>
      </c>
      <c r="C826" s="28"/>
      <c r="D826" s="28"/>
    </row>
    <row r="827" spans="1:4" ht="12.75" customHeight="1" x14ac:dyDescent="0.35">
      <c r="A827" s="28"/>
      <c r="B827" s="28" t="s">
        <v>3020</v>
      </c>
      <c r="C827" s="28"/>
      <c r="D827" s="28"/>
    </row>
    <row r="828" spans="1:4" ht="12.75" customHeight="1" x14ac:dyDescent="0.35">
      <c r="A828" s="28"/>
      <c r="B828" s="28" t="s">
        <v>3033</v>
      </c>
      <c r="C828" s="28"/>
      <c r="D828" s="28"/>
    </row>
    <row r="829" spans="1:4" ht="12.75" customHeight="1" x14ac:dyDescent="0.35">
      <c r="A829" s="28"/>
      <c r="B829" s="28" t="s">
        <v>3177</v>
      </c>
      <c r="C829" s="28"/>
      <c r="D829" s="28"/>
    </row>
    <row r="830" spans="1:4" ht="12.75" customHeight="1" x14ac:dyDescent="0.35">
      <c r="A830" s="28"/>
      <c r="B830" s="28" t="s">
        <v>3186</v>
      </c>
      <c r="C830" s="28"/>
      <c r="D830" s="28"/>
    </row>
    <row r="831" spans="1:4" ht="12.75" customHeight="1" x14ac:dyDescent="0.35">
      <c r="A831" s="28"/>
      <c r="B831" s="28" t="s">
        <v>3187</v>
      </c>
      <c r="C831" s="28"/>
      <c r="D831" s="28"/>
    </row>
    <row r="832" spans="1:4" ht="12.75" customHeight="1" x14ac:dyDescent="0.35">
      <c r="A832" s="28"/>
      <c r="B832" s="28"/>
      <c r="C832" s="28"/>
      <c r="D832" s="28"/>
    </row>
    <row r="833" spans="1:4" ht="12.75" customHeight="1" x14ac:dyDescent="0.35">
      <c r="A833" s="28"/>
      <c r="B833" s="28" t="s">
        <v>3188</v>
      </c>
      <c r="C833" s="28"/>
      <c r="D833" s="28"/>
    </row>
    <row r="834" spans="1:4" ht="12.75" customHeight="1" x14ac:dyDescent="0.35">
      <c r="A834" s="28"/>
      <c r="B834" s="107" t="s">
        <v>3189</v>
      </c>
      <c r="C834" s="28"/>
      <c r="D834" s="28"/>
    </row>
    <row r="835" spans="1:4" ht="12.75" customHeight="1" x14ac:dyDescent="0.35">
      <c r="A835" s="28"/>
      <c r="B835" s="6" t="s">
        <v>3104</v>
      </c>
      <c r="C835" s="28"/>
      <c r="D835" s="28"/>
    </row>
    <row r="836" spans="1:4" ht="12.75" customHeight="1" x14ac:dyDescent="0.35">
      <c r="A836" s="28"/>
      <c r="B836" s="28" t="s">
        <v>3190</v>
      </c>
      <c r="C836" s="28"/>
      <c r="D836" s="28"/>
    </row>
    <row r="837" spans="1:4" ht="12.75" customHeight="1" x14ac:dyDescent="0.35"/>
    <row r="838" spans="1:4" ht="12.75" customHeight="1" x14ac:dyDescent="0.35"/>
    <row r="839" spans="1:4" ht="12.75" customHeight="1" x14ac:dyDescent="0.35"/>
    <row r="840" spans="1:4" ht="12.75" customHeight="1" x14ac:dyDescent="0.35">
      <c r="B840" s="97" t="s">
        <v>3191</v>
      </c>
    </row>
    <row r="841" spans="1:4" ht="12.75" customHeight="1" x14ac:dyDescent="0.35"/>
    <row r="842" spans="1:4" ht="12.75" customHeight="1" x14ac:dyDescent="0.35">
      <c r="B842" s="28" t="s">
        <v>2992</v>
      </c>
    </row>
  </sheetData>
  <printOptions gridLines="1"/>
  <pageMargins left="0.75" right="0.75" top="1" bottom="1" header="0.51181102300000003" footer="0.51181102300000003"/>
  <pageSetup paperSize="9" orientation="portrait" r:id="rId1"/>
  <headerFooter>
    <oddHeader>&amp;C&amp;A</oddHeader>
    <oddFooter>&amp;CSeite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2">
    <pageSetUpPr autoPageBreaks="0" fitToPage="1"/>
  </sheetPr>
  <dimension ref="A1:D842"/>
  <sheetViews>
    <sheetView topLeftCell="A764" workbookViewId="0">
      <selection activeCell="C781" sqref="C781"/>
    </sheetView>
  </sheetViews>
  <sheetFormatPr defaultColWidth="9.1796875" defaultRowHeight="14.5" x14ac:dyDescent="0.35"/>
  <cols>
    <col min="1" max="1" width="0.81640625" style="97" customWidth="1"/>
    <col min="2" max="2" width="9.1796875" style="97"/>
    <col min="3" max="4" width="10.7265625" style="97" customWidth="1"/>
    <col min="5" max="16384" width="9.1796875" style="97"/>
  </cols>
  <sheetData>
    <row r="1" spans="2:2" ht="12.75" customHeight="1" x14ac:dyDescent="0.35">
      <c r="B1" s="97" t="s">
        <v>3192</v>
      </c>
    </row>
    <row r="2" spans="2:2" ht="12.75" customHeight="1" x14ac:dyDescent="0.35">
      <c r="B2" s="97" t="s">
        <v>3193</v>
      </c>
    </row>
    <row r="3" spans="2:2" ht="12.75" customHeight="1" x14ac:dyDescent="0.35">
      <c r="B3" s="97" t="s">
        <v>3194</v>
      </c>
    </row>
    <row r="4" spans="2:2" ht="12.75" customHeight="1" x14ac:dyDescent="0.35">
      <c r="B4" s="97" t="s">
        <v>3195</v>
      </c>
    </row>
    <row r="5" spans="2:2" ht="12.75" customHeight="1" x14ac:dyDescent="0.35">
      <c r="B5" s="97" t="s">
        <v>3196</v>
      </c>
    </row>
    <row r="6" spans="2:2" ht="12.75" customHeight="1" x14ac:dyDescent="0.35">
      <c r="B6" s="97" t="s">
        <v>3197</v>
      </c>
    </row>
    <row r="7" spans="2:2" ht="12.75" customHeight="1" x14ac:dyDescent="0.35"/>
    <row r="8" spans="2:2" ht="12.75" customHeight="1" x14ac:dyDescent="0.35"/>
    <row r="9" spans="2:2" ht="12.75" customHeight="1" x14ac:dyDescent="0.35"/>
    <row r="10" spans="2:2" ht="12.75" customHeight="1" x14ac:dyDescent="0.35"/>
    <row r="11" spans="2:2" ht="12.75" customHeight="1" x14ac:dyDescent="0.35">
      <c r="B11" s="97" t="s">
        <v>3198</v>
      </c>
    </row>
    <row r="12" spans="2:2" ht="12.75" customHeight="1" x14ac:dyDescent="0.35">
      <c r="B12" s="97" t="s">
        <v>3199</v>
      </c>
    </row>
    <row r="13" spans="2:2" ht="12.75" customHeight="1" x14ac:dyDescent="0.35">
      <c r="B13" s="97" t="s">
        <v>3200</v>
      </c>
    </row>
    <row r="14" spans="2:2" ht="12.75" customHeight="1" x14ac:dyDescent="0.35"/>
    <row r="15" spans="2:2" ht="12.75" customHeight="1" x14ac:dyDescent="0.35">
      <c r="B15" s="97" t="s">
        <v>3201</v>
      </c>
    </row>
    <row r="16" spans="2:2" ht="12.75" customHeight="1" x14ac:dyDescent="0.35"/>
    <row r="17" spans="2:4" ht="12.75" customHeight="1" x14ac:dyDescent="0.35">
      <c r="B17" s="97" t="s">
        <v>3199</v>
      </c>
      <c r="D17" s="97" t="s">
        <v>3203</v>
      </c>
    </row>
    <row r="18" spans="2:4" ht="12.75" customHeight="1" x14ac:dyDescent="0.35"/>
    <row r="19" spans="2:4" ht="12.75" customHeight="1" x14ac:dyDescent="0.35"/>
    <row r="20" spans="2:4" ht="12.75" customHeight="1" x14ac:dyDescent="0.35"/>
    <row r="21" spans="2:4" ht="12.75" customHeight="1" x14ac:dyDescent="0.35">
      <c r="C21" s="97" t="s">
        <v>3205</v>
      </c>
    </row>
    <row r="22" spans="2:4" ht="12.75" customHeight="1" x14ac:dyDescent="0.35"/>
    <row r="23" spans="2:4" ht="12.75" customHeight="1" x14ac:dyDescent="0.35"/>
    <row r="24" spans="2:4" ht="12.75" customHeight="1" x14ac:dyDescent="0.35"/>
    <row r="25" spans="2:4" ht="12.75" customHeight="1" x14ac:dyDescent="0.35">
      <c r="B25" s="104"/>
      <c r="C25" s="97" t="s">
        <v>3206</v>
      </c>
    </row>
    <row r="26" spans="2:4" ht="12.75" customHeight="1" x14ac:dyDescent="0.35"/>
    <row r="27" spans="2:4" ht="12.75" customHeight="1" x14ac:dyDescent="0.35"/>
    <row r="28" spans="2:4" ht="12.75" customHeight="1" x14ac:dyDescent="0.35"/>
    <row r="29" spans="2:4" ht="12.75" customHeight="1" x14ac:dyDescent="0.35"/>
    <row r="30" spans="2:4" ht="12.75" customHeight="1" x14ac:dyDescent="0.35"/>
    <row r="31" spans="2:4" ht="12.75" customHeight="1" x14ac:dyDescent="0.35">
      <c r="C31" s="97" t="s">
        <v>3205</v>
      </c>
    </row>
    <row r="32" spans="2:4" ht="12.75" customHeight="1" x14ac:dyDescent="0.35"/>
    <row r="33" spans="2:3" ht="12.75" customHeight="1" x14ac:dyDescent="0.35"/>
    <row r="34" spans="2:3" ht="12.75" customHeight="1" x14ac:dyDescent="0.35"/>
    <row r="35" spans="2:3" ht="12.75" customHeight="1" x14ac:dyDescent="0.35">
      <c r="B35" s="104"/>
      <c r="C35" s="97" t="s">
        <v>3206</v>
      </c>
    </row>
    <row r="36" spans="2:3" ht="12.75" customHeight="1" x14ac:dyDescent="0.35"/>
    <row r="37" spans="2:3" ht="12.75" customHeight="1" x14ac:dyDescent="0.35"/>
    <row r="38" spans="2:3" ht="12.75" customHeight="1" x14ac:dyDescent="0.35"/>
    <row r="39" spans="2:3" ht="12.75" customHeight="1" x14ac:dyDescent="0.35"/>
    <row r="40" spans="2:3" ht="12.75" customHeight="1" x14ac:dyDescent="0.35"/>
    <row r="41" spans="2:3" ht="12.75" customHeight="1" x14ac:dyDescent="0.35">
      <c r="C41" s="97" t="s">
        <v>3205</v>
      </c>
    </row>
    <row r="42" spans="2:3" ht="12.75" customHeight="1" x14ac:dyDescent="0.35"/>
    <row r="43" spans="2:3" ht="12.75" customHeight="1" x14ac:dyDescent="0.35"/>
    <row r="44" spans="2:3" ht="12.75" customHeight="1" x14ac:dyDescent="0.35"/>
    <row r="45" spans="2:3" ht="12.75" customHeight="1" x14ac:dyDescent="0.35">
      <c r="B45" s="104"/>
      <c r="C45" s="97" t="s">
        <v>3206</v>
      </c>
    </row>
    <row r="46" spans="2:3" ht="12.75" customHeight="1" x14ac:dyDescent="0.35"/>
    <row r="47" spans="2:3" ht="12.75" customHeight="1" x14ac:dyDescent="0.35"/>
    <row r="48" spans="2:3" ht="12.75" customHeight="1" x14ac:dyDescent="0.35"/>
    <row r="49" spans="2:3" ht="12.75" customHeight="1" x14ac:dyDescent="0.35"/>
    <row r="50" spans="2:3" ht="12.75" customHeight="1" x14ac:dyDescent="0.35"/>
    <row r="51" spans="2:3" ht="12.75" customHeight="1" x14ac:dyDescent="0.35">
      <c r="C51" s="97" t="s">
        <v>3205</v>
      </c>
    </row>
    <row r="52" spans="2:3" ht="12.75" customHeight="1" x14ac:dyDescent="0.35"/>
    <row r="53" spans="2:3" ht="12.75" customHeight="1" x14ac:dyDescent="0.35"/>
    <row r="54" spans="2:3" ht="12.75" customHeight="1" x14ac:dyDescent="0.35"/>
    <row r="55" spans="2:3" ht="12.75" customHeight="1" x14ac:dyDescent="0.35">
      <c r="B55" s="104"/>
      <c r="C55" s="97" t="s">
        <v>3206</v>
      </c>
    </row>
    <row r="56" spans="2:3" ht="12.75" customHeight="1" x14ac:dyDescent="0.35"/>
    <row r="57" spans="2:3" ht="12.75" customHeight="1" x14ac:dyDescent="0.35"/>
    <row r="58" spans="2:3" ht="12.75" customHeight="1" x14ac:dyDescent="0.35"/>
    <row r="59" spans="2:3" ht="12.75" customHeight="1" x14ac:dyDescent="0.35"/>
    <row r="60" spans="2:3" ht="12.75" customHeight="1" x14ac:dyDescent="0.35"/>
    <row r="61" spans="2:3" ht="12.75" customHeight="1" x14ac:dyDescent="0.35">
      <c r="C61" s="97" t="s">
        <v>3205</v>
      </c>
    </row>
    <row r="62" spans="2:3" ht="12.75" customHeight="1" x14ac:dyDescent="0.35"/>
    <row r="63" spans="2:3" ht="12.75" customHeight="1" x14ac:dyDescent="0.35"/>
    <row r="64" spans="2:3" ht="12.75" customHeight="1" x14ac:dyDescent="0.35"/>
    <row r="65" spans="2:3" ht="12.75" customHeight="1" x14ac:dyDescent="0.35">
      <c r="B65" s="104"/>
      <c r="C65" s="97" t="s">
        <v>3206</v>
      </c>
    </row>
    <row r="66" spans="2:3" ht="12.75" customHeight="1" x14ac:dyDescent="0.35"/>
    <row r="67" spans="2:3" ht="12.75" customHeight="1" x14ac:dyDescent="0.35"/>
    <row r="68" spans="2:3" ht="12.75" customHeight="1" x14ac:dyDescent="0.35"/>
    <row r="69" spans="2:3" ht="12.75" customHeight="1" x14ac:dyDescent="0.35"/>
    <row r="70" spans="2:3" ht="12.75" customHeight="1" x14ac:dyDescent="0.35"/>
    <row r="71" spans="2:3" ht="12.75" customHeight="1" x14ac:dyDescent="0.35">
      <c r="C71" s="97" t="s">
        <v>3205</v>
      </c>
    </row>
    <row r="72" spans="2:3" ht="12.75" customHeight="1" x14ac:dyDescent="0.35"/>
    <row r="73" spans="2:3" ht="12.75" customHeight="1" x14ac:dyDescent="0.35"/>
    <row r="74" spans="2:3" ht="12.75" customHeight="1" x14ac:dyDescent="0.35"/>
    <row r="75" spans="2:3" ht="12.75" customHeight="1" x14ac:dyDescent="0.35">
      <c r="B75" s="104"/>
      <c r="C75" s="97" t="s">
        <v>3206</v>
      </c>
    </row>
    <row r="76" spans="2:3" ht="12.75" customHeight="1" x14ac:dyDescent="0.35"/>
    <row r="77" spans="2:3" ht="12.75" customHeight="1" x14ac:dyDescent="0.35"/>
    <row r="78" spans="2:3" ht="12.75" customHeight="1" x14ac:dyDescent="0.35"/>
    <row r="79" spans="2:3" ht="12.75" customHeight="1" x14ac:dyDescent="0.35"/>
    <row r="80" spans="2:3" ht="12.75" customHeight="1" x14ac:dyDescent="0.35"/>
    <row r="81" spans="2:3" ht="12.75" customHeight="1" x14ac:dyDescent="0.35">
      <c r="C81" s="97" t="s">
        <v>3205</v>
      </c>
    </row>
    <row r="82" spans="2:3" ht="12.75" customHeight="1" x14ac:dyDescent="0.35"/>
    <row r="83" spans="2:3" ht="12.75" customHeight="1" x14ac:dyDescent="0.35"/>
    <row r="84" spans="2:3" ht="12.75" customHeight="1" x14ac:dyDescent="0.35"/>
    <row r="85" spans="2:3" ht="12.75" customHeight="1" x14ac:dyDescent="0.35">
      <c r="B85" s="104"/>
      <c r="C85" s="97" t="s">
        <v>3206</v>
      </c>
    </row>
    <row r="86" spans="2:3" ht="12.75" customHeight="1" x14ac:dyDescent="0.35"/>
    <row r="87" spans="2:3" ht="12.75" customHeight="1" x14ac:dyDescent="0.35"/>
    <row r="88" spans="2:3" ht="12.75" customHeight="1" x14ac:dyDescent="0.35"/>
    <row r="89" spans="2:3" ht="12.75" customHeight="1" x14ac:dyDescent="0.35"/>
    <row r="90" spans="2:3" ht="12.75" customHeight="1" x14ac:dyDescent="0.35"/>
    <row r="91" spans="2:3" ht="12.75" customHeight="1" x14ac:dyDescent="0.35">
      <c r="C91" s="97" t="s">
        <v>3205</v>
      </c>
    </row>
    <row r="92" spans="2:3" ht="12.75" customHeight="1" x14ac:dyDescent="0.35"/>
    <row r="93" spans="2:3" ht="12.75" customHeight="1" x14ac:dyDescent="0.35"/>
    <row r="94" spans="2:3" ht="12.75" customHeight="1" x14ac:dyDescent="0.35"/>
    <row r="95" spans="2:3" ht="12.75" customHeight="1" x14ac:dyDescent="0.35">
      <c r="B95" s="104"/>
      <c r="C95" s="97" t="s">
        <v>3206</v>
      </c>
    </row>
    <row r="96" spans="2:3" ht="12.75" customHeight="1" x14ac:dyDescent="0.35"/>
    <row r="97" spans="2:3" ht="12.75" customHeight="1" x14ac:dyDescent="0.35"/>
    <row r="98" spans="2:3" ht="12.75" customHeight="1" x14ac:dyDescent="0.35"/>
    <row r="99" spans="2:3" ht="12.75" customHeight="1" x14ac:dyDescent="0.35"/>
    <row r="100" spans="2:3" ht="12.75" customHeight="1" x14ac:dyDescent="0.35"/>
    <row r="101" spans="2:3" ht="12.75" customHeight="1" x14ac:dyDescent="0.35">
      <c r="C101" s="97" t="s">
        <v>3205</v>
      </c>
    </row>
    <row r="102" spans="2:3" ht="12.75" customHeight="1" x14ac:dyDescent="0.35"/>
    <row r="103" spans="2:3" ht="12.75" customHeight="1" x14ac:dyDescent="0.35"/>
    <row r="104" spans="2:3" ht="12.75" customHeight="1" x14ac:dyDescent="0.35"/>
    <row r="105" spans="2:3" ht="12.75" customHeight="1" x14ac:dyDescent="0.35">
      <c r="B105" s="104"/>
      <c r="C105" s="97" t="s">
        <v>3206</v>
      </c>
    </row>
    <row r="106" spans="2:3" ht="12.75" customHeight="1" x14ac:dyDescent="0.35"/>
    <row r="107" spans="2:3" ht="12.75" customHeight="1" x14ac:dyDescent="0.35"/>
    <row r="108" spans="2:3" ht="12.75" customHeight="1" x14ac:dyDescent="0.35"/>
    <row r="109" spans="2:3" ht="12.75" customHeight="1" x14ac:dyDescent="0.35"/>
    <row r="110" spans="2:3" ht="12.75" customHeight="1" x14ac:dyDescent="0.35"/>
    <row r="111" spans="2:3" ht="12.75" customHeight="1" x14ac:dyDescent="0.35">
      <c r="C111" s="97" t="s">
        <v>3205</v>
      </c>
    </row>
    <row r="112" spans="2:3" ht="12.75" customHeight="1" x14ac:dyDescent="0.35"/>
    <row r="113" spans="2:3" ht="12.75" customHeight="1" x14ac:dyDescent="0.35"/>
    <row r="114" spans="2:3" ht="12.75" customHeight="1" x14ac:dyDescent="0.35"/>
    <row r="115" spans="2:3" ht="12.75" customHeight="1" x14ac:dyDescent="0.35">
      <c r="B115" s="104"/>
      <c r="C115" s="97" t="s">
        <v>3206</v>
      </c>
    </row>
    <row r="116" spans="2:3" ht="12.75" customHeight="1" x14ac:dyDescent="0.35"/>
    <row r="117" spans="2:3" ht="12.75" customHeight="1" x14ac:dyDescent="0.35"/>
    <row r="118" spans="2:3" ht="12.75" customHeight="1" x14ac:dyDescent="0.35"/>
    <row r="119" spans="2:3" ht="12.75" customHeight="1" x14ac:dyDescent="0.35"/>
    <row r="120" spans="2:3" ht="12.75" customHeight="1" x14ac:dyDescent="0.35"/>
    <row r="121" spans="2:3" ht="12.75" customHeight="1" x14ac:dyDescent="0.35">
      <c r="C121" s="97" t="s">
        <v>3205</v>
      </c>
    </row>
    <row r="122" spans="2:3" ht="12.75" customHeight="1" x14ac:dyDescent="0.35"/>
    <row r="123" spans="2:3" ht="12.75" customHeight="1" x14ac:dyDescent="0.35"/>
    <row r="124" spans="2:3" ht="12.75" customHeight="1" x14ac:dyDescent="0.35"/>
    <row r="125" spans="2:3" ht="12.75" customHeight="1" x14ac:dyDescent="0.35">
      <c r="B125" s="104"/>
      <c r="C125" s="97" t="s">
        <v>3206</v>
      </c>
    </row>
    <row r="126" spans="2:3" ht="12.75" customHeight="1" x14ac:dyDescent="0.35"/>
    <row r="127" spans="2:3" ht="12.75" customHeight="1" x14ac:dyDescent="0.35"/>
    <row r="128" spans="2:3" ht="12.75" customHeight="1" x14ac:dyDescent="0.35"/>
    <row r="129" spans="2:3" ht="12.75" customHeight="1" x14ac:dyDescent="0.35"/>
    <row r="130" spans="2:3" ht="12.75" customHeight="1" x14ac:dyDescent="0.35"/>
    <row r="131" spans="2:3" ht="12.75" customHeight="1" x14ac:dyDescent="0.35">
      <c r="C131" s="97" t="s">
        <v>3205</v>
      </c>
    </row>
    <row r="132" spans="2:3" ht="12.75" customHeight="1" x14ac:dyDescent="0.35"/>
    <row r="133" spans="2:3" ht="12.75" customHeight="1" x14ac:dyDescent="0.35"/>
    <row r="134" spans="2:3" ht="12.75" customHeight="1" x14ac:dyDescent="0.35"/>
    <row r="135" spans="2:3" ht="12.75" customHeight="1" x14ac:dyDescent="0.35">
      <c r="B135" s="104"/>
      <c r="C135" s="97" t="s">
        <v>3206</v>
      </c>
    </row>
    <row r="136" spans="2:3" ht="12.75" customHeight="1" x14ac:dyDescent="0.35"/>
    <row r="137" spans="2:3" ht="12.75" customHeight="1" x14ac:dyDescent="0.35"/>
    <row r="138" spans="2:3" ht="12.75" customHeight="1" x14ac:dyDescent="0.35"/>
    <row r="139" spans="2:3" ht="12.75" customHeight="1" x14ac:dyDescent="0.35"/>
    <row r="140" spans="2:3" ht="12.75" customHeight="1" x14ac:dyDescent="0.35"/>
    <row r="141" spans="2:3" ht="12.75" customHeight="1" x14ac:dyDescent="0.35">
      <c r="C141" s="97" t="s">
        <v>3205</v>
      </c>
    </row>
    <row r="142" spans="2:3" ht="12.75" customHeight="1" x14ac:dyDescent="0.35"/>
    <row r="143" spans="2:3" ht="12.75" customHeight="1" x14ac:dyDescent="0.35"/>
    <row r="144" spans="2:3" ht="12.75" customHeight="1" x14ac:dyDescent="0.35"/>
    <row r="145" spans="2:3" ht="12.75" customHeight="1" x14ac:dyDescent="0.35">
      <c r="B145" s="104"/>
      <c r="C145" s="97" t="s">
        <v>3206</v>
      </c>
    </row>
    <row r="146" spans="2:3" ht="12.75" customHeight="1" x14ac:dyDescent="0.35"/>
    <row r="147" spans="2:3" ht="12.75" customHeight="1" x14ac:dyDescent="0.35"/>
    <row r="148" spans="2:3" ht="12.75" customHeight="1" x14ac:dyDescent="0.35"/>
    <row r="149" spans="2:3" ht="12.75" customHeight="1" x14ac:dyDescent="0.35"/>
    <row r="150" spans="2:3" ht="12.75" customHeight="1" x14ac:dyDescent="0.35">
      <c r="B150" s="97" t="s">
        <v>3204</v>
      </c>
    </row>
    <row r="151" spans="2:3" ht="12.75" customHeight="1" x14ac:dyDescent="0.35">
      <c r="C151" s="97" t="s">
        <v>3205</v>
      </c>
    </row>
    <row r="152" spans="2:3" ht="12.75" customHeight="1" x14ac:dyDescent="0.35"/>
    <row r="153" spans="2:3" ht="12.75" customHeight="1" x14ac:dyDescent="0.35"/>
    <row r="154" spans="2:3" ht="12.75" customHeight="1" x14ac:dyDescent="0.35">
      <c r="B154" s="97" t="s">
        <v>3204</v>
      </c>
    </row>
    <row r="155" spans="2:3" ht="12.75" customHeight="1" x14ac:dyDescent="0.35">
      <c r="B155" s="104"/>
      <c r="C155" s="97" t="s">
        <v>3206</v>
      </c>
    </row>
    <row r="156" spans="2:3" ht="12.75" customHeight="1" x14ac:dyDescent="0.35"/>
    <row r="157" spans="2:3" ht="12.75" customHeight="1" x14ac:dyDescent="0.35"/>
    <row r="158" spans="2:3" ht="12.75" customHeight="1" x14ac:dyDescent="0.35"/>
    <row r="159" spans="2:3" ht="12.75" customHeight="1" x14ac:dyDescent="0.35"/>
    <row r="160" spans="2:3" ht="12.75" customHeight="1" x14ac:dyDescent="0.35">
      <c r="B160" s="97" t="s">
        <v>3204</v>
      </c>
    </row>
    <row r="161" spans="2:3" ht="12.75" customHeight="1" x14ac:dyDescent="0.35">
      <c r="C161" s="97" t="s">
        <v>3205</v>
      </c>
    </row>
    <row r="162" spans="2:3" ht="12.75" customHeight="1" x14ac:dyDescent="0.35"/>
    <row r="163" spans="2:3" ht="12.75" customHeight="1" x14ac:dyDescent="0.35"/>
    <row r="164" spans="2:3" ht="12.75" customHeight="1" x14ac:dyDescent="0.35">
      <c r="B164" s="97" t="s">
        <v>3204</v>
      </c>
    </row>
    <row r="165" spans="2:3" ht="12.75" customHeight="1" x14ac:dyDescent="0.35">
      <c r="B165" s="104"/>
      <c r="C165" s="97" t="s">
        <v>3206</v>
      </c>
    </row>
    <row r="166" spans="2:3" ht="12.75" customHeight="1" x14ac:dyDescent="0.35"/>
    <row r="167" spans="2:3" ht="12.75" customHeight="1" x14ac:dyDescent="0.35"/>
    <row r="168" spans="2:3" ht="12.75" customHeight="1" x14ac:dyDescent="0.35"/>
    <row r="169" spans="2:3" ht="12.75" customHeight="1" x14ac:dyDescent="0.35"/>
    <row r="170" spans="2:3" ht="12.75" customHeight="1" x14ac:dyDescent="0.35">
      <c r="B170" s="97" t="s">
        <v>3204</v>
      </c>
    </row>
    <row r="171" spans="2:3" ht="12.75" customHeight="1" x14ac:dyDescent="0.35">
      <c r="C171" s="97" t="s">
        <v>3205</v>
      </c>
    </row>
    <row r="172" spans="2:3" ht="12.75" customHeight="1" x14ac:dyDescent="0.35"/>
    <row r="173" spans="2:3" ht="12.75" customHeight="1" x14ac:dyDescent="0.35"/>
    <row r="174" spans="2:3" ht="12.75" customHeight="1" x14ac:dyDescent="0.35">
      <c r="B174" s="97" t="s">
        <v>3204</v>
      </c>
    </row>
    <row r="175" spans="2:3" ht="12.75" customHeight="1" x14ac:dyDescent="0.35">
      <c r="B175" s="104"/>
      <c r="C175" s="97" t="s">
        <v>3206</v>
      </c>
    </row>
    <row r="176" spans="2:3" ht="12.75" customHeight="1" x14ac:dyDescent="0.35"/>
    <row r="177" spans="2:3" ht="12.75" customHeight="1" x14ac:dyDescent="0.35"/>
    <row r="178" spans="2:3" ht="12.75" customHeight="1" x14ac:dyDescent="0.35"/>
    <row r="179" spans="2:3" ht="12.75" customHeight="1" x14ac:dyDescent="0.35"/>
    <row r="180" spans="2:3" ht="12.75" customHeight="1" x14ac:dyDescent="0.35">
      <c r="B180" s="97" t="s">
        <v>3204</v>
      </c>
    </row>
    <row r="181" spans="2:3" ht="12.75" customHeight="1" x14ac:dyDescent="0.35">
      <c r="C181" s="97" t="s">
        <v>3205</v>
      </c>
    </row>
    <row r="182" spans="2:3" ht="12.75" customHeight="1" x14ac:dyDescent="0.35"/>
    <row r="183" spans="2:3" ht="12.75" customHeight="1" x14ac:dyDescent="0.35"/>
    <row r="184" spans="2:3" ht="12.75" customHeight="1" x14ac:dyDescent="0.35">
      <c r="B184" s="97" t="s">
        <v>3204</v>
      </c>
    </row>
    <row r="185" spans="2:3" ht="12.75" customHeight="1" x14ac:dyDescent="0.35">
      <c r="B185" s="104"/>
      <c r="C185" s="97" t="s">
        <v>3206</v>
      </c>
    </row>
    <row r="186" spans="2:3" ht="12.75" customHeight="1" x14ac:dyDescent="0.35"/>
    <row r="187" spans="2:3" ht="12.75" customHeight="1" x14ac:dyDescent="0.35"/>
    <row r="188" spans="2:3" ht="12.75" customHeight="1" x14ac:dyDescent="0.35"/>
    <row r="189" spans="2:3" ht="12.75" customHeight="1" x14ac:dyDescent="0.35"/>
    <row r="190" spans="2:3" ht="12.75" customHeight="1" x14ac:dyDescent="0.35">
      <c r="B190" s="97" t="s">
        <v>3204</v>
      </c>
    </row>
    <row r="191" spans="2:3" ht="12.75" customHeight="1" x14ac:dyDescent="0.35">
      <c r="C191" s="97" t="s">
        <v>3205</v>
      </c>
    </row>
    <row r="192" spans="2:3" ht="12.75" customHeight="1" x14ac:dyDescent="0.35"/>
    <row r="193" spans="2:3" ht="12.75" customHeight="1" x14ac:dyDescent="0.35"/>
    <row r="194" spans="2:3" ht="12.75" customHeight="1" x14ac:dyDescent="0.35">
      <c r="B194" s="97" t="s">
        <v>3204</v>
      </c>
    </row>
    <row r="195" spans="2:3" ht="12.75" customHeight="1" x14ac:dyDescent="0.35">
      <c r="B195" s="104"/>
      <c r="C195" s="97" t="s">
        <v>3206</v>
      </c>
    </row>
    <row r="196" spans="2:3" ht="12.75" customHeight="1" x14ac:dyDescent="0.35"/>
    <row r="197" spans="2:3" ht="12.75" customHeight="1" x14ac:dyDescent="0.35"/>
    <row r="198" spans="2:3" ht="12.75" customHeight="1" x14ac:dyDescent="0.35"/>
    <row r="199" spans="2:3" ht="12.75" customHeight="1" x14ac:dyDescent="0.35"/>
    <row r="200" spans="2:3" ht="12.75" customHeight="1" x14ac:dyDescent="0.35">
      <c r="B200" s="97" t="s">
        <v>3204</v>
      </c>
    </row>
    <row r="201" spans="2:3" ht="12.75" customHeight="1" x14ac:dyDescent="0.35">
      <c r="C201" s="97" t="s">
        <v>3205</v>
      </c>
    </row>
    <row r="202" spans="2:3" ht="12.75" customHeight="1" x14ac:dyDescent="0.35"/>
    <row r="203" spans="2:3" ht="12.75" customHeight="1" x14ac:dyDescent="0.35"/>
    <row r="204" spans="2:3" ht="12.75" customHeight="1" x14ac:dyDescent="0.35">
      <c r="B204" s="97" t="s">
        <v>3204</v>
      </c>
    </row>
    <row r="205" spans="2:3" ht="12.75" customHeight="1" x14ac:dyDescent="0.35">
      <c r="B205" s="104"/>
      <c r="C205" s="97" t="s">
        <v>3206</v>
      </c>
    </row>
    <row r="206" spans="2:3" ht="12.75" customHeight="1" x14ac:dyDescent="0.35"/>
    <row r="207" spans="2:3" ht="12.75" customHeight="1" x14ac:dyDescent="0.35"/>
    <row r="208" spans="2:3" ht="12.75" customHeight="1" x14ac:dyDescent="0.35"/>
    <row r="209" spans="2:3" ht="12.75" customHeight="1" x14ac:dyDescent="0.35"/>
    <row r="210" spans="2:3" ht="12.75" customHeight="1" x14ac:dyDescent="0.35">
      <c r="B210" s="97" t="s">
        <v>3204</v>
      </c>
    </row>
    <row r="211" spans="2:3" ht="12.75" customHeight="1" x14ac:dyDescent="0.35">
      <c r="C211" s="97" t="s">
        <v>3205</v>
      </c>
    </row>
    <row r="212" spans="2:3" ht="12.75" customHeight="1" x14ac:dyDescent="0.35"/>
    <row r="213" spans="2:3" ht="12.75" customHeight="1" x14ac:dyDescent="0.35"/>
    <row r="214" spans="2:3" ht="12.75" customHeight="1" x14ac:dyDescent="0.35">
      <c r="B214" s="97" t="s">
        <v>3204</v>
      </c>
    </row>
    <row r="215" spans="2:3" ht="12.75" customHeight="1" x14ac:dyDescent="0.35">
      <c r="B215" s="104"/>
      <c r="C215" s="97" t="s">
        <v>3206</v>
      </c>
    </row>
    <row r="216" spans="2:3" ht="12.75" customHeight="1" x14ac:dyDescent="0.35"/>
    <row r="217" spans="2:3" ht="12.75" customHeight="1" x14ac:dyDescent="0.35"/>
    <row r="218" spans="2:3" ht="12.75" customHeight="1" x14ac:dyDescent="0.35"/>
    <row r="219" spans="2:3" ht="12.75" customHeight="1" x14ac:dyDescent="0.35"/>
    <row r="220" spans="2:3" ht="12.75" customHeight="1" x14ac:dyDescent="0.35">
      <c r="B220" s="97" t="s">
        <v>3204</v>
      </c>
    </row>
    <row r="221" spans="2:3" ht="12.75" customHeight="1" x14ac:dyDescent="0.35">
      <c r="C221" s="97" t="s">
        <v>3205</v>
      </c>
    </row>
    <row r="222" spans="2:3" ht="12.75" customHeight="1" x14ac:dyDescent="0.35"/>
    <row r="223" spans="2:3" ht="12.75" customHeight="1" x14ac:dyDescent="0.35"/>
    <row r="224" spans="2:3" ht="12.75" customHeight="1" x14ac:dyDescent="0.35">
      <c r="B224" s="97" t="s">
        <v>3204</v>
      </c>
    </row>
    <row r="225" spans="2:3" ht="12.75" customHeight="1" x14ac:dyDescent="0.35">
      <c r="B225" s="104"/>
      <c r="C225" s="97" t="s">
        <v>3206</v>
      </c>
    </row>
    <row r="226" spans="2:3" ht="12.75" customHeight="1" x14ac:dyDescent="0.35"/>
    <row r="227" spans="2:3" ht="12.75" customHeight="1" x14ac:dyDescent="0.35"/>
    <row r="228" spans="2:3" ht="12.75" customHeight="1" x14ac:dyDescent="0.35"/>
    <row r="229" spans="2:3" ht="12.75" customHeight="1" x14ac:dyDescent="0.35"/>
    <row r="230" spans="2:3" ht="12.75" customHeight="1" x14ac:dyDescent="0.35">
      <c r="B230" s="97" t="s">
        <v>3204</v>
      </c>
    </row>
    <row r="231" spans="2:3" ht="12.75" customHeight="1" x14ac:dyDescent="0.35">
      <c r="C231" s="97" t="s">
        <v>3205</v>
      </c>
    </row>
    <row r="232" spans="2:3" ht="12.75" customHeight="1" x14ac:dyDescent="0.35"/>
    <row r="233" spans="2:3" ht="12.75" customHeight="1" x14ac:dyDescent="0.35"/>
    <row r="234" spans="2:3" ht="12.75" customHeight="1" x14ac:dyDescent="0.35">
      <c r="B234" s="97" t="s">
        <v>3204</v>
      </c>
    </row>
    <row r="235" spans="2:3" ht="12.75" customHeight="1" x14ac:dyDescent="0.35">
      <c r="B235" s="104"/>
      <c r="C235" s="97" t="s">
        <v>3206</v>
      </c>
    </row>
    <row r="236" spans="2:3" ht="12.75" customHeight="1" x14ac:dyDescent="0.35"/>
    <row r="237" spans="2:3" ht="12.75" customHeight="1" x14ac:dyDescent="0.35"/>
    <row r="238" spans="2:3" ht="12.75" customHeight="1" x14ac:dyDescent="0.35"/>
    <row r="239" spans="2:3" ht="12.75" customHeight="1" x14ac:dyDescent="0.35"/>
    <row r="240" spans="2:3" ht="12.75" customHeight="1" x14ac:dyDescent="0.35">
      <c r="B240" s="97" t="s">
        <v>3204</v>
      </c>
    </row>
    <row r="241" spans="2:3" ht="12.75" customHeight="1" x14ac:dyDescent="0.35">
      <c r="C241" s="97" t="s">
        <v>3205</v>
      </c>
    </row>
    <row r="242" spans="2:3" ht="12.75" customHeight="1" x14ac:dyDescent="0.35"/>
    <row r="243" spans="2:3" ht="12.75" customHeight="1" x14ac:dyDescent="0.35"/>
    <row r="244" spans="2:3" ht="12.75" customHeight="1" x14ac:dyDescent="0.35">
      <c r="B244" s="97" t="s">
        <v>3204</v>
      </c>
    </row>
    <row r="245" spans="2:3" ht="12.75" customHeight="1" x14ac:dyDescent="0.35">
      <c r="B245" s="104"/>
      <c r="C245" s="97" t="s">
        <v>3206</v>
      </c>
    </row>
    <row r="246" spans="2:3" ht="12.75" customHeight="1" x14ac:dyDescent="0.35"/>
    <row r="247" spans="2:3" ht="12.75" customHeight="1" x14ac:dyDescent="0.35"/>
    <row r="248" spans="2:3" ht="12.75" customHeight="1" x14ac:dyDescent="0.35"/>
    <row r="249" spans="2:3" ht="12.75" customHeight="1" x14ac:dyDescent="0.35"/>
    <row r="250" spans="2:3" ht="12.75" customHeight="1" x14ac:dyDescent="0.35">
      <c r="B250" s="97" t="s">
        <v>3204</v>
      </c>
    </row>
    <row r="251" spans="2:3" ht="12.75" customHeight="1" x14ac:dyDescent="0.35">
      <c r="C251" s="97" t="s">
        <v>3205</v>
      </c>
    </row>
    <row r="252" spans="2:3" ht="12.75" customHeight="1" x14ac:dyDescent="0.35"/>
    <row r="253" spans="2:3" ht="12.75" customHeight="1" x14ac:dyDescent="0.35"/>
    <row r="254" spans="2:3" ht="12.75" customHeight="1" x14ac:dyDescent="0.35">
      <c r="B254" s="97" t="s">
        <v>3204</v>
      </c>
    </row>
    <row r="255" spans="2:3" ht="12.75" customHeight="1" x14ac:dyDescent="0.35">
      <c r="B255" s="104"/>
      <c r="C255" s="97" t="s">
        <v>3206</v>
      </c>
    </row>
    <row r="256" spans="2:3" ht="12.75" customHeight="1" x14ac:dyDescent="0.35"/>
    <row r="257" spans="2:3" ht="12.75" customHeight="1" x14ac:dyDescent="0.35"/>
    <row r="258" spans="2:3" ht="12.75" customHeight="1" x14ac:dyDescent="0.35"/>
    <row r="259" spans="2:3" ht="12.75" customHeight="1" x14ac:dyDescent="0.35"/>
    <row r="260" spans="2:3" ht="12.75" customHeight="1" x14ac:dyDescent="0.35">
      <c r="B260" s="97" t="s">
        <v>3204</v>
      </c>
    </row>
    <row r="261" spans="2:3" ht="12.75" customHeight="1" x14ac:dyDescent="0.35">
      <c r="C261" s="97" t="s">
        <v>3205</v>
      </c>
    </row>
    <row r="262" spans="2:3" ht="12.75" customHeight="1" x14ac:dyDescent="0.35"/>
    <row r="263" spans="2:3" ht="12.75" customHeight="1" x14ac:dyDescent="0.35"/>
    <row r="264" spans="2:3" ht="12.75" customHeight="1" x14ac:dyDescent="0.35">
      <c r="B264" s="97" t="s">
        <v>3204</v>
      </c>
    </row>
    <row r="265" spans="2:3" ht="12.75" customHeight="1" x14ac:dyDescent="0.35">
      <c r="B265" s="104"/>
      <c r="C265" s="97" t="s">
        <v>3206</v>
      </c>
    </row>
    <row r="266" spans="2:3" ht="12.75" customHeight="1" x14ac:dyDescent="0.35"/>
    <row r="267" spans="2:3" ht="12.75" customHeight="1" x14ac:dyDescent="0.35"/>
    <row r="268" spans="2:3" ht="12.75" customHeight="1" x14ac:dyDescent="0.35"/>
    <row r="269" spans="2:3" ht="12.75" customHeight="1" x14ac:dyDescent="0.35"/>
    <row r="270" spans="2:3" ht="12.75" customHeight="1" x14ac:dyDescent="0.35">
      <c r="B270" s="97" t="s">
        <v>3204</v>
      </c>
    </row>
    <row r="271" spans="2:3" ht="12.75" customHeight="1" x14ac:dyDescent="0.35">
      <c r="C271" s="97" t="s">
        <v>3205</v>
      </c>
    </row>
    <row r="272" spans="2:3" ht="12.75" customHeight="1" x14ac:dyDescent="0.35"/>
    <row r="273" spans="2:3" ht="12.75" customHeight="1" x14ac:dyDescent="0.35"/>
    <row r="274" spans="2:3" ht="12.75" customHeight="1" x14ac:dyDescent="0.35">
      <c r="B274" s="97" t="s">
        <v>3204</v>
      </c>
    </row>
    <row r="275" spans="2:3" ht="12.75" customHeight="1" x14ac:dyDescent="0.35">
      <c r="B275" s="104"/>
      <c r="C275" s="97" t="s">
        <v>3206</v>
      </c>
    </row>
    <row r="276" spans="2:3" ht="12.75" customHeight="1" x14ac:dyDescent="0.35"/>
    <row r="277" spans="2:3" ht="12.75" customHeight="1" x14ac:dyDescent="0.35"/>
    <row r="278" spans="2:3" ht="12.75" customHeight="1" x14ac:dyDescent="0.35"/>
    <row r="279" spans="2:3" ht="12.75" customHeight="1" x14ac:dyDescent="0.35"/>
    <row r="280" spans="2:3" ht="12.75" customHeight="1" x14ac:dyDescent="0.35">
      <c r="B280" s="97" t="s">
        <v>3204</v>
      </c>
    </row>
    <row r="281" spans="2:3" ht="12.75" customHeight="1" x14ac:dyDescent="0.35">
      <c r="C281" s="97" t="s">
        <v>3205</v>
      </c>
    </row>
    <row r="282" spans="2:3" ht="12.75" customHeight="1" x14ac:dyDescent="0.35"/>
    <row r="283" spans="2:3" ht="12.75" customHeight="1" x14ac:dyDescent="0.35"/>
    <row r="284" spans="2:3" ht="12.75" customHeight="1" x14ac:dyDescent="0.35">
      <c r="B284" s="97" t="s">
        <v>3204</v>
      </c>
    </row>
    <row r="285" spans="2:3" ht="12.75" customHeight="1" x14ac:dyDescent="0.35">
      <c r="B285" s="104"/>
      <c r="C285" s="97" t="s">
        <v>3206</v>
      </c>
    </row>
    <row r="286" spans="2:3" ht="12.75" customHeight="1" x14ac:dyDescent="0.35"/>
    <row r="287" spans="2:3" ht="12.75" customHeight="1" x14ac:dyDescent="0.35"/>
    <row r="288" spans="2:3" ht="12.75" customHeight="1" x14ac:dyDescent="0.35"/>
    <row r="289" spans="2:3" ht="12.75" customHeight="1" x14ac:dyDescent="0.35"/>
    <row r="290" spans="2:3" ht="12.75" customHeight="1" x14ac:dyDescent="0.35">
      <c r="B290" s="97" t="s">
        <v>3204</v>
      </c>
    </row>
    <row r="291" spans="2:3" ht="12.75" customHeight="1" x14ac:dyDescent="0.35">
      <c r="C291" s="97" t="s">
        <v>3205</v>
      </c>
    </row>
    <row r="292" spans="2:3" ht="12.75" customHeight="1" x14ac:dyDescent="0.35"/>
    <row r="293" spans="2:3" ht="12.75" customHeight="1" x14ac:dyDescent="0.35"/>
    <row r="294" spans="2:3" ht="12.75" customHeight="1" x14ac:dyDescent="0.35">
      <c r="B294" s="97" t="s">
        <v>3204</v>
      </c>
    </row>
    <row r="295" spans="2:3" ht="12.75" customHeight="1" x14ac:dyDescent="0.35">
      <c r="B295" s="104"/>
      <c r="C295" s="97" t="s">
        <v>3206</v>
      </c>
    </row>
    <row r="296" spans="2:3" ht="12.75" customHeight="1" x14ac:dyDescent="0.35"/>
    <row r="297" spans="2:3" ht="12.75" customHeight="1" x14ac:dyDescent="0.35"/>
    <row r="298" spans="2:3" ht="12.75" customHeight="1" x14ac:dyDescent="0.35"/>
    <row r="299" spans="2:3" ht="12.75" customHeight="1" x14ac:dyDescent="0.35"/>
    <row r="300" spans="2:3" ht="12.75" customHeight="1" x14ac:dyDescent="0.35">
      <c r="B300" s="97" t="s">
        <v>3204</v>
      </c>
    </row>
    <row r="301" spans="2:3" ht="12.75" customHeight="1" x14ac:dyDescent="0.35">
      <c r="C301" s="97" t="s">
        <v>3205</v>
      </c>
    </row>
    <row r="302" spans="2:3" ht="12.75" customHeight="1" x14ac:dyDescent="0.35"/>
    <row r="303" spans="2:3" ht="12.75" customHeight="1" x14ac:dyDescent="0.35"/>
    <row r="304" spans="2:3" ht="12.75" customHeight="1" x14ac:dyDescent="0.35">
      <c r="B304" s="97" t="s">
        <v>3204</v>
      </c>
    </row>
    <row r="305" spans="2:3" ht="12.75" customHeight="1" x14ac:dyDescent="0.35">
      <c r="B305" s="104"/>
      <c r="C305" s="97" t="s">
        <v>3206</v>
      </c>
    </row>
    <row r="306" spans="2:3" ht="12.75" customHeight="1" x14ac:dyDescent="0.35"/>
    <row r="307" spans="2:3" ht="12.75" customHeight="1" x14ac:dyDescent="0.35"/>
    <row r="308" spans="2:3" ht="12.75" customHeight="1" x14ac:dyDescent="0.35"/>
    <row r="309" spans="2:3" ht="12.75" customHeight="1" x14ac:dyDescent="0.35"/>
    <row r="310" spans="2:3" ht="12.75" customHeight="1" x14ac:dyDescent="0.35">
      <c r="B310" s="97" t="s">
        <v>3204</v>
      </c>
    </row>
    <row r="311" spans="2:3" ht="12.75" customHeight="1" x14ac:dyDescent="0.35">
      <c r="C311" s="97" t="s">
        <v>3205</v>
      </c>
    </row>
    <row r="312" spans="2:3" ht="12.75" customHeight="1" x14ac:dyDescent="0.35"/>
    <row r="313" spans="2:3" ht="12.75" customHeight="1" x14ac:dyDescent="0.35"/>
    <row r="314" spans="2:3" ht="12.75" customHeight="1" x14ac:dyDescent="0.35">
      <c r="B314" s="97" t="s">
        <v>3204</v>
      </c>
    </row>
    <row r="315" spans="2:3" ht="12.75" customHeight="1" x14ac:dyDescent="0.35">
      <c r="B315" s="104"/>
      <c r="C315" s="97" t="s">
        <v>3206</v>
      </c>
    </row>
    <row r="316" spans="2:3" ht="12.75" customHeight="1" x14ac:dyDescent="0.35"/>
    <row r="317" spans="2:3" ht="12.75" customHeight="1" x14ac:dyDescent="0.35"/>
    <row r="318" spans="2:3" ht="12.75" customHeight="1" x14ac:dyDescent="0.35">
      <c r="B318" s="97" t="s">
        <v>3207</v>
      </c>
    </row>
    <row r="319" spans="2:3" ht="12.75" customHeight="1" x14ac:dyDescent="0.35">
      <c r="B319" s="97" t="s">
        <v>3208</v>
      </c>
    </row>
    <row r="320" spans="2:3" ht="12.75" customHeight="1" x14ac:dyDescent="0.35">
      <c r="B320" s="97" t="s">
        <v>2273</v>
      </c>
    </row>
    <row r="321" spans="1:4" ht="12.75" customHeight="1" x14ac:dyDescent="0.35">
      <c r="B321" s="97" t="s">
        <v>3209</v>
      </c>
    </row>
    <row r="322" spans="1:4" ht="12.75" customHeight="1" x14ac:dyDescent="0.35">
      <c r="B322" s="97" t="s">
        <v>3205</v>
      </c>
    </row>
    <row r="323" spans="1:4" ht="12.75" customHeight="1" x14ac:dyDescent="0.35">
      <c r="B323" s="97" t="s">
        <v>3210</v>
      </c>
    </row>
    <row r="324" spans="1:4" ht="12.75" customHeight="1" x14ac:dyDescent="0.35">
      <c r="B324" s="97" t="s">
        <v>3208</v>
      </c>
    </row>
    <row r="325" spans="1:4" ht="12.75" customHeight="1" x14ac:dyDescent="0.35">
      <c r="B325" s="97" t="s">
        <v>3202</v>
      </c>
    </row>
    <row r="326" spans="1:4" ht="12.75" customHeight="1" x14ac:dyDescent="0.35">
      <c r="B326" s="97" t="s">
        <v>3209</v>
      </c>
    </row>
    <row r="327" spans="1:4" ht="12.75" customHeight="1" x14ac:dyDescent="0.35">
      <c r="A327" s="104"/>
      <c r="B327" s="97" t="s">
        <v>3206</v>
      </c>
    </row>
    <row r="328" spans="1:4" ht="12.75" customHeight="1" x14ac:dyDescent="0.35"/>
    <row r="329" spans="1:4" ht="12.75" customHeight="1" x14ac:dyDescent="0.35">
      <c r="B329" s="97" t="s">
        <v>3211</v>
      </c>
    </row>
    <row r="330" spans="1:4" ht="12.75" customHeight="1" x14ac:dyDescent="0.35">
      <c r="B330" s="97" t="s">
        <v>3212</v>
      </c>
    </row>
    <row r="331" spans="1:4" ht="12.75" customHeight="1" x14ac:dyDescent="0.35">
      <c r="B331" s="97" t="s">
        <v>3213</v>
      </c>
    </row>
    <row r="332" spans="1:4" ht="12.75" customHeight="1" x14ac:dyDescent="0.35">
      <c r="B332" s="97" t="s">
        <v>3214</v>
      </c>
    </row>
    <row r="333" spans="1:4" ht="12.75" customHeight="1" x14ac:dyDescent="0.35">
      <c r="B333" s="97" t="s">
        <v>3215</v>
      </c>
    </row>
    <row r="334" spans="1:4" ht="12.75" customHeight="1" x14ac:dyDescent="0.35"/>
    <row r="335" spans="1:4" ht="12.75" customHeight="1" x14ac:dyDescent="0.35">
      <c r="B335" s="97" t="s">
        <v>3216</v>
      </c>
      <c r="D335" s="97" t="s">
        <v>3217</v>
      </c>
    </row>
    <row r="336" spans="1:4" ht="12.75" customHeight="1" x14ac:dyDescent="0.35">
      <c r="B336" s="97" t="s">
        <v>3218</v>
      </c>
    </row>
    <row r="337" spans="2:3" ht="12.75" customHeight="1" x14ac:dyDescent="0.35">
      <c r="B337" s="97" t="s">
        <v>3219</v>
      </c>
    </row>
    <row r="338" spans="2:3" ht="12.75" customHeight="1" x14ac:dyDescent="0.35">
      <c r="B338" s="97" t="s">
        <v>3220</v>
      </c>
    </row>
    <row r="339" spans="2:3" ht="12.75" customHeight="1" x14ac:dyDescent="0.35">
      <c r="B339" s="97" t="s">
        <v>3221</v>
      </c>
    </row>
    <row r="340" spans="2:3" ht="12.75" customHeight="1" x14ac:dyDescent="0.35">
      <c r="B340" s="97" t="s">
        <v>3222</v>
      </c>
    </row>
    <row r="341" spans="2:3" ht="12.75" customHeight="1" x14ac:dyDescent="0.35">
      <c r="B341" s="97" t="s">
        <v>3223</v>
      </c>
    </row>
    <row r="342" spans="2:3" ht="12.75" customHeight="1" x14ac:dyDescent="0.35">
      <c r="B342" s="97" t="s">
        <v>3224</v>
      </c>
    </row>
    <row r="343" spans="2:3" ht="12.75" customHeight="1" x14ac:dyDescent="0.35">
      <c r="B343" s="97" t="s">
        <v>3225</v>
      </c>
    </row>
    <row r="344" spans="2:3" ht="12.75" customHeight="1" x14ac:dyDescent="0.35">
      <c r="B344" s="97" t="s">
        <v>3226</v>
      </c>
    </row>
    <row r="345" spans="2:3" ht="12.75" customHeight="1" x14ac:dyDescent="0.35">
      <c r="B345" s="97" t="s">
        <v>3227</v>
      </c>
    </row>
    <row r="346" spans="2:3" ht="12.75" customHeight="1" x14ac:dyDescent="0.35">
      <c r="B346" s="97" t="s">
        <v>3228</v>
      </c>
    </row>
    <row r="347" spans="2:3" ht="12.75" customHeight="1" x14ac:dyDescent="0.35">
      <c r="C347" s="97" t="s">
        <v>3229</v>
      </c>
    </row>
    <row r="348" spans="2:3" ht="12.75" customHeight="1" x14ac:dyDescent="0.35"/>
    <row r="349" spans="2:3" ht="12.75" customHeight="1" x14ac:dyDescent="0.35">
      <c r="C349" s="97" t="s">
        <v>3230</v>
      </c>
    </row>
    <row r="350" spans="2:3" ht="12.75" customHeight="1" x14ac:dyDescent="0.35">
      <c r="C350" s="97" t="s">
        <v>2273</v>
      </c>
    </row>
    <row r="351" spans="2:3" ht="12.75" customHeight="1" x14ac:dyDescent="0.35">
      <c r="C351" s="97" t="s">
        <v>3024</v>
      </c>
    </row>
    <row r="352" spans="2:3" ht="12.75" customHeight="1" x14ac:dyDescent="0.35"/>
    <row r="353" ht="12.75" customHeight="1" x14ac:dyDescent="0.35"/>
    <row r="354" ht="12.75" customHeight="1" x14ac:dyDescent="0.35"/>
    <row r="355" ht="12.75" customHeight="1" x14ac:dyDescent="0.35"/>
    <row r="356" ht="12.75" customHeight="1" x14ac:dyDescent="0.35"/>
    <row r="357" ht="12.75" customHeight="1" x14ac:dyDescent="0.35"/>
    <row r="358" ht="12.75" customHeight="1" x14ac:dyDescent="0.35"/>
    <row r="359" ht="12.75" customHeight="1" x14ac:dyDescent="0.35"/>
    <row r="360" ht="12.75" customHeight="1" x14ac:dyDescent="0.35"/>
    <row r="361" ht="12.75" customHeight="1" x14ac:dyDescent="0.35"/>
    <row r="362" ht="12.75" customHeight="1" x14ac:dyDescent="0.35"/>
    <row r="363" ht="12.75" customHeight="1" x14ac:dyDescent="0.35"/>
    <row r="364" ht="12.75" customHeight="1" x14ac:dyDescent="0.35"/>
    <row r="365" ht="12.75" customHeight="1" x14ac:dyDescent="0.35"/>
    <row r="366" ht="12.75" customHeight="1" x14ac:dyDescent="0.35"/>
    <row r="367" ht="12.75" customHeight="1" x14ac:dyDescent="0.35"/>
    <row r="368" ht="12.75" customHeight="1" x14ac:dyDescent="0.35"/>
    <row r="369" ht="12.75" customHeight="1" x14ac:dyDescent="0.35"/>
    <row r="370" ht="12.75" customHeight="1" x14ac:dyDescent="0.35"/>
    <row r="371" ht="12.75" customHeight="1" x14ac:dyDescent="0.35"/>
    <row r="372" ht="12.75" customHeight="1" x14ac:dyDescent="0.35"/>
    <row r="373" ht="12.75" customHeight="1" x14ac:dyDescent="0.35"/>
    <row r="374" ht="12.75" customHeight="1" x14ac:dyDescent="0.35"/>
    <row r="375" ht="12.75" customHeight="1" x14ac:dyDescent="0.35"/>
    <row r="376" ht="12.75" customHeight="1" x14ac:dyDescent="0.35"/>
    <row r="377" ht="12.75" customHeight="1" x14ac:dyDescent="0.35"/>
    <row r="378" ht="12.75" customHeight="1" x14ac:dyDescent="0.35"/>
    <row r="379" ht="12.75" customHeight="1" x14ac:dyDescent="0.35"/>
    <row r="380" ht="12.75" customHeight="1" x14ac:dyDescent="0.35"/>
    <row r="381" ht="12.75" customHeight="1" x14ac:dyDescent="0.35"/>
    <row r="382" ht="12.75" customHeight="1" x14ac:dyDescent="0.35"/>
    <row r="383" ht="12.75" customHeight="1" x14ac:dyDescent="0.35"/>
    <row r="384" ht="12.75" customHeight="1" x14ac:dyDescent="0.35"/>
    <row r="385" spans="3:3" ht="12.75" customHeight="1" x14ac:dyDescent="0.35">
      <c r="C385" s="97" t="s">
        <v>3231</v>
      </c>
    </row>
    <row r="386" spans="3:3" ht="12.75" customHeight="1" x14ac:dyDescent="0.35"/>
    <row r="387" spans="3:3" ht="12.75" customHeight="1" x14ac:dyDescent="0.35"/>
    <row r="388" spans="3:3" ht="12.75" customHeight="1" x14ac:dyDescent="0.35"/>
    <row r="389" spans="3:3" ht="12.75" customHeight="1" x14ac:dyDescent="0.35"/>
    <row r="390" spans="3:3" ht="12.75" customHeight="1" x14ac:dyDescent="0.35"/>
    <row r="391" spans="3:3" ht="12.75" customHeight="1" x14ac:dyDescent="0.35"/>
    <row r="392" spans="3:3" ht="12.75" customHeight="1" x14ac:dyDescent="0.35"/>
    <row r="393" spans="3:3" ht="12.75" customHeight="1" x14ac:dyDescent="0.35"/>
    <row r="394" spans="3:3" ht="12.75" customHeight="1" x14ac:dyDescent="0.35"/>
    <row r="395" spans="3:3" ht="12.75" customHeight="1" x14ac:dyDescent="0.35"/>
    <row r="396" spans="3:3" ht="12.75" customHeight="1" x14ac:dyDescent="0.35"/>
    <row r="397" spans="3:3" ht="12.75" customHeight="1" x14ac:dyDescent="0.35"/>
    <row r="398" spans="3:3" ht="12.75" customHeight="1" x14ac:dyDescent="0.35"/>
    <row r="399" spans="3:3" ht="12.75" customHeight="1" x14ac:dyDescent="0.35"/>
    <row r="400" spans="3:3" ht="12.75" customHeight="1" x14ac:dyDescent="0.35"/>
    <row r="401" ht="12.75" customHeight="1" x14ac:dyDescent="0.35"/>
    <row r="402" ht="12.75" customHeight="1" x14ac:dyDescent="0.35"/>
    <row r="403" ht="12.75" customHeight="1" x14ac:dyDescent="0.35"/>
    <row r="404" ht="12.75" customHeight="1" x14ac:dyDescent="0.35"/>
    <row r="405" ht="12.75" customHeight="1" x14ac:dyDescent="0.35"/>
    <row r="406" ht="12.75" customHeight="1" x14ac:dyDescent="0.35"/>
    <row r="407" ht="12.75" customHeight="1" x14ac:dyDescent="0.35"/>
    <row r="408" ht="12.75" customHeight="1" x14ac:dyDescent="0.35"/>
    <row r="409" ht="12.75" customHeight="1" x14ac:dyDescent="0.35"/>
    <row r="410" ht="12.75" customHeight="1" x14ac:dyDescent="0.35"/>
    <row r="411" ht="12.75" customHeight="1" x14ac:dyDescent="0.35"/>
    <row r="412" ht="12.75" customHeight="1" x14ac:dyDescent="0.35"/>
    <row r="413" ht="12.75" customHeight="1" x14ac:dyDescent="0.35"/>
    <row r="414" ht="12.75" customHeight="1" x14ac:dyDescent="0.35"/>
    <row r="415" ht="12.75" customHeight="1" x14ac:dyDescent="0.35"/>
    <row r="416" ht="12.75" customHeight="1" x14ac:dyDescent="0.35"/>
    <row r="417" spans="2:3" ht="12.75" customHeight="1" x14ac:dyDescent="0.35"/>
    <row r="418" spans="2:3" ht="12.75" customHeight="1" x14ac:dyDescent="0.35"/>
    <row r="419" spans="2:3" ht="12.75" customHeight="1" x14ac:dyDescent="0.35"/>
    <row r="420" spans="2:3" ht="12.75" customHeight="1" x14ac:dyDescent="0.35"/>
    <row r="421" spans="2:3" ht="12.75" customHeight="1" x14ac:dyDescent="0.35"/>
    <row r="422" spans="2:3" ht="12.75" customHeight="1" x14ac:dyDescent="0.35">
      <c r="C422" s="97" t="s">
        <v>3232</v>
      </c>
    </row>
    <row r="423" spans="2:3" ht="12.75" customHeight="1" x14ac:dyDescent="0.35">
      <c r="B423" s="97" t="s">
        <v>3233</v>
      </c>
    </row>
    <row r="424" spans="2:3" ht="12.75" customHeight="1" x14ac:dyDescent="0.35">
      <c r="B424" s="97" t="s">
        <v>3234</v>
      </c>
    </row>
    <row r="425" spans="2:3" ht="12.75" customHeight="1" x14ac:dyDescent="0.35">
      <c r="B425" s="97" t="s">
        <v>2273</v>
      </c>
    </row>
    <row r="426" spans="2:3" ht="12.75" customHeight="1" x14ac:dyDescent="0.35">
      <c r="B426" s="97" t="s">
        <v>3235</v>
      </c>
    </row>
    <row r="427" spans="2:3" ht="12.75" customHeight="1" x14ac:dyDescent="0.35">
      <c r="B427" s="97" t="s">
        <v>3236</v>
      </c>
    </row>
    <row r="428" spans="2:3" ht="12.75" customHeight="1" x14ac:dyDescent="0.35">
      <c r="B428" s="97" t="s">
        <v>3237</v>
      </c>
    </row>
    <row r="429" spans="2:3" ht="12.75" customHeight="1" x14ac:dyDescent="0.35">
      <c r="B429" s="97" t="s">
        <v>3238</v>
      </c>
    </row>
    <row r="430" spans="2:3" ht="12.75" customHeight="1" x14ac:dyDescent="0.35">
      <c r="B430" s="97" t="s">
        <v>3239</v>
      </c>
    </row>
    <row r="431" spans="2:3" ht="12.75" customHeight="1" x14ac:dyDescent="0.35">
      <c r="B431" s="97" t="s">
        <v>3240</v>
      </c>
    </row>
    <row r="432" spans="2:3" ht="12.75" customHeight="1" x14ac:dyDescent="0.35">
      <c r="B432" s="97" t="s">
        <v>3241</v>
      </c>
    </row>
    <row r="433" spans="2:2" ht="12.75" customHeight="1" x14ac:dyDescent="0.35"/>
    <row r="434" spans="2:2" ht="12.75" customHeight="1" x14ac:dyDescent="0.35"/>
    <row r="435" spans="2:2" ht="12.75" customHeight="1" x14ac:dyDescent="0.35"/>
    <row r="436" spans="2:2" ht="12.75" customHeight="1" x14ac:dyDescent="0.35"/>
    <row r="437" spans="2:2" ht="12.75" customHeight="1" x14ac:dyDescent="0.35"/>
    <row r="438" spans="2:2" ht="12.75" customHeight="1" x14ac:dyDescent="0.35"/>
    <row r="439" spans="2:2" ht="12.75" customHeight="1" x14ac:dyDescent="0.35">
      <c r="B439" s="97" t="s">
        <v>3242</v>
      </c>
    </row>
    <row r="440" spans="2:2" ht="12.75" customHeight="1" x14ac:dyDescent="0.35"/>
    <row r="441" spans="2:2" ht="12.75" customHeight="1" x14ac:dyDescent="0.35">
      <c r="B441" s="97" t="s">
        <v>3243</v>
      </c>
    </row>
    <row r="442" spans="2:2" ht="12.75" customHeight="1" x14ac:dyDescent="0.35">
      <c r="B442" s="97" t="s">
        <v>3244</v>
      </c>
    </row>
    <row r="443" spans="2:2" ht="12.75" customHeight="1" x14ac:dyDescent="0.35"/>
    <row r="444" spans="2:2" ht="12.75" customHeight="1" x14ac:dyDescent="0.35"/>
    <row r="445" spans="2:2" ht="12.75" customHeight="1" x14ac:dyDescent="0.35"/>
    <row r="446" spans="2:2" ht="12.75" customHeight="1" x14ac:dyDescent="0.35"/>
    <row r="447" spans="2:2" ht="12.75" customHeight="1" x14ac:dyDescent="0.35"/>
    <row r="448" spans="2:2" ht="12.75" customHeight="1" x14ac:dyDescent="0.35"/>
    <row r="449" spans="2:3" ht="12.75" customHeight="1" x14ac:dyDescent="0.35"/>
    <row r="450" spans="2:3" ht="12.75" customHeight="1" x14ac:dyDescent="0.35"/>
    <row r="451" spans="2:3" ht="12.75" customHeight="1" x14ac:dyDescent="0.35"/>
    <row r="452" spans="2:3" ht="12.75" customHeight="1" x14ac:dyDescent="0.35"/>
    <row r="453" spans="2:3" ht="12.75" customHeight="1" x14ac:dyDescent="0.35">
      <c r="B453" s="97" t="s">
        <v>3245</v>
      </c>
    </row>
    <row r="454" spans="2:3" ht="12.75" customHeight="1" x14ac:dyDescent="0.35">
      <c r="B454" s="97" t="s">
        <v>3246</v>
      </c>
    </row>
    <row r="455" spans="2:3" ht="12.75" customHeight="1" x14ac:dyDescent="0.35">
      <c r="B455" s="97" t="str">
        <f>IF(PrintMode=0,"      ","")&amp;"Pozostałe przychody operacyjne"</f>
        <v xml:space="preserve">      Pozostałe przychody operacyjne</v>
      </c>
    </row>
    <row r="456" spans="2:3" ht="12.75" customHeight="1" x14ac:dyDescent="0.35">
      <c r="B456" s="97" t="s">
        <v>3247</v>
      </c>
    </row>
    <row r="457" spans="2:3" ht="12.75" customHeight="1" x14ac:dyDescent="0.35">
      <c r="C457" s="97" t="s">
        <v>3248</v>
      </c>
    </row>
    <row r="458" spans="2:3" ht="12.75" customHeight="1" x14ac:dyDescent="0.35">
      <c r="C458" s="97" t="s">
        <v>3249</v>
      </c>
    </row>
    <row r="459" spans="2:3" ht="12.75" customHeight="1" x14ac:dyDescent="0.35">
      <c r="C459" s="97" t="s">
        <v>3250</v>
      </c>
    </row>
    <row r="460" spans="2:3" ht="12.75" customHeight="1" x14ac:dyDescent="0.35">
      <c r="C460" s="97" t="s">
        <v>3251</v>
      </c>
    </row>
    <row r="461" spans="2:3" ht="12.75" customHeight="1" x14ac:dyDescent="0.35"/>
    <row r="462" spans="2:3" ht="12.75" customHeight="1" x14ac:dyDescent="0.35"/>
    <row r="463" spans="2:3" ht="12.75" customHeight="1" x14ac:dyDescent="0.35"/>
    <row r="464" spans="2:3" ht="12.75" customHeight="1" x14ac:dyDescent="0.35"/>
    <row r="465" spans="2:3" ht="12.75" customHeight="1" x14ac:dyDescent="0.35"/>
    <row r="466" spans="2:3" ht="12.75" customHeight="1" x14ac:dyDescent="0.35"/>
    <row r="467" spans="2:3" ht="12.75" customHeight="1" x14ac:dyDescent="0.35">
      <c r="B467" s="97" t="s">
        <v>3252</v>
      </c>
    </row>
    <row r="468" spans="2:3" ht="12.75" customHeight="1" x14ac:dyDescent="0.35">
      <c r="B468" s="97" t="s">
        <v>3246</v>
      </c>
    </row>
    <row r="469" spans="2:3" ht="12.75" customHeight="1" x14ac:dyDescent="0.35">
      <c r="B469" s="97" t="s">
        <v>5299</v>
      </c>
    </row>
    <row r="470" spans="2:3" ht="12.75" customHeight="1" x14ac:dyDescent="0.35">
      <c r="B470" s="97" t="s">
        <v>3253</v>
      </c>
    </row>
    <row r="471" spans="2:3" ht="12.75" customHeight="1" x14ac:dyDescent="0.35">
      <c r="C471" s="97" t="s">
        <v>3250</v>
      </c>
    </row>
    <row r="472" spans="2:3" ht="12.75" customHeight="1" x14ac:dyDescent="0.35">
      <c r="C472" s="97" t="s">
        <v>3254</v>
      </c>
    </row>
    <row r="473" spans="2:3" ht="12.75" customHeight="1" x14ac:dyDescent="0.35">
      <c r="C473" s="97" t="s">
        <v>3255</v>
      </c>
    </row>
    <row r="474" spans="2:3" ht="12.75" customHeight="1" x14ac:dyDescent="0.35"/>
    <row r="475" spans="2:3" ht="12.75" customHeight="1" x14ac:dyDescent="0.35"/>
    <row r="476" spans="2:3" ht="12.75" customHeight="1" x14ac:dyDescent="0.35"/>
    <row r="477" spans="2:3" ht="12.75" customHeight="1" x14ac:dyDescent="0.35"/>
    <row r="478" spans="2:3" ht="12.75" customHeight="1" x14ac:dyDescent="0.35"/>
    <row r="479" spans="2:3" ht="12.75" customHeight="1" x14ac:dyDescent="0.35"/>
    <row r="480" spans="2:3" ht="12.75" customHeight="1" x14ac:dyDescent="0.35"/>
    <row r="481" spans="1:3" ht="12.75" customHeight="1" x14ac:dyDescent="0.35">
      <c r="A481" s="101"/>
      <c r="B481" s="97" t="s">
        <v>3256</v>
      </c>
    </row>
    <row r="482" spans="1:3" ht="12.75" customHeight="1" x14ac:dyDescent="0.35">
      <c r="A482" s="101"/>
      <c r="B482" s="1232" t="s">
        <v>5441</v>
      </c>
    </row>
    <row r="483" spans="1:3" ht="12.75" customHeight="1" x14ac:dyDescent="0.35">
      <c r="B483" s="97" t="s">
        <v>3257</v>
      </c>
    </row>
    <row r="484" spans="1:3" ht="12.75" customHeight="1" x14ac:dyDescent="0.35">
      <c r="B484" s="97" t="s">
        <v>3246</v>
      </c>
    </row>
    <row r="485" spans="1:3" ht="12.75" customHeight="1" x14ac:dyDescent="0.35">
      <c r="B485" s="97" t="s">
        <v>5084</v>
      </c>
    </row>
    <row r="486" spans="1:3" ht="12.75" customHeight="1" x14ac:dyDescent="0.35">
      <c r="B486" s="97" t="s">
        <v>2273</v>
      </c>
    </row>
    <row r="487" spans="1:3" ht="12.75" customHeight="1" x14ac:dyDescent="0.35">
      <c r="C487" s="97" t="s">
        <v>3258</v>
      </c>
    </row>
    <row r="488" spans="1:3" ht="12.75" customHeight="1" x14ac:dyDescent="0.35">
      <c r="C488" s="97" t="s">
        <v>3259</v>
      </c>
    </row>
    <row r="489" spans="1:3" ht="12.75" customHeight="1" x14ac:dyDescent="0.35">
      <c r="B489" s="97" t="s">
        <v>3260</v>
      </c>
    </row>
    <row r="490" spans="1:3" ht="12.75" customHeight="1" x14ac:dyDescent="0.35">
      <c r="B490" s="97" t="s">
        <v>3246</v>
      </c>
    </row>
    <row r="491" spans="1:3" ht="12.75" customHeight="1" x14ac:dyDescent="0.35">
      <c r="B491" s="97" t="s">
        <v>5083</v>
      </c>
    </row>
    <row r="492" spans="1:3" ht="12.75" customHeight="1" x14ac:dyDescent="0.35">
      <c r="B492" s="97" t="s">
        <v>3261</v>
      </c>
    </row>
    <row r="493" spans="1:3" ht="12.75" customHeight="1" x14ac:dyDescent="0.35">
      <c r="C493" s="97" t="s">
        <v>3261</v>
      </c>
    </row>
    <row r="494" spans="1:3" ht="12.75" customHeight="1" x14ac:dyDescent="0.35">
      <c r="C494" s="97" t="s">
        <v>3262</v>
      </c>
    </row>
    <row r="495" spans="1:3" ht="12.75" customHeight="1" x14ac:dyDescent="0.35">
      <c r="B495" s="97" t="s">
        <v>3263</v>
      </c>
    </row>
    <row r="496" spans="1:3" ht="12.75" customHeight="1" x14ac:dyDescent="0.35">
      <c r="B496" s="97" t="s">
        <v>3264</v>
      </c>
    </row>
    <row r="497" spans="2:3" ht="12.75" customHeight="1" x14ac:dyDescent="0.35">
      <c r="C497" s="97" t="s">
        <v>3265</v>
      </c>
    </row>
    <row r="498" spans="2:3" ht="12.75" customHeight="1" x14ac:dyDescent="0.35">
      <c r="C498" s="97" t="s">
        <v>3266</v>
      </c>
    </row>
    <row r="499" spans="2:3" ht="12.75" customHeight="1" x14ac:dyDescent="0.35">
      <c r="B499" s="97" t="s">
        <v>3267</v>
      </c>
    </row>
    <row r="500" spans="2:3" ht="12.75" customHeight="1" x14ac:dyDescent="0.35">
      <c r="B500" s="97" t="s">
        <v>3268</v>
      </c>
    </row>
    <row r="501" spans="2:3" ht="12.75" customHeight="1" x14ac:dyDescent="0.35">
      <c r="C501" s="97" t="s">
        <v>3269</v>
      </c>
    </row>
    <row r="502" spans="2:3" ht="12.75" customHeight="1" x14ac:dyDescent="0.35">
      <c r="C502" s="97" t="str">
        <f>IF(CalculatedDepreciation,"Inne k","K")&amp;"orekty z tyt. różnic w amort. i wart. dobrowol. rezerw"</f>
        <v>Korekty z tyt. różnic w amort. i wart. dobrowol. rezerw</v>
      </c>
    </row>
    <row r="503" spans="2:3" ht="12.75" customHeight="1" x14ac:dyDescent="0.35">
      <c r="B503" s="97" t="s">
        <v>2323</v>
      </c>
    </row>
    <row r="504" spans="2:3" ht="12.75" customHeight="1" x14ac:dyDescent="0.35">
      <c r="B504" s="97" t="s">
        <v>3270</v>
      </c>
    </row>
    <row r="505" spans="2:3" ht="12.75" customHeight="1" x14ac:dyDescent="0.35">
      <c r="B505" s="97" t="s">
        <v>3271</v>
      </c>
    </row>
    <row r="506" spans="2:3" ht="12.75" customHeight="1" x14ac:dyDescent="0.35">
      <c r="B506" s="97" t="s">
        <v>3272</v>
      </c>
    </row>
    <row r="507" spans="2:3" ht="12.75" customHeight="1" x14ac:dyDescent="0.35">
      <c r="B507" s="97" t="s">
        <v>3246</v>
      </c>
    </row>
    <row r="508" spans="2:3" ht="12.75" customHeight="1" x14ac:dyDescent="0.35">
      <c r="B508" s="97" t="s">
        <v>5300</v>
      </c>
    </row>
    <row r="509" spans="2:3" ht="12.75" customHeight="1" x14ac:dyDescent="0.35">
      <c r="B509" s="97" t="s">
        <v>3273</v>
      </c>
    </row>
    <row r="510" spans="2:3" ht="12.75" customHeight="1" x14ac:dyDescent="0.35">
      <c r="B510" s="97" t="s">
        <v>3274</v>
      </c>
    </row>
    <row r="511" spans="2:3" ht="12.75" customHeight="1" x14ac:dyDescent="0.35">
      <c r="B511" s="97" t="s">
        <v>3275</v>
      </c>
    </row>
    <row r="512" spans="2:3" ht="12.75" customHeight="1" x14ac:dyDescent="0.35">
      <c r="B512" s="97" t="s">
        <v>3276</v>
      </c>
    </row>
    <row r="513" spans="2:2" ht="12.75" customHeight="1" x14ac:dyDescent="0.35">
      <c r="B513" s="97" t="s">
        <v>3277</v>
      </c>
    </row>
    <row r="514" spans="2:2" ht="12.75" customHeight="1" x14ac:dyDescent="0.35">
      <c r="B514" s="97" t="s">
        <v>3278</v>
      </c>
    </row>
    <row r="515" spans="2:2" ht="12.75" customHeight="1" x14ac:dyDescent="0.35">
      <c r="B515" s="97" t="s">
        <v>3279</v>
      </c>
    </row>
    <row r="516" spans="2:2" ht="12.75" customHeight="1" x14ac:dyDescent="0.35"/>
    <row r="517" spans="2:2" ht="12.75" customHeight="1" x14ac:dyDescent="0.35"/>
    <row r="518" spans="2:2" ht="12.75" customHeight="1" x14ac:dyDescent="0.35">
      <c r="B518" s="97" t="s">
        <v>3280</v>
      </c>
    </row>
    <row r="519" spans="2:2" ht="12.75" customHeight="1" x14ac:dyDescent="0.35">
      <c r="B519" s="97" t="s">
        <v>3281</v>
      </c>
    </row>
    <row r="520" spans="2:2" ht="12.75" customHeight="1" x14ac:dyDescent="0.35">
      <c r="B520" s="97" t="s">
        <v>2273</v>
      </c>
    </row>
    <row r="521" spans="2:2" ht="12.75" customHeight="1" x14ac:dyDescent="0.35">
      <c r="B521" s="97" t="s">
        <v>3282</v>
      </c>
    </row>
    <row r="522" spans="2:2" ht="12.75" customHeight="1" x14ac:dyDescent="0.35">
      <c r="B522" s="97" t="s">
        <v>3283</v>
      </c>
    </row>
    <row r="523" spans="2:2" ht="12.75" customHeight="1" x14ac:dyDescent="0.35">
      <c r="B523" s="97" t="s">
        <v>3284</v>
      </c>
    </row>
    <row r="524" spans="2:2" ht="12.75" customHeight="1" x14ac:dyDescent="0.35">
      <c r="B524" s="97" t="s">
        <v>3271</v>
      </c>
    </row>
    <row r="525" spans="2:2" ht="12.75" customHeight="1" x14ac:dyDescent="0.35">
      <c r="B525" s="97" t="s">
        <v>3285</v>
      </c>
    </row>
    <row r="526" spans="2:2" ht="12.75" customHeight="1" x14ac:dyDescent="0.35">
      <c r="B526" s="97" t="s">
        <v>3286</v>
      </c>
    </row>
    <row r="527" spans="2:2" ht="12.75" customHeight="1" x14ac:dyDescent="0.35">
      <c r="B527" s="97" t="s">
        <v>3287</v>
      </c>
    </row>
    <row r="528" spans="2:2" ht="12.75" customHeight="1" x14ac:dyDescent="0.35">
      <c r="B528" s="97" t="s">
        <v>3288</v>
      </c>
    </row>
    <row r="529" spans="2:4" ht="12.75" customHeight="1" x14ac:dyDescent="0.35">
      <c r="B529" s="97" t="s">
        <v>3289</v>
      </c>
    </row>
    <row r="530" spans="2:4" ht="12.75" customHeight="1" x14ac:dyDescent="0.35">
      <c r="B530" s="97" t="s">
        <v>3290</v>
      </c>
    </row>
    <row r="531" spans="2:4" ht="12.75" customHeight="1" x14ac:dyDescent="0.35">
      <c r="B531" s="97" t="s">
        <v>3291</v>
      </c>
    </row>
    <row r="532" spans="2:4" ht="12.75" customHeight="1" x14ac:dyDescent="0.35"/>
    <row r="533" spans="2:4" ht="12.75" customHeight="1" x14ac:dyDescent="0.35"/>
    <row r="534" spans="2:4" ht="12.75" customHeight="1" x14ac:dyDescent="0.35"/>
    <row r="535" spans="2:4" ht="12.75" customHeight="1" x14ac:dyDescent="0.35"/>
    <row r="536" spans="2:4" ht="12.75" customHeight="1" x14ac:dyDescent="0.35"/>
    <row r="537" spans="2:4" ht="12.75" customHeight="1" x14ac:dyDescent="0.35">
      <c r="B537" s="97" t="s">
        <v>3292</v>
      </c>
    </row>
    <row r="538" spans="2:4" ht="12.75" customHeight="1" x14ac:dyDescent="0.35"/>
    <row r="539" spans="2:4" ht="12.75" customHeight="1" x14ac:dyDescent="0.35">
      <c r="B539" s="97" t="s">
        <v>3199</v>
      </c>
    </row>
    <row r="540" spans="2:4" ht="12.75" customHeight="1" x14ac:dyDescent="0.35">
      <c r="B540" s="97" t="s">
        <v>3293</v>
      </c>
    </row>
    <row r="541" spans="2:4" ht="12.75" customHeight="1" x14ac:dyDescent="0.35">
      <c r="C541" s="159" t="s">
        <v>3294</v>
      </c>
      <c r="D541"/>
    </row>
    <row r="542" spans="2:4" ht="12.75" customHeight="1" x14ac:dyDescent="0.35">
      <c r="C542" s="159" t="s">
        <v>3295</v>
      </c>
      <c r="D542"/>
    </row>
    <row r="543" spans="2:4" ht="12.75" customHeight="1" x14ac:dyDescent="0.35">
      <c r="C543" s="159" t="s">
        <v>3296</v>
      </c>
      <c r="D543"/>
    </row>
    <row r="544" spans="2:4" ht="12.75" customHeight="1" x14ac:dyDescent="0.35">
      <c r="C544" s="159" t="s">
        <v>3297</v>
      </c>
      <c r="D544"/>
    </row>
    <row r="545" spans="3:4" ht="12.75" customHeight="1" x14ac:dyDescent="0.35">
      <c r="C545" s="159" t="s">
        <v>3294</v>
      </c>
      <c r="D545"/>
    </row>
    <row r="546" spans="3:4" ht="12.75" customHeight="1" x14ac:dyDescent="0.35">
      <c r="C546" s="159" t="s">
        <v>5228</v>
      </c>
      <c r="D546"/>
    </row>
    <row r="547" spans="3:4" ht="12.75" customHeight="1" x14ac:dyDescent="0.35">
      <c r="C547" s="159" t="s">
        <v>3296</v>
      </c>
      <c r="D547"/>
    </row>
    <row r="548" spans="3:4" ht="12.75" customHeight="1" x14ac:dyDescent="0.35">
      <c r="C548" s="159" t="s">
        <v>3297</v>
      </c>
      <c r="D548"/>
    </row>
    <row r="549" spans="3:4" ht="12.75" customHeight="1" x14ac:dyDescent="0.35">
      <c r="C549" s="159" t="s">
        <v>3294</v>
      </c>
      <c r="D549"/>
    </row>
    <row r="550" spans="3:4" ht="12.75" customHeight="1" x14ac:dyDescent="0.35">
      <c r="C550" s="159" t="s">
        <v>5229</v>
      </c>
      <c r="D550"/>
    </row>
    <row r="551" spans="3:4" ht="12.75" customHeight="1" x14ac:dyDescent="0.35">
      <c r="C551" s="159" t="s">
        <v>3296</v>
      </c>
      <c r="D551"/>
    </row>
    <row r="552" spans="3:4" ht="12.75" customHeight="1" x14ac:dyDescent="0.35">
      <c r="C552" s="159" t="s">
        <v>3297</v>
      </c>
      <c r="D552"/>
    </row>
    <row r="553" spans="3:4" ht="12.75" customHeight="1" x14ac:dyDescent="0.35">
      <c r="C553" s="159" t="s">
        <v>3294</v>
      </c>
      <c r="D553"/>
    </row>
    <row r="554" spans="3:4" ht="12.75" customHeight="1" x14ac:dyDescent="0.35">
      <c r="C554" s="159" t="s">
        <v>5230</v>
      </c>
      <c r="D554"/>
    </row>
    <row r="555" spans="3:4" ht="12.75" customHeight="1" x14ac:dyDescent="0.35">
      <c r="C555" s="159" t="s">
        <v>3296</v>
      </c>
      <c r="D555"/>
    </row>
    <row r="556" spans="3:4" ht="12.75" customHeight="1" x14ac:dyDescent="0.35">
      <c r="C556" s="159" t="s">
        <v>3297</v>
      </c>
      <c r="D556"/>
    </row>
    <row r="557" spans="3:4" ht="12.75" customHeight="1" x14ac:dyDescent="0.35">
      <c r="C557" s="159" t="s">
        <v>3294</v>
      </c>
      <c r="D557"/>
    </row>
    <row r="558" spans="3:4" ht="12.75" customHeight="1" x14ac:dyDescent="0.35">
      <c r="C558" s="159" t="s">
        <v>5231</v>
      </c>
      <c r="D558"/>
    </row>
    <row r="559" spans="3:4" ht="12.75" customHeight="1" x14ac:dyDescent="0.35">
      <c r="C559" s="159" t="s">
        <v>3296</v>
      </c>
      <c r="D559"/>
    </row>
    <row r="560" spans="3:4" ht="12.75" customHeight="1" x14ac:dyDescent="0.35">
      <c r="C560" s="159" t="s">
        <v>3297</v>
      </c>
      <c r="D560"/>
    </row>
    <row r="561" spans="2:4" ht="12.75" customHeight="1" x14ac:dyDescent="0.35">
      <c r="C561" s="1232" t="s">
        <v>5442</v>
      </c>
      <c r="D561"/>
    </row>
    <row r="562" spans="2:4" ht="12.75" customHeight="1" x14ac:dyDescent="0.35">
      <c r="C562" s="1232" t="s">
        <v>5443</v>
      </c>
      <c r="D562"/>
    </row>
    <row r="563" spans="2:4" ht="12.75" customHeight="1" x14ac:dyDescent="0.35">
      <c r="C563" s="97" t="s">
        <v>3298</v>
      </c>
      <c r="D563"/>
    </row>
    <row r="564" spans="2:4" ht="12.75" customHeight="1" x14ac:dyDescent="0.35">
      <c r="C564" s="97" t="s">
        <v>3299</v>
      </c>
      <c r="D564"/>
    </row>
    <row r="565" spans="2:4" ht="12.75" customHeight="1" x14ac:dyDescent="0.35">
      <c r="C565" s="1232" t="s">
        <v>5444</v>
      </c>
      <c r="D565"/>
    </row>
    <row r="566" spans="2:4" ht="12.75" customHeight="1" x14ac:dyDescent="0.35">
      <c r="C566" s="1232" t="s">
        <v>5445</v>
      </c>
      <c r="D566"/>
    </row>
    <row r="567" spans="2:4" ht="12.75" customHeight="1" x14ac:dyDescent="0.35">
      <c r="C567" s="97" t="s">
        <v>3300</v>
      </c>
      <c r="D567"/>
    </row>
    <row r="568" spans="2:4" ht="12.75" customHeight="1" x14ac:dyDescent="0.35">
      <c r="C568" s="97" t="s">
        <v>3301</v>
      </c>
      <c r="D568"/>
    </row>
    <row r="569" spans="2:4" ht="12.75" customHeight="1" x14ac:dyDescent="0.35">
      <c r="C569" s="97" t="s">
        <v>3302</v>
      </c>
      <c r="D569"/>
    </row>
    <row r="570" spans="2:4" ht="12.75" customHeight="1" x14ac:dyDescent="0.35">
      <c r="B570" s="97" t="s">
        <v>3303</v>
      </c>
      <c r="D570"/>
    </row>
    <row r="571" spans="2:4" ht="12.75" customHeight="1" x14ac:dyDescent="0.35">
      <c r="C571" s="159" t="s">
        <v>3305</v>
      </c>
      <c r="D571"/>
    </row>
    <row r="572" spans="2:4" ht="12.75" customHeight="1" x14ac:dyDescent="0.35">
      <c r="C572" s="159" t="s">
        <v>3303</v>
      </c>
      <c r="D572"/>
    </row>
    <row r="573" spans="2:4" ht="12.75" customHeight="1" x14ac:dyDescent="0.35">
      <c r="C573" s="159" t="s">
        <v>5244</v>
      </c>
      <c r="D573"/>
    </row>
    <row r="574" spans="2:4" ht="12.75" customHeight="1" x14ac:dyDescent="0.35">
      <c r="C574" s="159" t="s">
        <v>3304</v>
      </c>
      <c r="D574"/>
    </row>
    <row r="575" spans="2:4" ht="12.75" customHeight="1" x14ac:dyDescent="0.35">
      <c r="C575" s="159" t="s">
        <v>3305</v>
      </c>
      <c r="D575"/>
    </row>
    <row r="576" spans="2:4" ht="12.75" customHeight="1" x14ac:dyDescent="0.35">
      <c r="C576" s="159" t="s">
        <v>5232</v>
      </c>
      <c r="D576"/>
    </row>
    <row r="577" spans="2:4" ht="12.75" customHeight="1" x14ac:dyDescent="0.35">
      <c r="C577" s="159" t="s">
        <v>5244</v>
      </c>
      <c r="D577"/>
    </row>
    <row r="578" spans="2:4" ht="12.75" customHeight="1" x14ac:dyDescent="0.35">
      <c r="C578" s="159" t="s">
        <v>3304</v>
      </c>
      <c r="D578"/>
    </row>
    <row r="579" spans="2:4" ht="12.75" customHeight="1" x14ac:dyDescent="0.35">
      <c r="C579" s="159" t="s">
        <v>3305</v>
      </c>
      <c r="D579"/>
    </row>
    <row r="580" spans="2:4" ht="12.75" customHeight="1" x14ac:dyDescent="0.35">
      <c r="C580" s="159" t="s">
        <v>5233</v>
      </c>
      <c r="D580"/>
    </row>
    <row r="581" spans="2:4" ht="12.75" customHeight="1" x14ac:dyDescent="0.35">
      <c r="C581" s="159" t="s">
        <v>5244</v>
      </c>
      <c r="D581"/>
    </row>
    <row r="582" spans="2:4" ht="12.75" customHeight="1" x14ac:dyDescent="0.35">
      <c r="C582" s="159" t="s">
        <v>3304</v>
      </c>
      <c r="D582"/>
    </row>
    <row r="583" spans="2:4" ht="12.75" customHeight="1" x14ac:dyDescent="0.35">
      <c r="C583" s="159" t="s">
        <v>3305</v>
      </c>
      <c r="D583"/>
    </row>
    <row r="584" spans="2:4" ht="12.75" customHeight="1" x14ac:dyDescent="0.35">
      <c r="C584" s="159" t="s">
        <v>5234</v>
      </c>
      <c r="D584"/>
    </row>
    <row r="585" spans="2:4" ht="12.75" customHeight="1" x14ac:dyDescent="0.35">
      <c r="C585" s="159" t="s">
        <v>5244</v>
      </c>
      <c r="D585"/>
    </row>
    <row r="586" spans="2:4" ht="12.75" customHeight="1" x14ac:dyDescent="0.35">
      <c r="C586" s="159" t="s">
        <v>3304</v>
      </c>
      <c r="D586"/>
    </row>
    <row r="587" spans="2:4" ht="12.75" customHeight="1" x14ac:dyDescent="0.35">
      <c r="C587" s="159" t="s">
        <v>3305</v>
      </c>
      <c r="D587"/>
    </row>
    <row r="588" spans="2:4" ht="12.75" customHeight="1" x14ac:dyDescent="0.35">
      <c r="C588" s="159" t="s">
        <v>5235</v>
      </c>
      <c r="D588"/>
    </row>
    <row r="589" spans="2:4" ht="12.75" customHeight="1" x14ac:dyDescent="0.35">
      <c r="C589" s="159" t="s">
        <v>5244</v>
      </c>
      <c r="D589"/>
    </row>
    <row r="590" spans="2:4" ht="12.75" customHeight="1" x14ac:dyDescent="0.35">
      <c r="C590" s="159" t="s">
        <v>3304</v>
      </c>
      <c r="D590"/>
    </row>
    <row r="591" spans="2:4" ht="12.75" customHeight="1" x14ac:dyDescent="0.35">
      <c r="C591" s="97" t="s">
        <v>3304</v>
      </c>
      <c r="D591"/>
    </row>
    <row r="592" spans="2:4" ht="12.75" customHeight="1" x14ac:dyDescent="0.35">
      <c r="B592" s="97" t="s">
        <v>3306</v>
      </c>
      <c r="D592"/>
    </row>
    <row r="593" spans="3:4" ht="12.75" customHeight="1" x14ac:dyDescent="0.35">
      <c r="C593" s="97" t="s">
        <v>3307</v>
      </c>
      <c r="D593"/>
    </row>
    <row r="594" spans="3:4" ht="12.75" customHeight="1" x14ac:dyDescent="0.35">
      <c r="C594" s="159" t="s">
        <v>3308</v>
      </c>
      <c r="D594"/>
    </row>
    <row r="595" spans="3:4" ht="12.75" customHeight="1" x14ac:dyDescent="0.35">
      <c r="C595" s="97" t="s">
        <v>3309</v>
      </c>
      <c r="D595"/>
    </row>
    <row r="596" spans="3:4" ht="12.75" customHeight="1" x14ac:dyDescent="0.35">
      <c r="C596" s="97" t="s">
        <v>3310</v>
      </c>
      <c r="D596"/>
    </row>
    <row r="597" spans="3:4" ht="12.75" customHeight="1" x14ac:dyDescent="0.35">
      <c r="C597" s="97" t="s">
        <v>3307</v>
      </c>
      <c r="D597"/>
    </row>
    <row r="598" spans="3:4" ht="12.75" customHeight="1" x14ac:dyDescent="0.35">
      <c r="C598" s="159" t="s">
        <v>5176</v>
      </c>
      <c r="D598"/>
    </row>
    <row r="599" spans="3:4" ht="12.75" customHeight="1" x14ac:dyDescent="0.35">
      <c r="C599" s="97" t="s">
        <v>3309</v>
      </c>
      <c r="D599"/>
    </row>
    <row r="600" spans="3:4" ht="12.75" customHeight="1" x14ac:dyDescent="0.35">
      <c r="C600" s="97" t="s">
        <v>3310</v>
      </c>
      <c r="D600"/>
    </row>
    <row r="601" spans="3:4" ht="12.75" customHeight="1" x14ac:dyDescent="0.35">
      <c r="C601" s="97" t="s">
        <v>3307</v>
      </c>
      <c r="D601"/>
    </row>
    <row r="602" spans="3:4" ht="12.75" customHeight="1" x14ac:dyDescent="0.35">
      <c r="C602" s="159" t="s">
        <v>5177</v>
      </c>
      <c r="D602"/>
    </row>
    <row r="603" spans="3:4" ht="12.75" customHeight="1" x14ac:dyDescent="0.35">
      <c r="C603" s="97" t="s">
        <v>3309</v>
      </c>
      <c r="D603"/>
    </row>
    <row r="604" spans="3:4" ht="12.75" customHeight="1" x14ac:dyDescent="0.35">
      <c r="C604" s="97" t="s">
        <v>3310</v>
      </c>
      <c r="D604"/>
    </row>
    <row r="605" spans="3:4" ht="12.75" customHeight="1" x14ac:dyDescent="0.35">
      <c r="C605" s="97" t="s">
        <v>3307</v>
      </c>
      <c r="D605"/>
    </row>
    <row r="606" spans="3:4" ht="12.75" customHeight="1" x14ac:dyDescent="0.35">
      <c r="C606" s="159" t="s">
        <v>5178</v>
      </c>
      <c r="D606"/>
    </row>
    <row r="607" spans="3:4" ht="12.75" customHeight="1" x14ac:dyDescent="0.35">
      <c r="C607" s="97" t="s">
        <v>3309</v>
      </c>
      <c r="D607"/>
    </row>
    <row r="608" spans="3:4" ht="12.75" customHeight="1" x14ac:dyDescent="0.35">
      <c r="C608" s="97" t="s">
        <v>3310</v>
      </c>
      <c r="D608"/>
    </row>
    <row r="609" spans="2:4" ht="12.75" customHeight="1" x14ac:dyDescent="0.35">
      <c r="C609" s="97" t="s">
        <v>3307</v>
      </c>
      <c r="D609"/>
    </row>
    <row r="610" spans="2:4" ht="12.75" customHeight="1" x14ac:dyDescent="0.35">
      <c r="C610" s="159" t="s">
        <v>5179</v>
      </c>
      <c r="D610"/>
    </row>
    <row r="611" spans="2:4" ht="12.75" customHeight="1" x14ac:dyDescent="0.35">
      <c r="C611" s="97" t="s">
        <v>3309</v>
      </c>
      <c r="D611"/>
    </row>
    <row r="612" spans="2:4" ht="12.75" customHeight="1" x14ac:dyDescent="0.35">
      <c r="C612" s="97" t="s">
        <v>3310</v>
      </c>
      <c r="D612"/>
    </row>
    <row r="613" spans="2:4" ht="12.75" customHeight="1" x14ac:dyDescent="0.35">
      <c r="C613" s="116" t="s">
        <v>5735</v>
      </c>
      <c r="D613"/>
    </row>
    <row r="614" spans="2:4" ht="12.75" customHeight="1" x14ac:dyDescent="0.35">
      <c r="C614" s="1232" t="s">
        <v>5446</v>
      </c>
      <c r="D614"/>
    </row>
    <row r="615" spans="2:4" ht="12.75" customHeight="1" x14ac:dyDescent="0.35">
      <c r="C615" s="97" t="s">
        <v>3311</v>
      </c>
      <c r="D615"/>
    </row>
    <row r="616" spans="2:4" ht="12.75" customHeight="1" x14ac:dyDescent="0.35">
      <c r="C616" s="97" t="s">
        <v>3312</v>
      </c>
      <c r="D616"/>
    </row>
    <row r="617" spans="2:4" ht="12.75" customHeight="1" x14ac:dyDescent="0.35">
      <c r="C617" s="1232" t="s">
        <v>5447</v>
      </c>
      <c r="D617"/>
    </row>
    <row r="618" spans="2:4" ht="12.75" customHeight="1" x14ac:dyDescent="0.35">
      <c r="C618" s="1232" t="s">
        <v>5448</v>
      </c>
      <c r="D618"/>
    </row>
    <row r="619" spans="2:4" ht="12.75" customHeight="1" x14ac:dyDescent="0.35">
      <c r="C619" s="97" t="s">
        <v>3313</v>
      </c>
      <c r="D619"/>
    </row>
    <row r="620" spans="2:4" ht="12.75" customHeight="1" x14ac:dyDescent="0.35">
      <c r="B620" s="97" t="s">
        <v>3314</v>
      </c>
    </row>
    <row r="621" spans="2:4" ht="12.75" customHeight="1" x14ac:dyDescent="0.35">
      <c r="B621" s="97" t="s">
        <v>3315</v>
      </c>
    </row>
    <row r="622" spans="2:4" ht="12.75" customHeight="1" x14ac:dyDescent="0.35"/>
    <row r="623" spans="2:4" ht="12.75" customHeight="1" x14ac:dyDescent="0.35"/>
    <row r="624" spans="2:4" ht="12.75" customHeight="1" x14ac:dyDescent="0.35"/>
    <row r="625" spans="2:3" ht="12.75" customHeight="1" x14ac:dyDescent="0.35">
      <c r="B625" s="97" t="s">
        <v>3316</v>
      </c>
    </row>
    <row r="626" spans="2:3" ht="12.75" customHeight="1" x14ac:dyDescent="0.35"/>
    <row r="627" spans="2:3" ht="12.75" customHeight="1" x14ac:dyDescent="0.35">
      <c r="B627" s="97" t="s">
        <v>3199</v>
      </c>
    </row>
    <row r="628" spans="2:3" ht="12.75" customHeight="1" x14ac:dyDescent="0.35">
      <c r="B628" s="97" t="s">
        <v>3317</v>
      </c>
    </row>
    <row r="629" spans="2:3" ht="12.75" customHeight="1" x14ac:dyDescent="0.35">
      <c r="C629" s="97" t="s">
        <v>3245</v>
      </c>
    </row>
    <row r="630" spans="2:3" ht="12.75" customHeight="1" x14ac:dyDescent="0.35"/>
    <row r="631" spans="2:3" ht="12.75" customHeight="1" x14ac:dyDescent="0.35"/>
    <row r="632" spans="2:3" ht="12.75" customHeight="1" x14ac:dyDescent="0.35"/>
    <row r="633" spans="2:3" ht="12.75" customHeight="1" x14ac:dyDescent="0.35"/>
    <row r="634" spans="2:3" ht="12.75" customHeight="1" x14ac:dyDescent="0.35"/>
    <row r="635" spans="2:3" ht="12.75" customHeight="1" x14ac:dyDescent="0.35"/>
    <row r="636" spans="2:3" ht="12.75" customHeight="1" x14ac:dyDescent="0.35"/>
    <row r="637" spans="2:3" ht="12.75" customHeight="1" x14ac:dyDescent="0.35"/>
    <row r="638" spans="2:3" ht="12.75" customHeight="1" x14ac:dyDescent="0.35"/>
    <row r="639" spans="2:3" ht="12.75" customHeight="1" x14ac:dyDescent="0.35"/>
    <row r="640" spans="2:3" ht="12.75" customHeight="1" x14ac:dyDescent="0.35">
      <c r="C640" s="97" t="s">
        <v>3247</v>
      </c>
    </row>
    <row r="641" spans="3:3" ht="12.75" customHeight="1" x14ac:dyDescent="0.35"/>
    <row r="642" spans="3:3" ht="12.75" customHeight="1" x14ac:dyDescent="0.35"/>
    <row r="643" spans="3:3" ht="12.75" customHeight="1" x14ac:dyDescent="0.35"/>
    <row r="644" spans="3:3" ht="12.75" customHeight="1" x14ac:dyDescent="0.35"/>
    <row r="645" spans="3:3" ht="12.75" customHeight="1" x14ac:dyDescent="0.35"/>
    <row r="646" spans="3:3" ht="12.75" customHeight="1" x14ac:dyDescent="0.35"/>
    <row r="647" spans="3:3" ht="12.75" customHeight="1" x14ac:dyDescent="0.35"/>
    <row r="648" spans="3:3" ht="12.75" customHeight="1" x14ac:dyDescent="0.35"/>
    <row r="649" spans="3:3" ht="12.75" customHeight="1" x14ac:dyDescent="0.35"/>
    <row r="650" spans="3:3" ht="12.75" customHeight="1" x14ac:dyDescent="0.35"/>
    <row r="651" spans="3:3" ht="12.75" customHeight="1" x14ac:dyDescent="0.35">
      <c r="C651" s="97" t="s">
        <v>3253</v>
      </c>
    </row>
    <row r="652" spans="3:3" ht="12.75" customHeight="1" x14ac:dyDescent="0.35"/>
    <row r="653" spans="3:3" ht="12.75" customHeight="1" x14ac:dyDescent="0.35"/>
    <row r="654" spans="3:3" ht="12.75" customHeight="1" x14ac:dyDescent="0.35"/>
    <row r="655" spans="3:3" ht="12.75" customHeight="1" x14ac:dyDescent="0.35"/>
    <row r="656" spans="3:3" ht="12.75" customHeight="1" x14ac:dyDescent="0.35"/>
    <row r="657" spans="2:3" ht="12.75" customHeight="1" x14ac:dyDescent="0.35"/>
    <row r="658" spans="2:3" ht="12.75" customHeight="1" x14ac:dyDescent="0.35"/>
    <row r="659" spans="2:3" ht="12.75" customHeight="1" x14ac:dyDescent="0.35"/>
    <row r="660" spans="2:3" ht="12.75" customHeight="1" x14ac:dyDescent="0.35"/>
    <row r="661" spans="2:3" ht="12.75" customHeight="1" x14ac:dyDescent="0.35"/>
    <row r="662" spans="2:3" ht="12.75" customHeight="1" x14ac:dyDescent="0.35">
      <c r="C662" s="97" t="s">
        <v>3264</v>
      </c>
    </row>
    <row r="663" spans="2:3" ht="12.75" customHeight="1" x14ac:dyDescent="0.35"/>
    <row r="664" spans="2:3" ht="12.75" customHeight="1" x14ac:dyDescent="0.35">
      <c r="C664" s="97" t="s">
        <v>3314</v>
      </c>
    </row>
    <row r="665" spans="2:3" ht="12.75" customHeight="1" x14ac:dyDescent="0.35"/>
    <row r="666" spans="2:3" ht="12.75" customHeight="1" x14ac:dyDescent="0.35"/>
    <row r="667" spans="2:3" ht="12.75" customHeight="1" x14ac:dyDescent="0.35"/>
    <row r="668" spans="2:3" ht="12.75" customHeight="1" x14ac:dyDescent="0.35">
      <c r="B668" s="97" t="s">
        <v>3317</v>
      </c>
    </row>
    <row r="669" spans="2:3" ht="12.75" customHeight="1" x14ac:dyDescent="0.35">
      <c r="B669" s="97" t="s">
        <v>3318</v>
      </c>
    </row>
    <row r="670" spans="2:3" ht="12.75" customHeight="1" x14ac:dyDescent="0.35">
      <c r="B670" s="97" t="s">
        <v>3319</v>
      </c>
    </row>
    <row r="671" spans="2:3" ht="12.75" customHeight="1" x14ac:dyDescent="0.35">
      <c r="B671" s="97" t="s">
        <v>3320</v>
      </c>
    </row>
    <row r="672" spans="2:3" ht="12.75" customHeight="1" x14ac:dyDescent="0.35">
      <c r="C672" s="97" t="s">
        <v>3321</v>
      </c>
    </row>
    <row r="673" spans="2:3" ht="12.75" customHeight="1" x14ac:dyDescent="0.35"/>
    <row r="674" spans="2:3" ht="12.75" customHeight="1" x14ac:dyDescent="0.35">
      <c r="C674" s="97" t="s">
        <v>2323</v>
      </c>
    </row>
    <row r="675" spans="2:3" ht="12.75" customHeight="1" x14ac:dyDescent="0.35">
      <c r="B675" s="97" t="str">
        <f>"Wolne przepływy pieniężne "&amp;IF(FCFEinUse&lt;&gt;1,"(FCF)","dla firmy (FCFF)")</f>
        <v>Wolne przepływy pieniężne (FCF)</v>
      </c>
    </row>
    <row r="676" spans="2:3" ht="12.75" customHeight="1" x14ac:dyDescent="0.35">
      <c r="B676" s="97" t="str">
        <f>"Zdyskontowane wolne przepływy pieniężne "&amp;IF(FCFEinUse&lt;&gt;1,"(DFCF)","dla firmy (DFCFF)")</f>
        <v>Zdyskontowane wolne przepływy pieniężne (DFCF)</v>
      </c>
    </row>
    <row r="677" spans="2:3" ht="12.75" customHeight="1" x14ac:dyDescent="0.35">
      <c r="B677" s="97" t="str">
        <f>"Skumulowane zdyskont. wolne przepływy pieniężne"&amp;IF(FCFEinUse&lt;&gt;1,""," dla firmy")</f>
        <v>Skumulowane zdyskont. wolne przepływy pieniężne</v>
      </c>
    </row>
    <row r="678" spans="2:3" ht="12.75" customHeight="1" x14ac:dyDescent="0.35">
      <c r="B678" s="97" t="s">
        <v>3322</v>
      </c>
    </row>
    <row r="679" spans="2:3" ht="12.75" customHeight="1" x14ac:dyDescent="0.35">
      <c r="B679" s="97" t="s">
        <v>3323</v>
      </c>
    </row>
    <row r="680" spans="2:3" ht="12.75" customHeight="1" x14ac:dyDescent="0.35">
      <c r="B680" s="97" t="s">
        <v>3324</v>
      </c>
    </row>
    <row r="681" spans="2:3" ht="12.75" customHeight="1" x14ac:dyDescent="0.35">
      <c r="B681" s="97" t="s">
        <v>3325</v>
      </c>
    </row>
    <row r="682" spans="2:3" ht="12.75" customHeight="1" x14ac:dyDescent="0.35">
      <c r="C682" s="97" t="s">
        <v>3261</v>
      </c>
    </row>
    <row r="683" spans="2:3" ht="12.75" customHeight="1" x14ac:dyDescent="0.35">
      <c r="C683" s="97" t="s">
        <v>3326</v>
      </c>
    </row>
    <row r="684" spans="2:3" ht="12.75" customHeight="1" x14ac:dyDescent="0.35">
      <c r="C684" s="97" t="s">
        <v>3327</v>
      </c>
    </row>
    <row r="685" spans="2:3" ht="12.75" customHeight="1" x14ac:dyDescent="0.35">
      <c r="C685" s="97" t="s">
        <v>3328</v>
      </c>
    </row>
    <row r="686" spans="2:3" ht="12.75" customHeight="1" x14ac:dyDescent="0.35">
      <c r="C686" s="97" t="str">
        <f>C684</f>
        <v>Zobowiązania długoterminowe, wzrost (+) / spadek (-)</v>
      </c>
    </row>
    <row r="687" spans="2:3" ht="12.75" customHeight="1" x14ac:dyDescent="0.35">
      <c r="C687" s="97" t="s">
        <v>3329</v>
      </c>
    </row>
    <row r="688" spans="2:3" ht="12.75" customHeight="1" x14ac:dyDescent="0.35">
      <c r="C688" s="97" t="s">
        <v>3330</v>
      </c>
    </row>
    <row r="689" spans="2:3" ht="12.75" customHeight="1" x14ac:dyDescent="0.35">
      <c r="C689" s="1232" t="s">
        <v>5449</v>
      </c>
    </row>
    <row r="690" spans="2:3" ht="12.75" customHeight="1" x14ac:dyDescent="0.35">
      <c r="C690" s="97" t="s">
        <v>3331</v>
      </c>
    </row>
    <row r="691" spans="2:3" ht="12.75" customHeight="1" x14ac:dyDescent="0.35">
      <c r="C691" s="97" t="s">
        <v>3332</v>
      </c>
    </row>
    <row r="692" spans="2:3" ht="12.75" customHeight="1" x14ac:dyDescent="0.35">
      <c r="B692" s="97" t="s">
        <v>3333</v>
      </c>
    </row>
    <row r="693" spans="2:3" ht="12.75" customHeight="1" x14ac:dyDescent="0.35">
      <c r="B693" s="97" t="s">
        <v>3334</v>
      </c>
    </row>
    <row r="694" spans="2:3" ht="12.75" customHeight="1" x14ac:dyDescent="0.35">
      <c r="B694" s="97" t="s">
        <v>3335</v>
      </c>
    </row>
    <row r="695" spans="2:3" ht="12.75" customHeight="1" x14ac:dyDescent="0.35">
      <c r="B695" s="97" t="s">
        <v>3336</v>
      </c>
    </row>
    <row r="696" spans="2:3" ht="12.75" customHeight="1" x14ac:dyDescent="0.35">
      <c r="C696" s="97" t="s">
        <v>3337</v>
      </c>
    </row>
    <row r="697" spans="2:3" ht="12.75" customHeight="1" x14ac:dyDescent="0.35">
      <c r="C697" s="97" t="s">
        <v>3338</v>
      </c>
    </row>
    <row r="698" spans="2:3" ht="12.75" customHeight="1" x14ac:dyDescent="0.35">
      <c r="C698" s="97" t="s">
        <v>3339</v>
      </c>
    </row>
    <row r="699" spans="2:3" ht="12.75" customHeight="1" x14ac:dyDescent="0.35">
      <c r="C699" s="97" t="s">
        <v>3340</v>
      </c>
    </row>
    <row r="700" spans="2:3" ht="12.75" customHeight="1" x14ac:dyDescent="0.35">
      <c r="C700" s="97" t="s">
        <v>3341</v>
      </c>
    </row>
    <row r="701" spans="2:3" ht="12.75" customHeight="1" x14ac:dyDescent="0.35">
      <c r="B701" s="101"/>
      <c r="C701" s="97" t="s">
        <v>3342</v>
      </c>
    </row>
    <row r="702" spans="2:3" ht="12.75" customHeight="1" x14ac:dyDescent="0.35">
      <c r="B702" s="97" t="s">
        <v>3343</v>
      </c>
    </row>
    <row r="703" spans="2:3" ht="12.75" customHeight="1" x14ac:dyDescent="0.35">
      <c r="B703" s="97" t="s">
        <v>3344</v>
      </c>
    </row>
    <row r="704" spans="2:3" ht="12.75" customHeight="1" x14ac:dyDescent="0.35"/>
    <row r="705" spans="2:4" ht="12.75" customHeight="1" x14ac:dyDescent="0.35"/>
    <row r="706" spans="2:4" ht="12.75" customHeight="1" x14ac:dyDescent="0.35"/>
    <row r="707" spans="2:4" ht="12.75" customHeight="1" x14ac:dyDescent="0.35">
      <c r="B707" s="97" t="s">
        <v>3345</v>
      </c>
    </row>
    <row r="708" spans="2:4" ht="12.75" customHeight="1" x14ac:dyDescent="0.35"/>
    <row r="709" spans="2:4" ht="12.75" customHeight="1" x14ac:dyDescent="0.35">
      <c r="B709" s="97" t="s">
        <v>3199</v>
      </c>
    </row>
    <row r="710" spans="2:4" ht="12.75" customHeight="1" x14ac:dyDescent="0.35">
      <c r="B710" s="97" t="s">
        <v>3346</v>
      </c>
      <c r="D710" s="97" t="s">
        <v>3347</v>
      </c>
    </row>
    <row r="711" spans="2:4" ht="12.75" customHeight="1" x14ac:dyDescent="0.35">
      <c r="B711" s="97" t="s">
        <v>3348</v>
      </c>
    </row>
    <row r="712" spans="2:4" ht="12.75" customHeight="1" x14ac:dyDescent="0.35">
      <c r="C712" s="97" t="s">
        <v>3349</v>
      </c>
    </row>
    <row r="713" spans="2:4" ht="12.75" customHeight="1" x14ac:dyDescent="0.35">
      <c r="C713" s="97" t="s">
        <v>3350</v>
      </c>
    </row>
    <row r="714" spans="2:4" ht="12.75" customHeight="1" x14ac:dyDescent="0.35">
      <c r="C714" s="97" t="s">
        <v>3351</v>
      </c>
    </row>
    <row r="715" spans="2:4" ht="12.75" customHeight="1" x14ac:dyDescent="0.35">
      <c r="C715" s="97" t="s">
        <v>3350</v>
      </c>
    </row>
    <row r="716" spans="2:4" ht="12.75" customHeight="1" x14ac:dyDescent="0.35">
      <c r="C716" s="97" t="s">
        <v>3352</v>
      </c>
    </row>
    <row r="717" spans="2:4" ht="12.75" customHeight="1" x14ac:dyDescent="0.35">
      <c r="C717" s="97" t="s">
        <v>3353</v>
      </c>
    </row>
    <row r="718" spans="2:4" ht="12.75" customHeight="1" x14ac:dyDescent="0.35">
      <c r="C718" s="97" t="s">
        <v>3354</v>
      </c>
    </row>
    <row r="719" spans="2:4" ht="12.75" customHeight="1" x14ac:dyDescent="0.35">
      <c r="C719" s="97" t="s">
        <v>3353</v>
      </c>
    </row>
    <row r="720" spans="2:4" ht="12.75" customHeight="1" x14ac:dyDescent="0.35">
      <c r="C720" s="97" t="s">
        <v>3352</v>
      </c>
    </row>
    <row r="721" spans="2:3" ht="12.75" customHeight="1" x14ac:dyDescent="0.35">
      <c r="C721" s="97" t="s">
        <v>3355</v>
      </c>
    </row>
    <row r="722" spans="2:3" ht="12.75" customHeight="1" x14ac:dyDescent="0.35">
      <c r="C722" s="97" t="s">
        <v>3356</v>
      </c>
    </row>
    <row r="723" spans="2:3" ht="12.75" customHeight="1" x14ac:dyDescent="0.35">
      <c r="B723" s="108"/>
      <c r="C723" s="97" t="s">
        <v>3355</v>
      </c>
    </row>
    <row r="724" spans="2:3" ht="12.75" customHeight="1" x14ac:dyDescent="0.35">
      <c r="C724" s="97" t="s">
        <v>3352</v>
      </c>
    </row>
    <row r="725" spans="2:3" ht="12.75" customHeight="1" x14ac:dyDescent="0.35">
      <c r="C725" s="97" t="s">
        <v>3357</v>
      </c>
    </row>
    <row r="726" spans="2:3" ht="12.75" customHeight="1" x14ac:dyDescent="0.35">
      <c r="C726" s="97" t="s">
        <v>3358</v>
      </c>
    </row>
    <row r="727" spans="2:3" ht="12.75" customHeight="1" x14ac:dyDescent="0.35">
      <c r="C727" s="97" t="s">
        <v>3357</v>
      </c>
    </row>
    <row r="728" spans="2:3" ht="12.75" customHeight="1" x14ac:dyDescent="0.35">
      <c r="C728" s="97" t="s">
        <v>3352</v>
      </c>
    </row>
    <row r="729" spans="2:3" ht="12.75" customHeight="1" x14ac:dyDescent="0.35">
      <c r="C729" s="97" t="s">
        <v>3359</v>
      </c>
    </row>
    <row r="730" spans="2:3" ht="12.75" customHeight="1" x14ac:dyDescent="0.35">
      <c r="C730" s="97" t="s">
        <v>3360</v>
      </c>
    </row>
    <row r="731" spans="2:3" ht="12.75" customHeight="1" x14ac:dyDescent="0.35">
      <c r="C731" s="97" t="s">
        <v>3361</v>
      </c>
    </row>
    <row r="732" spans="2:3" ht="12.75" customHeight="1" x14ac:dyDescent="0.35">
      <c r="C732" s="97" t="s">
        <v>3360</v>
      </c>
    </row>
    <row r="733" spans="2:3" ht="12.75" customHeight="1" x14ac:dyDescent="0.35">
      <c r="C733" s="97" t="s">
        <v>3352</v>
      </c>
    </row>
    <row r="734" spans="2:3" ht="12.75" customHeight="1" x14ac:dyDescent="0.35">
      <c r="C734" s="97" t="s">
        <v>3362</v>
      </c>
    </row>
    <row r="735" spans="2:3" ht="12.75" customHeight="1" x14ac:dyDescent="0.35">
      <c r="C735" s="97" t="s">
        <v>3363</v>
      </c>
    </row>
    <row r="736" spans="2:3" ht="12.75" customHeight="1" x14ac:dyDescent="0.35">
      <c r="C736" s="97" t="s">
        <v>3362</v>
      </c>
    </row>
    <row r="737" spans="2:3" ht="12.75" customHeight="1" x14ac:dyDescent="0.35">
      <c r="C737" s="97" t="s">
        <v>3352</v>
      </c>
    </row>
    <row r="738" spans="2:3" ht="12.75" customHeight="1" x14ac:dyDescent="0.35">
      <c r="C738" s="97" t="s">
        <v>3364</v>
      </c>
    </row>
    <row r="739" spans="2:3" ht="12.75" customHeight="1" x14ac:dyDescent="0.35">
      <c r="C739" s="97" t="s">
        <v>3365</v>
      </c>
    </row>
    <row r="740" spans="2:3" ht="12.75" customHeight="1" x14ac:dyDescent="0.35">
      <c r="C740" s="97" t="s">
        <v>3364</v>
      </c>
    </row>
    <row r="741" spans="2:3" ht="12.75" customHeight="1" x14ac:dyDescent="0.35">
      <c r="C741" s="97" t="s">
        <v>3352</v>
      </c>
    </row>
    <row r="742" spans="2:3" ht="12.75" customHeight="1" x14ac:dyDescent="0.35">
      <c r="B742" s="101"/>
      <c r="C742" s="97" t="s">
        <v>3366</v>
      </c>
    </row>
    <row r="743" spans="2:3" ht="12.75" customHeight="1" x14ac:dyDescent="0.35">
      <c r="B743" s="101"/>
      <c r="C743" s="97" t="s">
        <v>3367</v>
      </c>
    </row>
    <row r="744" spans="2:3" ht="12.75" customHeight="1" x14ac:dyDescent="0.35">
      <c r="B744" s="101"/>
      <c r="C744" s="97" t="s">
        <v>3366</v>
      </c>
    </row>
    <row r="745" spans="2:3" ht="12.75" customHeight="1" x14ac:dyDescent="0.35">
      <c r="C745" s="97" t="s">
        <v>3352</v>
      </c>
    </row>
    <row r="746" spans="2:3" ht="12.75" customHeight="1" x14ac:dyDescent="0.35">
      <c r="C746" s="97" t="s">
        <v>3368</v>
      </c>
    </row>
    <row r="747" spans="2:3" ht="12.75" customHeight="1" x14ac:dyDescent="0.35">
      <c r="C747" s="97" t="s">
        <v>3369</v>
      </c>
    </row>
    <row r="748" spans="2:3" ht="12.75" customHeight="1" x14ac:dyDescent="0.35">
      <c r="C748" s="97" t="s">
        <v>3368</v>
      </c>
    </row>
    <row r="749" spans="2:3" ht="12.75" customHeight="1" x14ac:dyDescent="0.35">
      <c r="C749" s="97" t="s">
        <v>3352</v>
      </c>
    </row>
    <row r="750" spans="2:3" ht="12.75" customHeight="1" x14ac:dyDescent="0.35">
      <c r="C750" s="97" t="s">
        <v>3207</v>
      </c>
    </row>
    <row r="751" spans="2:3" ht="12.75" customHeight="1" x14ac:dyDescent="0.35">
      <c r="C751" s="97" t="s">
        <v>3370</v>
      </c>
    </row>
    <row r="752" spans="2:3" ht="12.75" customHeight="1" x14ac:dyDescent="0.35">
      <c r="C752" s="97" t="s">
        <v>3371</v>
      </c>
    </row>
    <row r="753" spans="2:3" ht="12.75" customHeight="1" x14ac:dyDescent="0.35">
      <c r="C753" s="97" t="s">
        <v>3372</v>
      </c>
    </row>
    <row r="754" spans="2:3" ht="12.75" customHeight="1" x14ac:dyDescent="0.35">
      <c r="C754" s="97" t="s">
        <v>3352</v>
      </c>
    </row>
    <row r="755" spans="2:3" ht="12.75" customHeight="1" x14ac:dyDescent="0.35">
      <c r="C755" s="97" t="s">
        <v>3373</v>
      </c>
    </row>
    <row r="756" spans="2:3" ht="12.75" customHeight="1" x14ac:dyDescent="0.35">
      <c r="C756" s="97" t="s">
        <v>3374</v>
      </c>
    </row>
    <row r="757" spans="2:3" ht="12.75" customHeight="1" x14ac:dyDescent="0.35">
      <c r="C757" s="97" t="s">
        <v>3373</v>
      </c>
    </row>
    <row r="758" spans="2:3" ht="12.75" customHeight="1" x14ac:dyDescent="0.35">
      <c r="C758" s="97" t="s">
        <v>3352</v>
      </c>
    </row>
    <row r="759" spans="2:3" ht="12.75" customHeight="1" x14ac:dyDescent="0.35">
      <c r="C759" s="97" t="s">
        <v>3375</v>
      </c>
    </row>
    <row r="760" spans="2:3" ht="12.75" customHeight="1" x14ac:dyDescent="0.35">
      <c r="C760" s="97" t="s">
        <v>3376</v>
      </c>
    </row>
    <row r="761" spans="2:3" ht="12.75" customHeight="1" x14ac:dyDescent="0.35">
      <c r="C761" s="97" t="s">
        <v>3377</v>
      </c>
    </row>
    <row r="762" spans="2:3" ht="12.75" customHeight="1" x14ac:dyDescent="0.35">
      <c r="C762" s="97" t="s">
        <v>3352</v>
      </c>
    </row>
    <row r="763" spans="2:3" ht="12.75" customHeight="1" x14ac:dyDescent="0.35">
      <c r="C763" s="97" t="s">
        <v>3378</v>
      </c>
    </row>
    <row r="764" spans="2:3" ht="12.75" customHeight="1" x14ac:dyDescent="0.35">
      <c r="C764" s="97" t="s">
        <v>3379</v>
      </c>
    </row>
    <row r="765" spans="2:3" ht="12.75" customHeight="1" x14ac:dyDescent="0.35">
      <c r="C765" s="97" t="s">
        <v>3378</v>
      </c>
    </row>
    <row r="766" spans="2:3" ht="12.75" customHeight="1" x14ac:dyDescent="0.35">
      <c r="C766" s="97" t="s">
        <v>3352</v>
      </c>
    </row>
    <row r="767" spans="2:3" ht="12.75" customHeight="1" x14ac:dyDescent="0.35">
      <c r="C767" s="97" t="s">
        <v>3380</v>
      </c>
    </row>
    <row r="768" spans="2:3" ht="12.75" customHeight="1" x14ac:dyDescent="0.35">
      <c r="B768" s="97" t="s">
        <v>3381</v>
      </c>
    </row>
    <row r="769" spans="2:3" ht="12.75" customHeight="1" x14ac:dyDescent="0.35">
      <c r="C769" s="97" t="s">
        <v>3382</v>
      </c>
    </row>
    <row r="770" spans="2:3" ht="12.75" customHeight="1" x14ac:dyDescent="0.35">
      <c r="C770" s="97" t="s">
        <v>3295</v>
      </c>
    </row>
    <row r="771" spans="2:3" ht="12.75" customHeight="1" x14ac:dyDescent="0.35">
      <c r="C771" s="1232" t="s">
        <v>5442</v>
      </c>
    </row>
    <row r="772" spans="2:3" ht="12.75" customHeight="1" x14ac:dyDescent="0.35">
      <c r="C772" s="97" t="s">
        <v>3383</v>
      </c>
    </row>
    <row r="773" spans="2:3" ht="12.75" customHeight="1" x14ac:dyDescent="0.35">
      <c r="C773" s="1232" t="s">
        <v>5444</v>
      </c>
    </row>
    <row r="774" spans="2:3" ht="12.75" customHeight="1" x14ac:dyDescent="0.35">
      <c r="C774" s="97" t="s">
        <v>3384</v>
      </c>
    </row>
    <row r="775" spans="2:3" ht="12.75" customHeight="1" x14ac:dyDescent="0.35">
      <c r="C775" s="97" t="s">
        <v>3385</v>
      </c>
    </row>
    <row r="776" spans="2:3" ht="12.75" customHeight="1" x14ac:dyDescent="0.35">
      <c r="B776" s="97" t="s">
        <v>3346</v>
      </c>
    </row>
    <row r="777" spans="2:3" ht="12.75" customHeight="1" x14ac:dyDescent="0.35"/>
    <row r="778" spans="2:3" ht="12.75" customHeight="1" x14ac:dyDescent="0.35"/>
    <row r="779" spans="2:3" ht="12.75" customHeight="1" x14ac:dyDescent="0.35"/>
    <row r="780" spans="2:3" ht="12.75" customHeight="1" x14ac:dyDescent="0.35"/>
    <row r="781" spans="2:3" ht="12.75" customHeight="1" x14ac:dyDescent="0.35"/>
    <row r="782" spans="2:3" ht="12.75" customHeight="1" x14ac:dyDescent="0.35"/>
    <row r="783" spans="2:3" ht="12.75" customHeight="1" x14ac:dyDescent="0.35"/>
    <row r="784" spans="2:3" ht="12.75" customHeight="1" x14ac:dyDescent="0.35"/>
    <row r="785" spans="2:3" ht="12.75" customHeight="1" x14ac:dyDescent="0.35"/>
    <row r="786" spans="2:3" ht="12.75" customHeight="1" x14ac:dyDescent="0.35"/>
    <row r="787" spans="2:3" ht="12.75" customHeight="1" x14ac:dyDescent="0.35"/>
    <row r="788" spans="2:3" ht="12.75" customHeight="1" x14ac:dyDescent="0.35"/>
    <row r="789" spans="2:3" ht="12.75" customHeight="1" x14ac:dyDescent="0.35">
      <c r="B789" s="97" t="s">
        <v>3386</v>
      </c>
    </row>
    <row r="790" spans="2:3" ht="12.75" customHeight="1" x14ac:dyDescent="0.35">
      <c r="B790" s="97" t="s">
        <v>3387</v>
      </c>
    </row>
    <row r="791" spans="2:3" ht="12.75" customHeight="1" x14ac:dyDescent="0.35">
      <c r="B791" s="97" t="s">
        <v>3388</v>
      </c>
    </row>
    <row r="792" spans="2:3" ht="12.75" customHeight="1" x14ac:dyDescent="0.35"/>
    <row r="793" spans="2:3" ht="12.75" customHeight="1" x14ac:dyDescent="0.35">
      <c r="B793" s="97" t="s">
        <v>3389</v>
      </c>
    </row>
    <row r="794" spans="2:3" ht="12.75" customHeight="1" x14ac:dyDescent="0.35">
      <c r="B794" s="97" t="s">
        <v>3238</v>
      </c>
    </row>
    <row r="795" spans="2:3" ht="12.75" customHeight="1" x14ac:dyDescent="0.35">
      <c r="C795" s="97" t="s">
        <v>3220</v>
      </c>
    </row>
    <row r="796" spans="2:3" ht="12.75" customHeight="1" x14ac:dyDescent="0.35">
      <c r="C796" s="97" t="s">
        <v>3390</v>
      </c>
    </row>
    <row r="797" spans="2:3" ht="12.75" customHeight="1" x14ac:dyDescent="0.35">
      <c r="C797" s="97" t="s">
        <v>3391</v>
      </c>
    </row>
    <row r="798" spans="2:3" ht="12.75" customHeight="1" x14ac:dyDescent="0.35">
      <c r="C798" s="97" t="s">
        <v>3223</v>
      </c>
    </row>
    <row r="799" spans="2:3" ht="12.75" customHeight="1" x14ac:dyDescent="0.35">
      <c r="C799" s="97" t="s">
        <v>3392</v>
      </c>
    </row>
    <row r="800" spans="2:3" ht="12.75" customHeight="1" x14ac:dyDescent="0.35">
      <c r="C800" s="97" t="s">
        <v>3393</v>
      </c>
    </row>
    <row r="801" spans="1:3" ht="12.75" customHeight="1" x14ac:dyDescent="0.35">
      <c r="B801" s="97" t="s">
        <v>3394</v>
      </c>
    </row>
    <row r="802" spans="1:3" ht="12.75" customHeight="1" x14ac:dyDescent="0.35">
      <c r="A802" s="101"/>
      <c r="B802" s="97" t="s">
        <v>3395</v>
      </c>
    </row>
    <row r="803" spans="1:3" ht="12.75" customHeight="1" x14ac:dyDescent="0.35">
      <c r="B803" s="97" t="s">
        <v>3396</v>
      </c>
    </row>
    <row r="804" spans="1:3" ht="12.75" customHeight="1" x14ac:dyDescent="0.35">
      <c r="B804" s="97" t="s">
        <v>3397</v>
      </c>
    </row>
    <row r="805" spans="1:3" ht="12.75" customHeight="1" x14ac:dyDescent="0.35">
      <c r="C805" s="97" t="s">
        <v>3398</v>
      </c>
    </row>
    <row r="806" spans="1:3" ht="12.75" customHeight="1" x14ac:dyDescent="0.35">
      <c r="C806" s="97" t="s">
        <v>3399</v>
      </c>
    </row>
    <row r="807" spans="1:3" ht="12.75" customHeight="1" x14ac:dyDescent="0.35">
      <c r="C807" s="116" t="s">
        <v>5736</v>
      </c>
    </row>
    <row r="808" spans="1:3" ht="12.75" customHeight="1" x14ac:dyDescent="0.35">
      <c r="C808" s="97" t="s">
        <v>3400</v>
      </c>
    </row>
    <row r="809" spans="1:3" ht="12.75" customHeight="1" x14ac:dyDescent="0.35">
      <c r="B809" s="101"/>
      <c r="C809" s="97" t="s">
        <v>3401</v>
      </c>
    </row>
    <row r="810" spans="1:3" ht="12.75" customHeight="1" x14ac:dyDescent="0.35">
      <c r="C810" s="97" t="s">
        <v>3318</v>
      </c>
    </row>
    <row r="811" spans="1:3" ht="12.75" customHeight="1" x14ac:dyDescent="0.35">
      <c r="C811" s="97" t="s">
        <v>3306</v>
      </c>
    </row>
    <row r="812" spans="1:3" ht="12.75" customHeight="1" x14ac:dyDescent="0.35">
      <c r="C812" s="97" t="s">
        <v>3402</v>
      </c>
    </row>
    <row r="813" spans="1:3" ht="12.75" customHeight="1" x14ac:dyDescent="0.35">
      <c r="C813" s="97" t="s">
        <v>3403</v>
      </c>
    </row>
    <row r="814" spans="1:3" ht="12.75" customHeight="1" x14ac:dyDescent="0.35">
      <c r="C814" s="97" t="s">
        <v>3404</v>
      </c>
    </row>
    <row r="815" spans="1:3" ht="12.75" customHeight="1" x14ac:dyDescent="0.35">
      <c r="C815" s="97" t="s">
        <v>3405</v>
      </c>
    </row>
    <row r="816" spans="1:3" ht="12.75" customHeight="1" x14ac:dyDescent="0.35">
      <c r="C816" s="97" t="s">
        <v>3406</v>
      </c>
    </row>
    <row r="817" spans="2:3" ht="12.75" customHeight="1" x14ac:dyDescent="0.35">
      <c r="C817" s="116" t="s">
        <v>5735</v>
      </c>
    </row>
    <row r="818" spans="2:3" ht="12.75" customHeight="1" x14ac:dyDescent="0.35">
      <c r="C818" s="97" t="s">
        <v>3407</v>
      </c>
    </row>
    <row r="819" spans="2:3" ht="12.75" customHeight="1" x14ac:dyDescent="0.35">
      <c r="C819" s="1232" t="s">
        <v>5450</v>
      </c>
    </row>
    <row r="820" spans="2:3" ht="12.75" customHeight="1" x14ac:dyDescent="0.35">
      <c r="C820" s="97" t="s">
        <v>3408</v>
      </c>
    </row>
    <row r="821" spans="2:3" ht="12.75" customHeight="1" x14ac:dyDescent="0.35">
      <c r="C821" s="97" t="s">
        <v>3409</v>
      </c>
    </row>
    <row r="822" spans="2:3" ht="12.75" customHeight="1" x14ac:dyDescent="0.35">
      <c r="C822" s="97" t="s">
        <v>3410</v>
      </c>
    </row>
    <row r="823" spans="2:3" ht="12.75" customHeight="1" x14ac:dyDescent="0.35">
      <c r="B823" s="97" t="s">
        <v>3389</v>
      </c>
    </row>
    <row r="824" spans="2:3" ht="12.75" customHeight="1" x14ac:dyDescent="0.35">
      <c r="B824" s="97" t="s">
        <v>3411</v>
      </c>
    </row>
    <row r="825" spans="2:3" ht="12.75" customHeight="1" x14ac:dyDescent="0.35">
      <c r="B825" s="97" t="s">
        <v>3236</v>
      </c>
    </row>
    <row r="826" spans="2:3" ht="12.75" customHeight="1" x14ac:dyDescent="0.35">
      <c r="B826" s="97" t="s">
        <v>3271</v>
      </c>
    </row>
    <row r="827" spans="2:3" ht="12.75" customHeight="1" x14ac:dyDescent="0.35">
      <c r="B827" s="97" t="s">
        <v>3227</v>
      </c>
    </row>
    <row r="828" spans="2:3" ht="12.75" customHeight="1" x14ac:dyDescent="0.35">
      <c r="B828" s="97" t="s">
        <v>3412</v>
      </c>
    </row>
    <row r="829" spans="2:3" ht="12.75" customHeight="1" x14ac:dyDescent="0.35">
      <c r="B829" s="97" t="s">
        <v>3402</v>
      </c>
    </row>
    <row r="830" spans="2:3" ht="12.75" customHeight="1" x14ac:dyDescent="0.35">
      <c r="B830" s="97" t="s">
        <v>3413</v>
      </c>
    </row>
    <row r="831" spans="2:3" ht="12.75" customHeight="1" x14ac:dyDescent="0.35">
      <c r="B831" s="97" t="s">
        <v>3414</v>
      </c>
    </row>
    <row r="832" spans="2:3" ht="12.75" customHeight="1" x14ac:dyDescent="0.35"/>
    <row r="833" spans="2:2" ht="12.75" customHeight="1" x14ac:dyDescent="0.35">
      <c r="B833" s="97" t="s">
        <v>3415</v>
      </c>
    </row>
    <row r="834" spans="2:2" ht="12.75" customHeight="1" x14ac:dyDescent="0.35">
      <c r="B834" s="97" t="s">
        <v>3416</v>
      </c>
    </row>
    <row r="835" spans="2:2" ht="12.75" customHeight="1" x14ac:dyDescent="0.35">
      <c r="B835" s="97" t="s">
        <v>3324</v>
      </c>
    </row>
    <row r="836" spans="2:2" ht="12.75" customHeight="1" x14ac:dyDescent="0.35">
      <c r="B836" s="97" t="s">
        <v>3417</v>
      </c>
    </row>
    <row r="837" spans="2:2" ht="12.75" customHeight="1" x14ac:dyDescent="0.35"/>
    <row r="838" spans="2:2" ht="12.75" customHeight="1" x14ac:dyDescent="0.35"/>
    <row r="839" spans="2:2" ht="12.75" customHeight="1" x14ac:dyDescent="0.35"/>
    <row r="840" spans="2:2" ht="12.75" customHeight="1" x14ac:dyDescent="0.35">
      <c r="B840" s="97" t="s">
        <v>3418</v>
      </c>
    </row>
    <row r="841" spans="2:2" ht="12.75" customHeight="1" x14ac:dyDescent="0.35"/>
    <row r="842" spans="2:2" ht="12.75" customHeight="1" x14ac:dyDescent="0.35">
      <c r="B842" s="97" t="s">
        <v>3199</v>
      </c>
    </row>
  </sheetData>
  <printOptions gridLines="1"/>
  <pageMargins left="0.35433070866141736" right="0.35433070866141736" top="0.78740157480314965" bottom="0.78740157480314965" header="0.51181102362204722" footer="0.51181102362204722"/>
  <pageSetup paperSize="9" fitToWidth="2" fitToHeight="8" orientation="portrait" r:id="rId1"/>
  <headerFooter>
    <oddHeader>&amp;C&amp;A</oddHeader>
    <oddFooter>&amp;CPage &amp;P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pageSetUpPr autoPageBreaks="0" fitToPage="1"/>
  </sheetPr>
  <dimension ref="A1:D842"/>
  <sheetViews>
    <sheetView topLeftCell="A578" workbookViewId="0">
      <selection activeCell="K620" sqref="K620"/>
    </sheetView>
  </sheetViews>
  <sheetFormatPr defaultColWidth="9.1796875" defaultRowHeight="14.5" x14ac:dyDescent="0.35"/>
  <cols>
    <col min="1" max="1" width="1.54296875" style="97" customWidth="1"/>
    <col min="2" max="2" width="8.7265625" style="97" customWidth="1"/>
    <col min="3" max="4" width="10.7265625" style="97" customWidth="1"/>
    <col min="5" max="16384" width="9.1796875" style="97"/>
  </cols>
  <sheetData>
    <row r="1" spans="2:2" ht="12.75" customHeight="1" x14ac:dyDescent="0.35">
      <c r="B1" s="97" t="s">
        <v>3419</v>
      </c>
    </row>
    <row r="2" spans="2:2" ht="12.75" customHeight="1" x14ac:dyDescent="0.35">
      <c r="B2" s="97" t="s">
        <v>3420</v>
      </c>
    </row>
    <row r="3" spans="2:2" ht="12.75" customHeight="1" x14ac:dyDescent="0.35">
      <c r="B3" s="97" t="s">
        <v>3421</v>
      </c>
    </row>
    <row r="4" spans="2:2" ht="12.75" customHeight="1" x14ac:dyDescent="0.35">
      <c r="B4" s="97" t="s">
        <v>3422</v>
      </c>
    </row>
    <row r="5" spans="2:2" ht="12.75" customHeight="1" x14ac:dyDescent="0.35">
      <c r="B5" s="97" t="s">
        <v>3423</v>
      </c>
    </row>
    <row r="6" spans="2:2" ht="12.75" customHeight="1" x14ac:dyDescent="0.35">
      <c r="B6" s="97" t="s">
        <v>3424</v>
      </c>
    </row>
    <row r="7" spans="2:2" ht="12.75" customHeight="1" x14ac:dyDescent="0.35"/>
    <row r="8" spans="2:2" ht="12.75" customHeight="1" x14ac:dyDescent="0.35"/>
    <row r="9" spans="2:2" ht="12.75" customHeight="1" x14ac:dyDescent="0.35"/>
    <row r="10" spans="2:2" ht="12.75" customHeight="1" x14ac:dyDescent="0.35"/>
    <row r="11" spans="2:2" ht="12.75" customHeight="1" x14ac:dyDescent="0.35">
      <c r="B11" s="97" t="s">
        <v>3425</v>
      </c>
    </row>
    <row r="12" spans="2:2" ht="12.75" customHeight="1" x14ac:dyDescent="0.35">
      <c r="B12" s="97" t="s">
        <v>3426</v>
      </c>
    </row>
    <row r="13" spans="2:2" ht="12.75" customHeight="1" x14ac:dyDescent="0.35">
      <c r="B13" s="97" t="s">
        <v>3427</v>
      </c>
    </row>
    <row r="14" spans="2:2" ht="12.75" customHeight="1" x14ac:dyDescent="0.35"/>
    <row r="15" spans="2:2" ht="12.75" customHeight="1" x14ac:dyDescent="0.35">
      <c r="B15" s="97" t="s">
        <v>3428</v>
      </c>
    </row>
    <row r="16" spans="2:2" ht="12.75" customHeight="1" x14ac:dyDescent="0.35"/>
    <row r="17" spans="2:4" ht="12.75" customHeight="1" x14ac:dyDescent="0.35">
      <c r="B17" s="97" t="s">
        <v>3426</v>
      </c>
      <c r="D17" s="97" t="s">
        <v>3430</v>
      </c>
    </row>
    <row r="18" spans="2:4" ht="12.75" customHeight="1" x14ac:dyDescent="0.35"/>
    <row r="19" spans="2:4" ht="12.75" customHeight="1" x14ac:dyDescent="0.35"/>
    <row r="20" spans="2:4" ht="12.75" customHeight="1" x14ac:dyDescent="0.35"/>
    <row r="21" spans="2:4" ht="12.75" customHeight="1" x14ac:dyDescent="0.35">
      <c r="C21" s="97" t="s">
        <v>3432</v>
      </c>
    </row>
    <row r="22" spans="2:4" ht="12.75" customHeight="1" x14ac:dyDescent="0.35"/>
    <row r="23" spans="2:4" ht="12.75" customHeight="1" x14ac:dyDescent="0.35"/>
    <row r="24" spans="2:4" ht="12.75" customHeight="1" x14ac:dyDescent="0.35"/>
    <row r="25" spans="2:4" ht="12.75" customHeight="1" x14ac:dyDescent="0.35">
      <c r="C25" s="97" t="s">
        <v>3433</v>
      </c>
    </row>
    <row r="26" spans="2:4" ht="12.75" customHeight="1" x14ac:dyDescent="0.35"/>
    <row r="27" spans="2:4" ht="12.75" customHeight="1" x14ac:dyDescent="0.35"/>
    <row r="28" spans="2:4" ht="12.75" customHeight="1" x14ac:dyDescent="0.35"/>
    <row r="29" spans="2:4" ht="12.75" customHeight="1" x14ac:dyDescent="0.35"/>
    <row r="30" spans="2:4" ht="12.75" customHeight="1" x14ac:dyDescent="0.35"/>
    <row r="31" spans="2:4" ht="12.75" customHeight="1" x14ac:dyDescent="0.35">
      <c r="C31" s="97" t="s">
        <v>3432</v>
      </c>
    </row>
    <row r="32" spans="2:4" ht="12.75" customHeight="1" x14ac:dyDescent="0.35"/>
    <row r="33" spans="3:3" ht="12.75" customHeight="1" x14ac:dyDescent="0.35"/>
    <row r="34" spans="3:3" ht="12.75" customHeight="1" x14ac:dyDescent="0.35"/>
    <row r="35" spans="3:3" ht="12.75" customHeight="1" x14ac:dyDescent="0.35">
      <c r="C35" s="97" t="s">
        <v>3433</v>
      </c>
    </row>
    <row r="36" spans="3:3" ht="12.75" customHeight="1" x14ac:dyDescent="0.35"/>
    <row r="37" spans="3:3" ht="12.75" customHeight="1" x14ac:dyDescent="0.35"/>
    <row r="38" spans="3:3" ht="12.75" customHeight="1" x14ac:dyDescent="0.35"/>
    <row r="39" spans="3:3" ht="12.75" customHeight="1" x14ac:dyDescent="0.35"/>
    <row r="40" spans="3:3" ht="12.75" customHeight="1" x14ac:dyDescent="0.35"/>
    <row r="41" spans="3:3" ht="12.75" customHeight="1" x14ac:dyDescent="0.35">
      <c r="C41" s="97" t="s">
        <v>3432</v>
      </c>
    </row>
    <row r="42" spans="3:3" ht="12.75" customHeight="1" x14ac:dyDescent="0.35"/>
    <row r="43" spans="3:3" ht="12.75" customHeight="1" x14ac:dyDescent="0.35"/>
    <row r="44" spans="3:3" ht="12.75" customHeight="1" x14ac:dyDescent="0.35"/>
    <row r="45" spans="3:3" ht="12.75" customHeight="1" x14ac:dyDescent="0.35">
      <c r="C45" s="97" t="s">
        <v>3433</v>
      </c>
    </row>
    <row r="46" spans="3:3" ht="12.75" customHeight="1" x14ac:dyDescent="0.35"/>
    <row r="47" spans="3:3" ht="12.75" customHeight="1" x14ac:dyDescent="0.35"/>
    <row r="48" spans="3:3" ht="12.75" customHeight="1" x14ac:dyDescent="0.35"/>
    <row r="49" spans="3:3" ht="12.75" customHeight="1" x14ac:dyDescent="0.35"/>
    <row r="50" spans="3:3" ht="12.75" customHeight="1" x14ac:dyDescent="0.35"/>
    <row r="51" spans="3:3" ht="12.75" customHeight="1" x14ac:dyDescent="0.35">
      <c r="C51" s="97" t="s">
        <v>3432</v>
      </c>
    </row>
    <row r="52" spans="3:3" ht="12.75" customHeight="1" x14ac:dyDescent="0.35"/>
    <row r="53" spans="3:3" ht="12.75" customHeight="1" x14ac:dyDescent="0.35"/>
    <row r="54" spans="3:3" ht="12.75" customHeight="1" x14ac:dyDescent="0.35"/>
    <row r="55" spans="3:3" ht="12.75" customHeight="1" x14ac:dyDescent="0.35">
      <c r="C55" s="97" t="s">
        <v>3433</v>
      </c>
    </row>
    <row r="56" spans="3:3" ht="12.75" customHeight="1" x14ac:dyDescent="0.35"/>
    <row r="57" spans="3:3" ht="12.75" customHeight="1" x14ac:dyDescent="0.35"/>
    <row r="58" spans="3:3" ht="12.75" customHeight="1" x14ac:dyDescent="0.35"/>
    <row r="59" spans="3:3" ht="12.75" customHeight="1" x14ac:dyDescent="0.35"/>
    <row r="60" spans="3:3" ht="12.75" customHeight="1" x14ac:dyDescent="0.35"/>
    <row r="61" spans="3:3" ht="12.75" customHeight="1" x14ac:dyDescent="0.35">
      <c r="C61" s="97" t="s">
        <v>3432</v>
      </c>
    </row>
    <row r="62" spans="3:3" ht="12.75" customHeight="1" x14ac:dyDescent="0.35"/>
    <row r="63" spans="3:3" ht="12.75" customHeight="1" x14ac:dyDescent="0.35"/>
    <row r="64" spans="3:3" ht="12.75" customHeight="1" x14ac:dyDescent="0.35"/>
    <row r="65" spans="3:3" ht="12.75" customHeight="1" x14ac:dyDescent="0.35">
      <c r="C65" s="97" t="s">
        <v>3433</v>
      </c>
    </row>
    <row r="66" spans="3:3" ht="12.75" customHeight="1" x14ac:dyDescent="0.35"/>
    <row r="67" spans="3:3" ht="12.75" customHeight="1" x14ac:dyDescent="0.35"/>
    <row r="68" spans="3:3" ht="12.75" customHeight="1" x14ac:dyDescent="0.35"/>
    <row r="69" spans="3:3" ht="12.75" customHeight="1" x14ac:dyDescent="0.35"/>
    <row r="70" spans="3:3" ht="12.75" customHeight="1" x14ac:dyDescent="0.35"/>
    <row r="71" spans="3:3" ht="12.75" customHeight="1" x14ac:dyDescent="0.35">
      <c r="C71" s="97" t="s">
        <v>3432</v>
      </c>
    </row>
    <row r="72" spans="3:3" ht="12.75" customHeight="1" x14ac:dyDescent="0.35"/>
    <row r="73" spans="3:3" ht="12.75" customHeight="1" x14ac:dyDescent="0.35"/>
    <row r="74" spans="3:3" ht="12.75" customHeight="1" x14ac:dyDescent="0.35"/>
    <row r="75" spans="3:3" ht="12.75" customHeight="1" x14ac:dyDescent="0.35">
      <c r="C75" s="97" t="s">
        <v>3433</v>
      </c>
    </row>
    <row r="76" spans="3:3" ht="12.75" customHeight="1" x14ac:dyDescent="0.35"/>
    <row r="77" spans="3:3" ht="12.75" customHeight="1" x14ac:dyDescent="0.35"/>
    <row r="78" spans="3:3" ht="12.75" customHeight="1" x14ac:dyDescent="0.35"/>
    <row r="79" spans="3:3" ht="12.75" customHeight="1" x14ac:dyDescent="0.35"/>
    <row r="80" spans="3:3" ht="12.75" customHeight="1" x14ac:dyDescent="0.35"/>
    <row r="81" spans="3:3" ht="12.75" customHeight="1" x14ac:dyDescent="0.35">
      <c r="C81" s="97" t="s">
        <v>3432</v>
      </c>
    </row>
    <row r="82" spans="3:3" ht="12.75" customHeight="1" x14ac:dyDescent="0.35"/>
    <row r="83" spans="3:3" ht="12.75" customHeight="1" x14ac:dyDescent="0.35"/>
    <row r="84" spans="3:3" ht="12.75" customHeight="1" x14ac:dyDescent="0.35"/>
    <row r="85" spans="3:3" ht="12.75" customHeight="1" x14ac:dyDescent="0.35">
      <c r="C85" s="97" t="s">
        <v>3433</v>
      </c>
    </row>
    <row r="86" spans="3:3" ht="12.75" customHeight="1" x14ac:dyDescent="0.35"/>
    <row r="87" spans="3:3" ht="12.75" customHeight="1" x14ac:dyDescent="0.35"/>
    <row r="88" spans="3:3" ht="12.75" customHeight="1" x14ac:dyDescent="0.35"/>
    <row r="89" spans="3:3" ht="12.75" customHeight="1" x14ac:dyDescent="0.35"/>
    <row r="90" spans="3:3" ht="12.75" customHeight="1" x14ac:dyDescent="0.35"/>
    <row r="91" spans="3:3" ht="12.75" customHeight="1" x14ac:dyDescent="0.35">
      <c r="C91" s="97" t="s">
        <v>3432</v>
      </c>
    </row>
    <row r="92" spans="3:3" ht="12.75" customHeight="1" x14ac:dyDescent="0.35"/>
    <row r="93" spans="3:3" ht="12.75" customHeight="1" x14ac:dyDescent="0.35"/>
    <row r="94" spans="3:3" ht="12.75" customHeight="1" x14ac:dyDescent="0.35"/>
    <row r="95" spans="3:3" ht="12.75" customHeight="1" x14ac:dyDescent="0.35">
      <c r="C95" s="97" t="s">
        <v>3433</v>
      </c>
    </row>
    <row r="96" spans="3:3" ht="12.75" customHeight="1" x14ac:dyDescent="0.35"/>
    <row r="97" spans="3:3" ht="12.75" customHeight="1" x14ac:dyDescent="0.35"/>
    <row r="98" spans="3:3" ht="12.75" customHeight="1" x14ac:dyDescent="0.35"/>
    <row r="99" spans="3:3" ht="12.75" customHeight="1" x14ac:dyDescent="0.35"/>
    <row r="100" spans="3:3" ht="12.75" customHeight="1" x14ac:dyDescent="0.35"/>
    <row r="101" spans="3:3" ht="12.75" customHeight="1" x14ac:dyDescent="0.35">
      <c r="C101" s="97" t="s">
        <v>3432</v>
      </c>
    </row>
    <row r="102" spans="3:3" ht="12.75" customHeight="1" x14ac:dyDescent="0.35"/>
    <row r="103" spans="3:3" ht="12.75" customHeight="1" x14ac:dyDescent="0.35"/>
    <row r="104" spans="3:3" ht="12.75" customHeight="1" x14ac:dyDescent="0.35"/>
    <row r="105" spans="3:3" ht="12.75" customHeight="1" x14ac:dyDescent="0.35">
      <c r="C105" s="97" t="s">
        <v>3433</v>
      </c>
    </row>
    <row r="106" spans="3:3" ht="12.75" customHeight="1" x14ac:dyDescent="0.35"/>
    <row r="107" spans="3:3" ht="12.75" customHeight="1" x14ac:dyDescent="0.35"/>
    <row r="108" spans="3:3" ht="12.75" customHeight="1" x14ac:dyDescent="0.35"/>
    <row r="109" spans="3:3" ht="12.75" customHeight="1" x14ac:dyDescent="0.35"/>
    <row r="110" spans="3:3" ht="12.75" customHeight="1" x14ac:dyDescent="0.35"/>
    <row r="111" spans="3:3" ht="12.75" customHeight="1" x14ac:dyDescent="0.35">
      <c r="C111" s="97" t="s">
        <v>3432</v>
      </c>
    </row>
    <row r="112" spans="3:3" ht="12.75" customHeight="1" x14ac:dyDescent="0.35"/>
    <row r="113" spans="3:3" ht="12.75" customHeight="1" x14ac:dyDescent="0.35"/>
    <row r="114" spans="3:3" ht="12.75" customHeight="1" x14ac:dyDescent="0.35"/>
    <row r="115" spans="3:3" ht="12.75" customHeight="1" x14ac:dyDescent="0.35">
      <c r="C115" s="97" t="s">
        <v>3433</v>
      </c>
    </row>
    <row r="116" spans="3:3" ht="12.75" customHeight="1" x14ac:dyDescent="0.35"/>
    <row r="117" spans="3:3" ht="12.75" customHeight="1" x14ac:dyDescent="0.35"/>
    <row r="118" spans="3:3" ht="12.75" customHeight="1" x14ac:dyDescent="0.35"/>
    <row r="119" spans="3:3" ht="12.75" customHeight="1" x14ac:dyDescent="0.35"/>
    <row r="120" spans="3:3" ht="12.75" customHeight="1" x14ac:dyDescent="0.35"/>
    <row r="121" spans="3:3" ht="12.75" customHeight="1" x14ac:dyDescent="0.35">
      <c r="C121" s="97" t="s">
        <v>3432</v>
      </c>
    </row>
    <row r="122" spans="3:3" ht="12.75" customHeight="1" x14ac:dyDescent="0.35"/>
    <row r="123" spans="3:3" ht="12.75" customHeight="1" x14ac:dyDescent="0.35"/>
    <row r="124" spans="3:3" ht="12.75" customHeight="1" x14ac:dyDescent="0.35"/>
    <row r="125" spans="3:3" ht="12.75" customHeight="1" x14ac:dyDescent="0.35">
      <c r="C125" s="97" t="s">
        <v>3433</v>
      </c>
    </row>
    <row r="126" spans="3:3" ht="12.75" customHeight="1" x14ac:dyDescent="0.35"/>
    <row r="127" spans="3:3" ht="12.75" customHeight="1" x14ac:dyDescent="0.35"/>
    <row r="128" spans="3:3" ht="12.75" customHeight="1" x14ac:dyDescent="0.35"/>
    <row r="129" spans="3:3" ht="12.75" customHeight="1" x14ac:dyDescent="0.35"/>
    <row r="130" spans="3:3" ht="12.75" customHeight="1" x14ac:dyDescent="0.35"/>
    <row r="131" spans="3:3" ht="12.75" customHeight="1" x14ac:dyDescent="0.35">
      <c r="C131" s="97" t="s">
        <v>3432</v>
      </c>
    </row>
    <row r="132" spans="3:3" ht="12.75" customHeight="1" x14ac:dyDescent="0.35"/>
    <row r="133" spans="3:3" ht="12.75" customHeight="1" x14ac:dyDescent="0.35"/>
    <row r="134" spans="3:3" ht="12.75" customHeight="1" x14ac:dyDescent="0.35"/>
    <row r="135" spans="3:3" ht="12.75" customHeight="1" x14ac:dyDescent="0.35">
      <c r="C135" s="97" t="s">
        <v>3433</v>
      </c>
    </row>
    <row r="136" spans="3:3" ht="12.75" customHeight="1" x14ac:dyDescent="0.35"/>
    <row r="137" spans="3:3" ht="12.75" customHeight="1" x14ac:dyDescent="0.35"/>
    <row r="138" spans="3:3" ht="12.75" customHeight="1" x14ac:dyDescent="0.35"/>
    <row r="139" spans="3:3" ht="12.75" customHeight="1" x14ac:dyDescent="0.35"/>
    <row r="140" spans="3:3" ht="12.75" customHeight="1" x14ac:dyDescent="0.35"/>
    <row r="141" spans="3:3" ht="12.75" customHeight="1" x14ac:dyDescent="0.35">
      <c r="C141" s="97" t="s">
        <v>3432</v>
      </c>
    </row>
    <row r="142" spans="3:3" ht="12.75" customHeight="1" x14ac:dyDescent="0.35"/>
    <row r="143" spans="3:3" ht="12.75" customHeight="1" x14ac:dyDescent="0.35"/>
    <row r="144" spans="3:3" ht="12.75" customHeight="1" x14ac:dyDescent="0.35"/>
    <row r="145" spans="2:3" ht="12.75" customHeight="1" x14ac:dyDescent="0.35">
      <c r="C145" s="97" t="s">
        <v>3433</v>
      </c>
    </row>
    <row r="146" spans="2:3" ht="12.75" customHeight="1" x14ac:dyDescent="0.35"/>
    <row r="147" spans="2:3" ht="12.75" customHeight="1" x14ac:dyDescent="0.35"/>
    <row r="148" spans="2:3" ht="12.75" customHeight="1" x14ac:dyDescent="0.35"/>
    <row r="149" spans="2:3" ht="12.75" customHeight="1" x14ac:dyDescent="0.35"/>
    <row r="150" spans="2:3" ht="12.75" customHeight="1" x14ac:dyDescent="0.35">
      <c r="B150" s="97" t="s">
        <v>3431</v>
      </c>
    </row>
    <row r="151" spans="2:3" ht="12.75" customHeight="1" x14ac:dyDescent="0.35">
      <c r="C151" s="97" t="s">
        <v>3432</v>
      </c>
    </row>
    <row r="152" spans="2:3" ht="12.75" customHeight="1" x14ac:dyDescent="0.35"/>
    <row r="153" spans="2:3" ht="12.75" customHeight="1" x14ac:dyDescent="0.35"/>
    <row r="154" spans="2:3" ht="12.75" customHeight="1" x14ac:dyDescent="0.35">
      <c r="B154" s="97" t="s">
        <v>3431</v>
      </c>
    </row>
    <row r="155" spans="2:3" ht="12.75" customHeight="1" x14ac:dyDescent="0.35">
      <c r="C155" s="97" t="s">
        <v>3433</v>
      </c>
    </row>
    <row r="156" spans="2:3" ht="12.75" customHeight="1" x14ac:dyDescent="0.35"/>
    <row r="157" spans="2:3" ht="12.75" customHeight="1" x14ac:dyDescent="0.35"/>
    <row r="158" spans="2:3" ht="12.75" customHeight="1" x14ac:dyDescent="0.35"/>
    <row r="159" spans="2:3" ht="12.75" customHeight="1" x14ac:dyDescent="0.35"/>
    <row r="160" spans="2:3" ht="12.75" customHeight="1" x14ac:dyDescent="0.35">
      <c r="B160" s="97" t="s">
        <v>3431</v>
      </c>
    </row>
    <row r="161" spans="2:3" ht="12.75" customHeight="1" x14ac:dyDescent="0.35">
      <c r="C161" s="97" t="s">
        <v>3432</v>
      </c>
    </row>
    <row r="162" spans="2:3" ht="12.75" customHeight="1" x14ac:dyDescent="0.35"/>
    <row r="163" spans="2:3" ht="12.75" customHeight="1" x14ac:dyDescent="0.35"/>
    <row r="164" spans="2:3" ht="12.75" customHeight="1" x14ac:dyDescent="0.35">
      <c r="B164" s="97" t="s">
        <v>3431</v>
      </c>
    </row>
    <row r="165" spans="2:3" ht="12.75" customHeight="1" x14ac:dyDescent="0.35">
      <c r="C165" s="97" t="s">
        <v>3433</v>
      </c>
    </row>
    <row r="166" spans="2:3" ht="12.75" customHeight="1" x14ac:dyDescent="0.35"/>
    <row r="167" spans="2:3" ht="12.75" customHeight="1" x14ac:dyDescent="0.35"/>
    <row r="168" spans="2:3" ht="12.75" customHeight="1" x14ac:dyDescent="0.35"/>
    <row r="169" spans="2:3" ht="12.75" customHeight="1" x14ac:dyDescent="0.35"/>
    <row r="170" spans="2:3" ht="12.75" customHeight="1" x14ac:dyDescent="0.35">
      <c r="B170" s="97" t="s">
        <v>3431</v>
      </c>
    </row>
    <row r="171" spans="2:3" ht="12.75" customHeight="1" x14ac:dyDescent="0.35">
      <c r="C171" s="97" t="s">
        <v>3432</v>
      </c>
    </row>
    <row r="172" spans="2:3" ht="12.75" customHeight="1" x14ac:dyDescent="0.35"/>
    <row r="173" spans="2:3" ht="12.75" customHeight="1" x14ac:dyDescent="0.35"/>
    <row r="174" spans="2:3" ht="12.75" customHeight="1" x14ac:dyDescent="0.35">
      <c r="B174" s="97" t="s">
        <v>3431</v>
      </c>
    </row>
    <row r="175" spans="2:3" ht="12.75" customHeight="1" x14ac:dyDescent="0.35">
      <c r="C175" s="97" t="s">
        <v>3433</v>
      </c>
    </row>
    <row r="176" spans="2:3" ht="12.75" customHeight="1" x14ac:dyDescent="0.35"/>
    <row r="177" spans="2:3" ht="12.75" customHeight="1" x14ac:dyDescent="0.35"/>
    <row r="178" spans="2:3" ht="12.75" customHeight="1" x14ac:dyDescent="0.35"/>
    <row r="179" spans="2:3" ht="12.75" customHeight="1" x14ac:dyDescent="0.35"/>
    <row r="180" spans="2:3" ht="12.75" customHeight="1" x14ac:dyDescent="0.35">
      <c r="B180" s="97" t="s">
        <v>3431</v>
      </c>
    </row>
    <row r="181" spans="2:3" ht="12.75" customHeight="1" x14ac:dyDescent="0.35">
      <c r="C181" s="97" t="s">
        <v>3432</v>
      </c>
    </row>
    <row r="182" spans="2:3" ht="12.75" customHeight="1" x14ac:dyDescent="0.35"/>
    <row r="183" spans="2:3" ht="12.75" customHeight="1" x14ac:dyDescent="0.35"/>
    <row r="184" spans="2:3" ht="12.75" customHeight="1" x14ac:dyDescent="0.35">
      <c r="B184" s="97" t="s">
        <v>3431</v>
      </c>
    </row>
    <row r="185" spans="2:3" ht="12.75" customHeight="1" x14ac:dyDescent="0.35">
      <c r="C185" s="97" t="s">
        <v>3433</v>
      </c>
    </row>
    <row r="186" spans="2:3" ht="12.75" customHeight="1" x14ac:dyDescent="0.35"/>
    <row r="187" spans="2:3" ht="12.75" customHeight="1" x14ac:dyDescent="0.35"/>
    <row r="188" spans="2:3" ht="12.75" customHeight="1" x14ac:dyDescent="0.35"/>
    <row r="189" spans="2:3" ht="12.75" customHeight="1" x14ac:dyDescent="0.35"/>
    <row r="190" spans="2:3" ht="12.75" customHeight="1" x14ac:dyDescent="0.35">
      <c r="B190" s="97" t="s">
        <v>3431</v>
      </c>
    </row>
    <row r="191" spans="2:3" ht="12.75" customHeight="1" x14ac:dyDescent="0.35">
      <c r="C191" s="97" t="s">
        <v>3432</v>
      </c>
    </row>
    <row r="192" spans="2:3" ht="12.75" customHeight="1" x14ac:dyDescent="0.35"/>
    <row r="193" spans="2:3" ht="12.75" customHeight="1" x14ac:dyDescent="0.35"/>
    <row r="194" spans="2:3" ht="12.75" customHeight="1" x14ac:dyDescent="0.35">
      <c r="B194" s="97" t="s">
        <v>3431</v>
      </c>
    </row>
    <row r="195" spans="2:3" ht="12.75" customHeight="1" x14ac:dyDescent="0.35">
      <c r="C195" s="97" t="s">
        <v>3433</v>
      </c>
    </row>
    <row r="196" spans="2:3" ht="12.75" customHeight="1" x14ac:dyDescent="0.35"/>
    <row r="197" spans="2:3" ht="12.75" customHeight="1" x14ac:dyDescent="0.35"/>
    <row r="198" spans="2:3" ht="12.75" customHeight="1" x14ac:dyDescent="0.35"/>
    <row r="199" spans="2:3" ht="12.75" customHeight="1" x14ac:dyDescent="0.35"/>
    <row r="200" spans="2:3" ht="12.75" customHeight="1" x14ac:dyDescent="0.35">
      <c r="B200" s="97" t="s">
        <v>3431</v>
      </c>
    </row>
    <row r="201" spans="2:3" ht="12.75" customHeight="1" x14ac:dyDescent="0.35">
      <c r="C201" s="97" t="s">
        <v>3432</v>
      </c>
    </row>
    <row r="202" spans="2:3" ht="12.75" customHeight="1" x14ac:dyDescent="0.35"/>
    <row r="203" spans="2:3" ht="12.75" customHeight="1" x14ac:dyDescent="0.35"/>
    <row r="204" spans="2:3" ht="12.75" customHeight="1" x14ac:dyDescent="0.35">
      <c r="B204" s="97" t="s">
        <v>3431</v>
      </c>
    </row>
    <row r="205" spans="2:3" ht="12.75" customHeight="1" x14ac:dyDescent="0.35">
      <c r="C205" s="97" t="s">
        <v>3433</v>
      </c>
    </row>
    <row r="206" spans="2:3" ht="12.75" customHeight="1" x14ac:dyDescent="0.35"/>
    <row r="207" spans="2:3" ht="12.75" customHeight="1" x14ac:dyDescent="0.35"/>
    <row r="208" spans="2:3" ht="12.75" customHeight="1" x14ac:dyDescent="0.35"/>
    <row r="209" spans="2:3" ht="12.75" customHeight="1" x14ac:dyDescent="0.35"/>
    <row r="210" spans="2:3" ht="12.75" customHeight="1" x14ac:dyDescent="0.35">
      <c r="B210" s="97" t="s">
        <v>3431</v>
      </c>
    </row>
    <row r="211" spans="2:3" ht="12.75" customHeight="1" x14ac:dyDescent="0.35">
      <c r="C211" s="97" t="s">
        <v>3432</v>
      </c>
    </row>
    <row r="212" spans="2:3" ht="12.75" customHeight="1" x14ac:dyDescent="0.35"/>
    <row r="213" spans="2:3" ht="12.75" customHeight="1" x14ac:dyDescent="0.35"/>
    <row r="214" spans="2:3" ht="12.75" customHeight="1" x14ac:dyDescent="0.35">
      <c r="B214" s="97" t="s">
        <v>3431</v>
      </c>
    </row>
    <row r="215" spans="2:3" ht="12.75" customHeight="1" x14ac:dyDescent="0.35">
      <c r="C215" s="97" t="s">
        <v>3433</v>
      </c>
    </row>
    <row r="216" spans="2:3" ht="12.75" customHeight="1" x14ac:dyDescent="0.35"/>
    <row r="217" spans="2:3" ht="12.75" customHeight="1" x14ac:dyDescent="0.35"/>
    <row r="218" spans="2:3" ht="12.75" customHeight="1" x14ac:dyDescent="0.35"/>
    <row r="219" spans="2:3" ht="12.75" customHeight="1" x14ac:dyDescent="0.35"/>
    <row r="220" spans="2:3" ht="12.75" customHeight="1" x14ac:dyDescent="0.35">
      <c r="B220" s="97" t="s">
        <v>3431</v>
      </c>
    </row>
    <row r="221" spans="2:3" ht="12.75" customHeight="1" x14ac:dyDescent="0.35">
      <c r="C221" s="97" t="s">
        <v>3432</v>
      </c>
    </row>
    <row r="222" spans="2:3" ht="12.75" customHeight="1" x14ac:dyDescent="0.35"/>
    <row r="223" spans="2:3" ht="12.75" customHeight="1" x14ac:dyDescent="0.35"/>
    <row r="224" spans="2:3" ht="12.75" customHeight="1" x14ac:dyDescent="0.35">
      <c r="B224" s="97" t="s">
        <v>3431</v>
      </c>
    </row>
    <row r="225" spans="2:3" ht="12.75" customHeight="1" x14ac:dyDescent="0.35">
      <c r="C225" s="97" t="s">
        <v>3433</v>
      </c>
    </row>
    <row r="226" spans="2:3" ht="12.75" customHeight="1" x14ac:dyDescent="0.35"/>
    <row r="227" spans="2:3" ht="12.75" customHeight="1" x14ac:dyDescent="0.35"/>
    <row r="228" spans="2:3" ht="12.75" customHeight="1" x14ac:dyDescent="0.35"/>
    <row r="229" spans="2:3" ht="12.75" customHeight="1" x14ac:dyDescent="0.35"/>
    <row r="230" spans="2:3" ht="12.75" customHeight="1" x14ac:dyDescent="0.35">
      <c r="B230" s="97" t="s">
        <v>3431</v>
      </c>
    </row>
    <row r="231" spans="2:3" ht="12.75" customHeight="1" x14ac:dyDescent="0.35">
      <c r="C231" s="97" t="s">
        <v>3432</v>
      </c>
    </row>
    <row r="232" spans="2:3" ht="12.75" customHeight="1" x14ac:dyDescent="0.35"/>
    <row r="233" spans="2:3" ht="12.75" customHeight="1" x14ac:dyDescent="0.35"/>
    <row r="234" spans="2:3" ht="12.75" customHeight="1" x14ac:dyDescent="0.35">
      <c r="B234" s="97" t="s">
        <v>3431</v>
      </c>
    </row>
    <row r="235" spans="2:3" ht="12.75" customHeight="1" x14ac:dyDescent="0.35">
      <c r="C235" s="97" t="s">
        <v>3433</v>
      </c>
    </row>
    <row r="236" spans="2:3" ht="12.75" customHeight="1" x14ac:dyDescent="0.35"/>
    <row r="237" spans="2:3" ht="12.75" customHeight="1" x14ac:dyDescent="0.35"/>
    <row r="238" spans="2:3" ht="12.75" customHeight="1" x14ac:dyDescent="0.35"/>
    <row r="239" spans="2:3" ht="12.75" customHeight="1" x14ac:dyDescent="0.35"/>
    <row r="240" spans="2:3" ht="12.75" customHeight="1" x14ac:dyDescent="0.35">
      <c r="B240" s="97" t="s">
        <v>3431</v>
      </c>
    </row>
    <row r="241" spans="2:3" ht="12.75" customHeight="1" x14ac:dyDescent="0.35">
      <c r="C241" s="97" t="s">
        <v>3432</v>
      </c>
    </row>
    <row r="242" spans="2:3" ht="12.75" customHeight="1" x14ac:dyDescent="0.35"/>
    <row r="243" spans="2:3" ht="12.75" customHeight="1" x14ac:dyDescent="0.35"/>
    <row r="244" spans="2:3" ht="12.75" customHeight="1" x14ac:dyDescent="0.35">
      <c r="B244" s="97" t="s">
        <v>3431</v>
      </c>
    </row>
    <row r="245" spans="2:3" ht="12.75" customHeight="1" x14ac:dyDescent="0.35">
      <c r="C245" s="97" t="s">
        <v>3433</v>
      </c>
    </row>
    <row r="246" spans="2:3" ht="12.75" customHeight="1" x14ac:dyDescent="0.35"/>
    <row r="247" spans="2:3" ht="12.75" customHeight="1" x14ac:dyDescent="0.35"/>
    <row r="248" spans="2:3" ht="12.75" customHeight="1" x14ac:dyDescent="0.35"/>
    <row r="249" spans="2:3" ht="12.75" customHeight="1" x14ac:dyDescent="0.35"/>
    <row r="250" spans="2:3" ht="12.75" customHeight="1" x14ac:dyDescent="0.35">
      <c r="B250" s="97" t="s">
        <v>3431</v>
      </c>
    </row>
    <row r="251" spans="2:3" ht="12.75" customHeight="1" x14ac:dyDescent="0.35">
      <c r="C251" s="97" t="s">
        <v>3432</v>
      </c>
    </row>
    <row r="252" spans="2:3" ht="12.75" customHeight="1" x14ac:dyDescent="0.35"/>
    <row r="253" spans="2:3" ht="12.75" customHeight="1" x14ac:dyDescent="0.35"/>
    <row r="254" spans="2:3" ht="12.75" customHeight="1" x14ac:dyDescent="0.35">
      <c r="B254" s="97" t="s">
        <v>3431</v>
      </c>
    </row>
    <row r="255" spans="2:3" ht="12.75" customHeight="1" x14ac:dyDescent="0.35">
      <c r="B255" s="104"/>
      <c r="C255" s="97" t="s">
        <v>3433</v>
      </c>
    </row>
    <row r="256" spans="2:3" ht="12.75" customHeight="1" x14ac:dyDescent="0.35"/>
    <row r="257" spans="2:3" ht="12.75" customHeight="1" x14ac:dyDescent="0.35"/>
    <row r="258" spans="2:3" ht="12.75" customHeight="1" x14ac:dyDescent="0.35"/>
    <row r="259" spans="2:3" ht="12.75" customHeight="1" x14ac:dyDescent="0.35"/>
    <row r="260" spans="2:3" ht="12.75" customHeight="1" x14ac:dyDescent="0.35">
      <c r="B260" s="97" t="s">
        <v>3431</v>
      </c>
    </row>
    <row r="261" spans="2:3" ht="12.75" customHeight="1" x14ac:dyDescent="0.35">
      <c r="C261" s="97" t="s">
        <v>3432</v>
      </c>
    </row>
    <row r="262" spans="2:3" ht="12.75" customHeight="1" x14ac:dyDescent="0.35"/>
    <row r="263" spans="2:3" ht="12.75" customHeight="1" x14ac:dyDescent="0.35"/>
    <row r="264" spans="2:3" ht="12.75" customHeight="1" x14ac:dyDescent="0.35">
      <c r="B264" s="97" t="s">
        <v>3431</v>
      </c>
    </row>
    <row r="265" spans="2:3" ht="12.75" customHeight="1" x14ac:dyDescent="0.35">
      <c r="B265" s="104"/>
      <c r="C265" s="97" t="s">
        <v>3433</v>
      </c>
    </row>
    <row r="266" spans="2:3" ht="12.75" customHeight="1" x14ac:dyDescent="0.35"/>
    <row r="267" spans="2:3" ht="12.75" customHeight="1" x14ac:dyDescent="0.35"/>
    <row r="268" spans="2:3" ht="12.75" customHeight="1" x14ac:dyDescent="0.35"/>
    <row r="269" spans="2:3" ht="12.75" customHeight="1" x14ac:dyDescent="0.35"/>
    <row r="270" spans="2:3" ht="12.75" customHeight="1" x14ac:dyDescent="0.35">
      <c r="B270" s="97" t="s">
        <v>3431</v>
      </c>
    </row>
    <row r="271" spans="2:3" ht="12.75" customHeight="1" x14ac:dyDescent="0.35">
      <c r="C271" s="97" t="s">
        <v>3432</v>
      </c>
    </row>
    <row r="272" spans="2:3" ht="12.75" customHeight="1" x14ac:dyDescent="0.35"/>
    <row r="273" spans="2:3" ht="12.75" customHeight="1" x14ac:dyDescent="0.35"/>
    <row r="274" spans="2:3" ht="12.75" customHeight="1" x14ac:dyDescent="0.35">
      <c r="B274" s="97" t="s">
        <v>3431</v>
      </c>
    </row>
    <row r="275" spans="2:3" ht="12.75" customHeight="1" x14ac:dyDescent="0.35">
      <c r="B275" s="104"/>
      <c r="C275" s="97" t="s">
        <v>3433</v>
      </c>
    </row>
    <row r="276" spans="2:3" ht="12.75" customHeight="1" x14ac:dyDescent="0.35"/>
    <row r="277" spans="2:3" ht="12.75" customHeight="1" x14ac:dyDescent="0.35"/>
    <row r="278" spans="2:3" ht="12.75" customHeight="1" x14ac:dyDescent="0.35"/>
    <row r="279" spans="2:3" ht="12.75" customHeight="1" x14ac:dyDescent="0.35"/>
    <row r="280" spans="2:3" ht="12.75" customHeight="1" x14ac:dyDescent="0.35">
      <c r="B280" s="97" t="s">
        <v>3431</v>
      </c>
    </row>
    <row r="281" spans="2:3" ht="12.75" customHeight="1" x14ac:dyDescent="0.35">
      <c r="C281" s="97" t="s">
        <v>3432</v>
      </c>
    </row>
    <row r="282" spans="2:3" ht="12.75" customHeight="1" x14ac:dyDescent="0.35"/>
    <row r="283" spans="2:3" ht="12.75" customHeight="1" x14ac:dyDescent="0.35"/>
    <row r="284" spans="2:3" ht="12.75" customHeight="1" x14ac:dyDescent="0.35">
      <c r="B284" s="97" t="s">
        <v>3431</v>
      </c>
    </row>
    <row r="285" spans="2:3" ht="12.75" customHeight="1" x14ac:dyDescent="0.35">
      <c r="B285" s="104"/>
      <c r="C285" s="97" t="s">
        <v>3433</v>
      </c>
    </row>
    <row r="286" spans="2:3" ht="12.75" customHeight="1" x14ac:dyDescent="0.35"/>
    <row r="287" spans="2:3" ht="12.75" customHeight="1" x14ac:dyDescent="0.35"/>
    <row r="288" spans="2:3" ht="12.75" customHeight="1" x14ac:dyDescent="0.35"/>
    <row r="289" spans="2:3" ht="12.75" customHeight="1" x14ac:dyDescent="0.35"/>
    <row r="290" spans="2:3" ht="12.75" customHeight="1" x14ac:dyDescent="0.35">
      <c r="B290" s="97" t="s">
        <v>3431</v>
      </c>
    </row>
    <row r="291" spans="2:3" ht="12.75" customHeight="1" x14ac:dyDescent="0.35">
      <c r="C291" s="97" t="s">
        <v>3432</v>
      </c>
    </row>
    <row r="292" spans="2:3" ht="12.75" customHeight="1" x14ac:dyDescent="0.35"/>
    <row r="293" spans="2:3" ht="12.75" customHeight="1" x14ac:dyDescent="0.35"/>
    <row r="294" spans="2:3" ht="12.75" customHeight="1" x14ac:dyDescent="0.35">
      <c r="B294" s="97" t="s">
        <v>3431</v>
      </c>
    </row>
    <row r="295" spans="2:3" ht="12.75" customHeight="1" x14ac:dyDescent="0.35">
      <c r="B295" s="104"/>
      <c r="C295" s="97" t="s">
        <v>3433</v>
      </c>
    </row>
    <row r="296" spans="2:3" ht="12.75" customHeight="1" x14ac:dyDescent="0.35"/>
    <row r="297" spans="2:3" ht="12.75" customHeight="1" x14ac:dyDescent="0.35"/>
    <row r="298" spans="2:3" ht="12.75" customHeight="1" x14ac:dyDescent="0.35"/>
    <row r="299" spans="2:3" ht="12.75" customHeight="1" x14ac:dyDescent="0.35"/>
    <row r="300" spans="2:3" ht="12.75" customHeight="1" x14ac:dyDescent="0.35">
      <c r="B300" s="97" t="s">
        <v>3431</v>
      </c>
    </row>
    <row r="301" spans="2:3" ht="12.75" customHeight="1" x14ac:dyDescent="0.35">
      <c r="C301" s="97" t="s">
        <v>3432</v>
      </c>
    </row>
    <row r="302" spans="2:3" ht="12.75" customHeight="1" x14ac:dyDescent="0.35"/>
    <row r="303" spans="2:3" ht="12.75" customHeight="1" x14ac:dyDescent="0.35"/>
    <row r="304" spans="2:3" ht="12.75" customHeight="1" x14ac:dyDescent="0.35">
      <c r="B304" s="97" t="s">
        <v>3431</v>
      </c>
    </row>
    <row r="305" spans="2:3" ht="12.75" customHeight="1" x14ac:dyDescent="0.35">
      <c r="B305" s="104"/>
      <c r="C305" s="97" t="s">
        <v>3433</v>
      </c>
    </row>
    <row r="306" spans="2:3" ht="12.75" customHeight="1" x14ac:dyDescent="0.35"/>
    <row r="307" spans="2:3" ht="12.75" customHeight="1" x14ac:dyDescent="0.35"/>
    <row r="308" spans="2:3" ht="12.75" customHeight="1" x14ac:dyDescent="0.35"/>
    <row r="309" spans="2:3" ht="12.75" customHeight="1" x14ac:dyDescent="0.35"/>
    <row r="310" spans="2:3" ht="12.75" customHeight="1" x14ac:dyDescent="0.35">
      <c r="B310" s="97" t="s">
        <v>3431</v>
      </c>
    </row>
    <row r="311" spans="2:3" ht="12.75" customHeight="1" x14ac:dyDescent="0.35">
      <c r="C311" s="97" t="s">
        <v>3432</v>
      </c>
    </row>
    <row r="312" spans="2:3" ht="12.75" customHeight="1" x14ac:dyDescent="0.35"/>
    <row r="313" spans="2:3" ht="12.75" customHeight="1" x14ac:dyDescent="0.35"/>
    <row r="314" spans="2:3" ht="12.75" customHeight="1" x14ac:dyDescent="0.35">
      <c r="B314" s="97" t="s">
        <v>3431</v>
      </c>
    </row>
    <row r="315" spans="2:3" ht="12.75" customHeight="1" x14ac:dyDescent="0.35">
      <c r="B315" s="104"/>
      <c r="C315" s="97" t="s">
        <v>3433</v>
      </c>
    </row>
    <row r="316" spans="2:3" ht="12.75" customHeight="1" x14ac:dyDescent="0.35"/>
    <row r="317" spans="2:3" ht="12.75" customHeight="1" x14ac:dyDescent="0.35"/>
    <row r="318" spans="2:3" ht="12.75" customHeight="1" x14ac:dyDescent="0.35">
      <c r="B318" s="97" t="s">
        <v>3434</v>
      </c>
    </row>
    <row r="319" spans="2:3" ht="12.75" customHeight="1" x14ac:dyDescent="0.35">
      <c r="B319" s="97" t="s">
        <v>3435</v>
      </c>
    </row>
    <row r="320" spans="2:3" ht="12.75" customHeight="1" x14ac:dyDescent="0.35">
      <c r="B320" s="97" t="s">
        <v>2278</v>
      </c>
    </row>
    <row r="321" spans="2:4" ht="12.75" customHeight="1" x14ac:dyDescent="0.35">
      <c r="B321" s="97" t="s">
        <v>3436</v>
      </c>
    </row>
    <row r="322" spans="2:4" ht="12.75" customHeight="1" x14ac:dyDescent="0.35">
      <c r="B322" s="97" t="s">
        <v>3432</v>
      </c>
    </row>
    <row r="323" spans="2:4" ht="12.75" customHeight="1" x14ac:dyDescent="0.35">
      <c r="B323" s="97" t="s">
        <v>3437</v>
      </c>
    </row>
    <row r="324" spans="2:4" ht="12.75" customHeight="1" x14ac:dyDescent="0.35">
      <c r="B324" s="97" t="s">
        <v>3435</v>
      </c>
    </row>
    <row r="325" spans="2:4" ht="12.75" customHeight="1" x14ac:dyDescent="0.35">
      <c r="B325" s="97" t="s">
        <v>3429</v>
      </c>
    </row>
    <row r="326" spans="2:4" ht="12.75" customHeight="1" x14ac:dyDescent="0.35">
      <c r="B326" s="97" t="s">
        <v>3436</v>
      </c>
    </row>
    <row r="327" spans="2:4" ht="12.75" customHeight="1" x14ac:dyDescent="0.35">
      <c r="B327" s="97" t="s">
        <v>3433</v>
      </c>
    </row>
    <row r="328" spans="2:4" ht="12.75" customHeight="1" x14ac:dyDescent="0.35"/>
    <row r="329" spans="2:4" ht="12.75" customHeight="1" x14ac:dyDescent="0.35">
      <c r="B329" s="97" t="s">
        <v>3438</v>
      </c>
    </row>
    <row r="330" spans="2:4" ht="12.75" customHeight="1" x14ac:dyDescent="0.35">
      <c r="B330" s="97" t="s">
        <v>3439</v>
      </c>
    </row>
    <row r="331" spans="2:4" ht="12.75" customHeight="1" x14ac:dyDescent="0.35">
      <c r="B331" s="97" t="s">
        <v>3440</v>
      </c>
    </row>
    <row r="332" spans="2:4" ht="12.75" customHeight="1" x14ac:dyDescent="0.35">
      <c r="B332" s="97" t="s">
        <v>3441</v>
      </c>
    </row>
    <row r="333" spans="2:4" ht="12.75" customHeight="1" x14ac:dyDescent="0.35">
      <c r="B333" s="97" t="s">
        <v>3442</v>
      </c>
    </row>
    <row r="334" spans="2:4" ht="12.75" customHeight="1" x14ac:dyDescent="0.35"/>
    <row r="335" spans="2:4" ht="12.75" customHeight="1" x14ac:dyDescent="0.35">
      <c r="B335" s="97" t="s">
        <v>3443</v>
      </c>
      <c r="D335" s="97" t="s">
        <v>3444</v>
      </c>
    </row>
    <row r="336" spans="2:4" ht="12.75" customHeight="1" x14ac:dyDescent="0.35">
      <c r="B336" s="97" t="s">
        <v>3445</v>
      </c>
    </row>
    <row r="337" spans="2:3" ht="12.75" customHeight="1" x14ac:dyDescent="0.35">
      <c r="B337" s="97" t="s">
        <v>3446</v>
      </c>
    </row>
    <row r="338" spans="2:3" ht="12.75" customHeight="1" x14ac:dyDescent="0.35">
      <c r="B338" s="97" t="s">
        <v>3447</v>
      </c>
    </row>
    <row r="339" spans="2:3" ht="12.75" customHeight="1" x14ac:dyDescent="0.35">
      <c r="B339" s="97" t="s">
        <v>3448</v>
      </c>
    </row>
    <row r="340" spans="2:3" ht="12.75" customHeight="1" x14ac:dyDescent="0.35">
      <c r="B340" s="97" t="s">
        <v>3449</v>
      </c>
    </row>
    <row r="341" spans="2:3" ht="12.75" customHeight="1" x14ac:dyDescent="0.35">
      <c r="B341" s="97" t="s">
        <v>3450</v>
      </c>
    </row>
    <row r="342" spans="2:3" ht="12.75" customHeight="1" x14ac:dyDescent="0.35">
      <c r="B342" s="97" t="s">
        <v>3451</v>
      </c>
    </row>
    <row r="343" spans="2:3" ht="12.75" customHeight="1" x14ac:dyDescent="0.35">
      <c r="B343" s="97" t="s">
        <v>3452</v>
      </c>
    </row>
    <row r="344" spans="2:3" ht="12.75" customHeight="1" x14ac:dyDescent="0.35">
      <c r="B344" s="97" t="s">
        <v>3453</v>
      </c>
    </row>
    <row r="345" spans="2:3" ht="12.75" customHeight="1" x14ac:dyDescent="0.35">
      <c r="B345" s="97" t="s">
        <v>3454</v>
      </c>
    </row>
    <row r="346" spans="2:3" ht="12.75" customHeight="1" x14ac:dyDescent="0.35">
      <c r="B346" s="97" t="s">
        <v>3455</v>
      </c>
    </row>
    <row r="347" spans="2:3" ht="12.75" customHeight="1" x14ac:dyDescent="0.35">
      <c r="C347" s="97" t="s">
        <v>3456</v>
      </c>
    </row>
    <row r="348" spans="2:3" ht="12.75" customHeight="1" x14ac:dyDescent="0.35"/>
    <row r="349" spans="2:3" ht="12.75" customHeight="1" x14ac:dyDescent="0.35">
      <c r="C349" s="97" t="s">
        <v>3457</v>
      </c>
    </row>
    <row r="350" spans="2:3" ht="12.75" customHeight="1" x14ac:dyDescent="0.35">
      <c r="C350" s="97" t="s">
        <v>3458</v>
      </c>
    </row>
    <row r="351" spans="2:3" ht="12.75" customHeight="1" x14ac:dyDescent="0.35">
      <c r="C351" s="97" t="s">
        <v>452</v>
      </c>
    </row>
    <row r="352" spans="2:3" ht="12.75" customHeight="1" x14ac:dyDescent="0.35"/>
    <row r="353" ht="12.75" customHeight="1" x14ac:dyDescent="0.35"/>
    <row r="354" ht="12.75" customHeight="1" x14ac:dyDescent="0.35"/>
    <row r="355" ht="12.75" customHeight="1" x14ac:dyDescent="0.35"/>
    <row r="356" ht="12.75" customHeight="1" x14ac:dyDescent="0.35"/>
    <row r="357" ht="12.75" customHeight="1" x14ac:dyDescent="0.35"/>
    <row r="358" ht="12.75" customHeight="1" x14ac:dyDescent="0.35"/>
    <row r="359" ht="12.75" customHeight="1" x14ac:dyDescent="0.35"/>
    <row r="360" ht="12.75" customHeight="1" x14ac:dyDescent="0.35"/>
    <row r="361" ht="12.75" customHeight="1" x14ac:dyDescent="0.35"/>
    <row r="362" ht="12.75" customHeight="1" x14ac:dyDescent="0.35"/>
    <row r="363" ht="12.75" customHeight="1" x14ac:dyDescent="0.35"/>
    <row r="364" ht="12.75" customHeight="1" x14ac:dyDescent="0.35"/>
    <row r="365" ht="12.75" customHeight="1" x14ac:dyDescent="0.35"/>
    <row r="366" ht="12.75" customHeight="1" x14ac:dyDescent="0.35"/>
    <row r="367" ht="12.75" customHeight="1" x14ac:dyDescent="0.35"/>
    <row r="368" ht="12.75" customHeight="1" x14ac:dyDescent="0.35"/>
    <row r="369" ht="12.75" customHeight="1" x14ac:dyDescent="0.35"/>
    <row r="370" ht="12.75" customHeight="1" x14ac:dyDescent="0.35"/>
    <row r="371" ht="12.75" customHeight="1" x14ac:dyDescent="0.35"/>
    <row r="372" ht="12.75" customHeight="1" x14ac:dyDescent="0.35"/>
    <row r="373" ht="12.75" customHeight="1" x14ac:dyDescent="0.35"/>
    <row r="374" ht="12.75" customHeight="1" x14ac:dyDescent="0.35"/>
    <row r="375" ht="12.75" customHeight="1" x14ac:dyDescent="0.35"/>
    <row r="376" ht="12.75" customHeight="1" x14ac:dyDescent="0.35"/>
    <row r="377" ht="12.75" customHeight="1" x14ac:dyDescent="0.35"/>
    <row r="378" ht="12.75" customHeight="1" x14ac:dyDescent="0.35"/>
    <row r="379" ht="12.75" customHeight="1" x14ac:dyDescent="0.35"/>
    <row r="380" ht="12.75" customHeight="1" x14ac:dyDescent="0.35"/>
    <row r="381" ht="12.75" customHeight="1" x14ac:dyDescent="0.35"/>
    <row r="382" ht="12.75" customHeight="1" x14ac:dyDescent="0.35"/>
    <row r="383" ht="12.75" customHeight="1" x14ac:dyDescent="0.35"/>
    <row r="384" ht="12.75" customHeight="1" x14ac:dyDescent="0.35"/>
    <row r="385" spans="3:3" ht="12.75" customHeight="1" x14ac:dyDescent="0.35">
      <c r="C385" s="97" t="s">
        <v>3459</v>
      </c>
    </row>
    <row r="386" spans="3:3" ht="12.75" customHeight="1" x14ac:dyDescent="0.35"/>
    <row r="387" spans="3:3" ht="12.75" customHeight="1" x14ac:dyDescent="0.35"/>
    <row r="388" spans="3:3" ht="12.75" customHeight="1" x14ac:dyDescent="0.35"/>
    <row r="389" spans="3:3" ht="12.75" customHeight="1" x14ac:dyDescent="0.35"/>
    <row r="390" spans="3:3" ht="12.75" customHeight="1" x14ac:dyDescent="0.35"/>
    <row r="391" spans="3:3" ht="12.75" customHeight="1" x14ac:dyDescent="0.35"/>
    <row r="392" spans="3:3" ht="12.75" customHeight="1" x14ac:dyDescent="0.35"/>
    <row r="393" spans="3:3" ht="12.75" customHeight="1" x14ac:dyDescent="0.35"/>
    <row r="394" spans="3:3" ht="12.75" customHeight="1" x14ac:dyDescent="0.35"/>
    <row r="395" spans="3:3" ht="12.75" customHeight="1" x14ac:dyDescent="0.35"/>
    <row r="396" spans="3:3" ht="12.75" customHeight="1" x14ac:dyDescent="0.35"/>
    <row r="397" spans="3:3" ht="12.75" customHeight="1" x14ac:dyDescent="0.35"/>
    <row r="398" spans="3:3" ht="12.75" customHeight="1" x14ac:dyDescent="0.35"/>
    <row r="399" spans="3:3" ht="12.75" customHeight="1" x14ac:dyDescent="0.35"/>
    <row r="400" spans="3:3" ht="12.75" customHeight="1" x14ac:dyDescent="0.35"/>
    <row r="401" ht="12.75" customHeight="1" x14ac:dyDescent="0.35"/>
    <row r="402" ht="12.75" customHeight="1" x14ac:dyDescent="0.35"/>
    <row r="403" ht="12.75" customHeight="1" x14ac:dyDescent="0.35"/>
    <row r="404" ht="12.75" customHeight="1" x14ac:dyDescent="0.35"/>
    <row r="405" ht="12.75" customHeight="1" x14ac:dyDescent="0.35"/>
    <row r="406" ht="12.75" customHeight="1" x14ac:dyDescent="0.35"/>
    <row r="407" ht="12.75" customHeight="1" x14ac:dyDescent="0.35"/>
    <row r="408" ht="12.75" customHeight="1" x14ac:dyDescent="0.35"/>
    <row r="409" ht="12.75" customHeight="1" x14ac:dyDescent="0.35"/>
    <row r="410" ht="12.75" customHeight="1" x14ac:dyDescent="0.35"/>
    <row r="411" ht="12.75" customHeight="1" x14ac:dyDescent="0.35"/>
    <row r="412" ht="12.75" customHeight="1" x14ac:dyDescent="0.35"/>
    <row r="413" ht="12.75" customHeight="1" x14ac:dyDescent="0.35"/>
    <row r="414" ht="12.75" customHeight="1" x14ac:dyDescent="0.35"/>
    <row r="415" ht="12.75" customHeight="1" x14ac:dyDescent="0.35"/>
    <row r="416" ht="12.75" customHeight="1" x14ac:dyDescent="0.35"/>
    <row r="417" spans="2:3" ht="12.75" customHeight="1" x14ac:dyDescent="0.35"/>
    <row r="418" spans="2:3" ht="12.75" customHeight="1" x14ac:dyDescent="0.35"/>
    <row r="419" spans="2:3" ht="12.75" customHeight="1" x14ac:dyDescent="0.35"/>
    <row r="420" spans="2:3" ht="12.75" customHeight="1" x14ac:dyDescent="0.35"/>
    <row r="421" spans="2:3" ht="12.75" customHeight="1" x14ac:dyDescent="0.35"/>
    <row r="422" spans="2:3" ht="12.75" customHeight="1" x14ac:dyDescent="0.35">
      <c r="C422" s="97" t="s">
        <v>3460</v>
      </c>
    </row>
    <row r="423" spans="2:3" ht="12.75" customHeight="1" x14ac:dyDescent="0.35">
      <c r="B423" s="97" t="s">
        <v>3461</v>
      </c>
    </row>
    <row r="424" spans="2:3" ht="12.75" customHeight="1" x14ac:dyDescent="0.35">
      <c r="B424" s="97" t="s">
        <v>3462</v>
      </c>
    </row>
    <row r="425" spans="2:3" ht="12.75" customHeight="1" x14ac:dyDescent="0.35">
      <c r="B425" s="97" t="s">
        <v>2278</v>
      </c>
    </row>
    <row r="426" spans="2:3" ht="12.75" customHeight="1" x14ac:dyDescent="0.35">
      <c r="B426" s="97" t="s">
        <v>3463</v>
      </c>
    </row>
    <row r="427" spans="2:3" ht="12.75" customHeight="1" x14ac:dyDescent="0.35">
      <c r="B427" s="97" t="s">
        <v>3464</v>
      </c>
    </row>
    <row r="428" spans="2:3" ht="12.75" customHeight="1" x14ac:dyDescent="0.35">
      <c r="B428" s="97" t="s">
        <v>3465</v>
      </c>
    </row>
    <row r="429" spans="2:3" ht="12.75" customHeight="1" x14ac:dyDescent="0.35">
      <c r="B429" s="97" t="s">
        <v>3466</v>
      </c>
    </row>
    <row r="430" spans="2:3" ht="12.75" customHeight="1" x14ac:dyDescent="0.35">
      <c r="B430" s="97" t="s">
        <v>3467</v>
      </c>
    </row>
    <row r="431" spans="2:3" ht="12.75" customHeight="1" x14ac:dyDescent="0.35">
      <c r="B431" s="97" t="s">
        <v>3468</v>
      </c>
    </row>
    <row r="432" spans="2:3" ht="12.75" customHeight="1" x14ac:dyDescent="0.35">
      <c r="B432" s="97" t="s">
        <v>3469</v>
      </c>
    </row>
    <row r="433" spans="2:2" ht="12.75" customHeight="1" x14ac:dyDescent="0.35"/>
    <row r="434" spans="2:2" ht="12.75" customHeight="1" x14ac:dyDescent="0.35"/>
    <row r="435" spans="2:2" ht="12.75" customHeight="1" x14ac:dyDescent="0.35"/>
    <row r="436" spans="2:2" ht="12.75" customHeight="1" x14ac:dyDescent="0.35"/>
    <row r="437" spans="2:2" ht="12.75" customHeight="1" x14ac:dyDescent="0.35"/>
    <row r="438" spans="2:2" ht="12.75" customHeight="1" x14ac:dyDescent="0.35"/>
    <row r="439" spans="2:2" ht="12.75" customHeight="1" x14ac:dyDescent="0.35">
      <c r="B439" s="97" t="s">
        <v>3470</v>
      </c>
    </row>
    <row r="440" spans="2:2" ht="12.75" customHeight="1" x14ac:dyDescent="0.35"/>
    <row r="441" spans="2:2" ht="12.75" customHeight="1" x14ac:dyDescent="0.35">
      <c r="B441" s="97" t="s">
        <v>3426</v>
      </c>
    </row>
    <row r="442" spans="2:2" ht="12.75" customHeight="1" x14ac:dyDescent="0.35">
      <c r="B442" s="97" t="s">
        <v>3471</v>
      </c>
    </row>
    <row r="443" spans="2:2" ht="12.75" customHeight="1" x14ac:dyDescent="0.35"/>
    <row r="444" spans="2:2" ht="12.75" customHeight="1" x14ac:dyDescent="0.35"/>
    <row r="445" spans="2:2" ht="12.75" customHeight="1" x14ac:dyDescent="0.35"/>
    <row r="446" spans="2:2" ht="12.75" customHeight="1" x14ac:dyDescent="0.35"/>
    <row r="447" spans="2:2" ht="12.75" customHeight="1" x14ac:dyDescent="0.35"/>
    <row r="448" spans="2:2" ht="12.75" customHeight="1" x14ac:dyDescent="0.35"/>
    <row r="449" spans="2:3" ht="12.75" customHeight="1" x14ac:dyDescent="0.35"/>
    <row r="450" spans="2:3" ht="12.75" customHeight="1" x14ac:dyDescent="0.35"/>
    <row r="451" spans="2:3" ht="12.75" customHeight="1" x14ac:dyDescent="0.35"/>
    <row r="452" spans="2:3" ht="12.75" customHeight="1" x14ac:dyDescent="0.35"/>
    <row r="453" spans="2:3" ht="12.75" customHeight="1" x14ac:dyDescent="0.35">
      <c r="B453" s="97" t="s">
        <v>3472</v>
      </c>
    </row>
    <row r="454" spans="2:3" ht="12.75" customHeight="1" x14ac:dyDescent="0.35">
      <c r="B454" s="97" t="s">
        <v>5301</v>
      </c>
    </row>
    <row r="455" spans="2:3" ht="12.75" customHeight="1" x14ac:dyDescent="0.35">
      <c r="B455" s="97" t="str">
        <f>IF(PrintMode=0,"      ","")&amp;"Otros ingresos de explotación"</f>
        <v xml:space="preserve">      Otros ingresos de explotación</v>
      </c>
    </row>
    <row r="456" spans="2:3" ht="12.75" customHeight="1" x14ac:dyDescent="0.35">
      <c r="B456" s="97" t="s">
        <v>3473</v>
      </c>
    </row>
    <row r="457" spans="2:3" ht="12.75" customHeight="1" x14ac:dyDescent="0.35">
      <c r="C457" s="97" t="s">
        <v>3474</v>
      </c>
    </row>
    <row r="458" spans="2:3" ht="12.75" customHeight="1" x14ac:dyDescent="0.35">
      <c r="C458" s="97" t="s">
        <v>3475</v>
      </c>
    </row>
    <row r="459" spans="2:3" ht="12.75" customHeight="1" x14ac:dyDescent="0.35">
      <c r="C459" s="97" t="s">
        <v>3476</v>
      </c>
    </row>
    <row r="460" spans="2:3" ht="12.75" customHeight="1" x14ac:dyDescent="0.35">
      <c r="C460" s="97" t="s">
        <v>3477</v>
      </c>
    </row>
    <row r="461" spans="2:3" ht="12.75" customHeight="1" x14ac:dyDescent="0.35"/>
    <row r="462" spans="2:3" ht="12.75" customHeight="1" x14ac:dyDescent="0.35"/>
    <row r="463" spans="2:3" ht="12.75" customHeight="1" x14ac:dyDescent="0.35"/>
    <row r="464" spans="2:3" ht="12.75" customHeight="1" x14ac:dyDescent="0.35"/>
    <row r="465" spans="2:3" ht="12.75" customHeight="1" x14ac:dyDescent="0.35"/>
    <row r="466" spans="2:3" ht="12.75" customHeight="1" x14ac:dyDescent="0.35"/>
    <row r="467" spans="2:3" ht="12.75" customHeight="1" x14ac:dyDescent="0.35">
      <c r="B467" s="97" t="s">
        <v>3478</v>
      </c>
    </row>
    <row r="468" spans="2:3" ht="12.75" customHeight="1" x14ac:dyDescent="0.35">
      <c r="B468" s="97" t="s">
        <v>5301</v>
      </c>
    </row>
    <row r="469" spans="2:3" ht="12.75" customHeight="1" x14ac:dyDescent="0.35">
      <c r="B469" s="97" t="s">
        <v>5302</v>
      </c>
    </row>
    <row r="470" spans="2:3" ht="12.75" customHeight="1" x14ac:dyDescent="0.35">
      <c r="B470" s="97" t="s">
        <v>3479</v>
      </c>
    </row>
    <row r="471" spans="2:3" ht="12.75" customHeight="1" x14ac:dyDescent="0.35">
      <c r="C471" s="97" t="s">
        <v>3476</v>
      </c>
    </row>
    <row r="472" spans="2:3" ht="12.75" customHeight="1" x14ac:dyDescent="0.35">
      <c r="C472" s="97" t="s">
        <v>3480</v>
      </c>
    </row>
    <row r="473" spans="2:3" ht="12.75" customHeight="1" x14ac:dyDescent="0.35">
      <c r="C473" s="97" t="s">
        <v>3481</v>
      </c>
    </row>
    <row r="474" spans="2:3" ht="12.75" customHeight="1" x14ac:dyDescent="0.35"/>
    <row r="475" spans="2:3" ht="12.75" customHeight="1" x14ac:dyDescent="0.35"/>
    <row r="476" spans="2:3" ht="12.75" customHeight="1" x14ac:dyDescent="0.35"/>
    <row r="477" spans="2:3" ht="12.75" customHeight="1" x14ac:dyDescent="0.35"/>
    <row r="478" spans="2:3" ht="12.75" customHeight="1" x14ac:dyDescent="0.35"/>
    <row r="479" spans="2:3" ht="12.75" customHeight="1" x14ac:dyDescent="0.35"/>
    <row r="480" spans="2:3" ht="12.75" customHeight="1" x14ac:dyDescent="0.35"/>
    <row r="481" spans="1:3" ht="12.75" customHeight="1" x14ac:dyDescent="0.35">
      <c r="A481" s="101"/>
      <c r="B481" s="97" t="s">
        <v>3482</v>
      </c>
    </row>
    <row r="482" spans="1:3" ht="12.75" customHeight="1" x14ac:dyDescent="0.35">
      <c r="A482" s="101"/>
      <c r="B482" s="1288" t="s">
        <v>5421</v>
      </c>
    </row>
    <row r="483" spans="1:3" ht="12.75" customHeight="1" x14ac:dyDescent="0.35">
      <c r="B483" s="97" t="s">
        <v>3483</v>
      </c>
    </row>
    <row r="484" spans="1:3" ht="12.75" customHeight="1" x14ac:dyDescent="0.35">
      <c r="B484" s="97" t="s">
        <v>5301</v>
      </c>
    </row>
    <row r="485" spans="1:3" ht="12.75" customHeight="1" x14ac:dyDescent="0.35">
      <c r="B485" s="97" t="s">
        <v>5084</v>
      </c>
    </row>
    <row r="486" spans="1:3" ht="12.75" customHeight="1" x14ac:dyDescent="0.35">
      <c r="B486" s="97" t="s">
        <v>2278</v>
      </c>
    </row>
    <row r="487" spans="1:3" ht="12.75" customHeight="1" x14ac:dyDescent="0.35">
      <c r="C487" s="97" t="s">
        <v>3484</v>
      </c>
    </row>
    <row r="488" spans="1:3" ht="12.75" customHeight="1" x14ac:dyDescent="0.35">
      <c r="C488" s="97" t="s">
        <v>3485</v>
      </c>
    </row>
    <row r="489" spans="1:3" ht="12.75" customHeight="1" x14ac:dyDescent="0.35">
      <c r="B489" s="97" t="s">
        <v>3486</v>
      </c>
    </row>
    <row r="490" spans="1:3" ht="12.75" customHeight="1" x14ac:dyDescent="0.35">
      <c r="B490" s="97" t="s">
        <v>5301</v>
      </c>
    </row>
    <row r="491" spans="1:3" ht="12.75" customHeight="1" x14ac:dyDescent="0.35">
      <c r="B491" s="97" t="s">
        <v>5303</v>
      </c>
    </row>
    <row r="492" spans="1:3" ht="12.75" customHeight="1" x14ac:dyDescent="0.35">
      <c r="B492" s="97" t="s">
        <v>3487</v>
      </c>
    </row>
    <row r="493" spans="1:3" ht="12.75" customHeight="1" x14ac:dyDescent="0.35">
      <c r="C493" s="97" t="s">
        <v>3487</v>
      </c>
    </row>
    <row r="494" spans="1:3" ht="12.75" customHeight="1" x14ac:dyDescent="0.35">
      <c r="C494" s="97" t="s">
        <v>3488</v>
      </c>
    </row>
    <row r="495" spans="1:3" ht="12.75" customHeight="1" x14ac:dyDescent="0.35">
      <c r="B495" s="97" t="s">
        <v>3489</v>
      </c>
    </row>
    <row r="496" spans="1:3" ht="12.75" customHeight="1" x14ac:dyDescent="0.35">
      <c r="B496" s="97" t="s">
        <v>3490</v>
      </c>
    </row>
    <row r="497" spans="1:3" ht="12.75" customHeight="1" x14ac:dyDescent="0.35">
      <c r="C497" s="97" t="s">
        <v>3491</v>
      </c>
    </row>
    <row r="498" spans="1:3" ht="12.75" customHeight="1" x14ac:dyDescent="0.35">
      <c r="C498" s="97" t="s">
        <v>3492</v>
      </c>
    </row>
    <row r="499" spans="1:3" ht="12.75" customHeight="1" x14ac:dyDescent="0.35">
      <c r="B499" s="97" t="s">
        <v>3493</v>
      </c>
    </row>
    <row r="500" spans="1:3" ht="12.75" customHeight="1" x14ac:dyDescent="0.35">
      <c r="B500" s="97" t="s">
        <v>3494</v>
      </c>
    </row>
    <row r="501" spans="1:3" ht="12.75" customHeight="1" x14ac:dyDescent="0.35">
      <c r="C501" s="97" t="s">
        <v>3495</v>
      </c>
    </row>
    <row r="502" spans="1:3" ht="12.75" customHeight="1" x14ac:dyDescent="0.35">
      <c r="C502" s="97" t="str">
        <f>IF(CalculatedDepreciation,"Otras a","A")&amp;"signación"&amp;IF(CalculatedDepreciation,"es","")&amp;", aumento (-) / disminución (+)"</f>
        <v>Asignación, aumento (-) / disminución (+)</v>
      </c>
    </row>
    <row r="503" spans="1:3" ht="12.75" customHeight="1" x14ac:dyDescent="0.35">
      <c r="B503" s="97" t="s">
        <v>2329</v>
      </c>
    </row>
    <row r="504" spans="1:3" ht="12.75" customHeight="1" x14ac:dyDescent="0.35">
      <c r="A504" s="101"/>
      <c r="B504" s="97" t="s">
        <v>3496</v>
      </c>
    </row>
    <row r="505" spans="1:3" ht="12.75" customHeight="1" x14ac:dyDescent="0.35">
      <c r="B505" s="97" t="s">
        <v>3497</v>
      </c>
    </row>
    <row r="506" spans="1:3" ht="12.75" customHeight="1" x14ac:dyDescent="0.35">
      <c r="B506" s="97" t="s">
        <v>3498</v>
      </c>
    </row>
    <row r="507" spans="1:3" ht="12.75" customHeight="1" x14ac:dyDescent="0.35">
      <c r="B507" s="97" t="s">
        <v>5301</v>
      </c>
    </row>
    <row r="508" spans="1:3" ht="12.75" customHeight="1" x14ac:dyDescent="0.35">
      <c r="B508" s="97" t="s">
        <v>5304</v>
      </c>
    </row>
    <row r="509" spans="1:3" ht="12.75" customHeight="1" x14ac:dyDescent="0.35">
      <c r="B509" s="97" t="s">
        <v>3499</v>
      </c>
    </row>
    <row r="510" spans="1:3" ht="12.75" customHeight="1" x14ac:dyDescent="0.35">
      <c r="B510" s="97" t="s">
        <v>3500</v>
      </c>
    </row>
    <row r="511" spans="1:3" ht="12.75" customHeight="1" x14ac:dyDescent="0.35">
      <c r="B511" s="97" t="s">
        <v>3501</v>
      </c>
    </row>
    <row r="512" spans="1:3" ht="12.75" customHeight="1" x14ac:dyDescent="0.35">
      <c r="B512" s="97" t="s">
        <v>3502</v>
      </c>
    </row>
    <row r="513" spans="2:2" ht="12.75" customHeight="1" x14ac:dyDescent="0.35">
      <c r="B513" s="97" t="s">
        <v>3503</v>
      </c>
    </row>
    <row r="514" spans="2:2" ht="12.75" customHeight="1" x14ac:dyDescent="0.35">
      <c r="B514" s="97" t="s">
        <v>3504</v>
      </c>
    </row>
    <row r="515" spans="2:2" ht="12.75" customHeight="1" x14ac:dyDescent="0.35">
      <c r="B515" s="97" t="s">
        <v>3505</v>
      </c>
    </row>
    <row r="516" spans="2:2" ht="12.75" customHeight="1" x14ac:dyDescent="0.35"/>
    <row r="517" spans="2:2" ht="12.75" customHeight="1" x14ac:dyDescent="0.35"/>
    <row r="518" spans="2:2" ht="12.75" customHeight="1" x14ac:dyDescent="0.35">
      <c r="B518" s="97" t="s">
        <v>3506</v>
      </c>
    </row>
    <row r="519" spans="2:2" ht="12.75" customHeight="1" x14ac:dyDescent="0.35">
      <c r="B519" s="97" t="s">
        <v>3507</v>
      </c>
    </row>
    <row r="520" spans="2:2" ht="12.75" customHeight="1" x14ac:dyDescent="0.35">
      <c r="B520" s="97" t="s">
        <v>2278</v>
      </c>
    </row>
    <row r="521" spans="2:2" ht="12.75" customHeight="1" x14ac:dyDescent="0.35">
      <c r="B521" s="97" t="s">
        <v>3508</v>
      </c>
    </row>
    <row r="522" spans="2:2" ht="12.75" customHeight="1" x14ac:dyDescent="0.35">
      <c r="B522" s="97" t="s">
        <v>3509</v>
      </c>
    </row>
    <row r="523" spans="2:2" ht="12.75" customHeight="1" x14ac:dyDescent="0.35">
      <c r="B523" s="97" t="s">
        <v>3510</v>
      </c>
    </row>
    <row r="524" spans="2:2" ht="12.75" customHeight="1" x14ac:dyDescent="0.35">
      <c r="B524" s="97" t="s">
        <v>3511</v>
      </c>
    </row>
    <row r="525" spans="2:2" ht="12.75" customHeight="1" x14ac:dyDescent="0.35">
      <c r="B525" s="97" t="s">
        <v>3512</v>
      </c>
    </row>
    <row r="526" spans="2:2" ht="12.75" customHeight="1" x14ac:dyDescent="0.35">
      <c r="B526" s="97" t="s">
        <v>3513</v>
      </c>
    </row>
    <row r="527" spans="2:2" ht="12.75" customHeight="1" x14ac:dyDescent="0.35">
      <c r="B527" s="97" t="s">
        <v>3514</v>
      </c>
    </row>
    <row r="528" spans="2:2" ht="12.75" customHeight="1" x14ac:dyDescent="0.35">
      <c r="B528" s="97" t="s">
        <v>3515</v>
      </c>
    </row>
    <row r="529" spans="2:4" ht="12.75" customHeight="1" x14ac:dyDescent="0.35">
      <c r="B529" s="97" t="s">
        <v>3516</v>
      </c>
    </row>
    <row r="530" spans="2:4" ht="12.75" customHeight="1" x14ac:dyDescent="0.35">
      <c r="B530" s="97" t="s">
        <v>3517</v>
      </c>
    </row>
    <row r="531" spans="2:4" ht="12.75" customHeight="1" x14ac:dyDescent="0.35">
      <c r="B531" s="97" t="s">
        <v>3518</v>
      </c>
    </row>
    <row r="532" spans="2:4" ht="12.75" customHeight="1" x14ac:dyDescent="0.35"/>
    <row r="533" spans="2:4" ht="12.75" customHeight="1" x14ac:dyDescent="0.35"/>
    <row r="534" spans="2:4" ht="12.75" customHeight="1" x14ac:dyDescent="0.35"/>
    <row r="535" spans="2:4" ht="12.75" customHeight="1" x14ac:dyDescent="0.35"/>
    <row r="536" spans="2:4" ht="12.75" customHeight="1" x14ac:dyDescent="0.35"/>
    <row r="537" spans="2:4" ht="12.75" customHeight="1" x14ac:dyDescent="0.35">
      <c r="B537" s="97" t="s">
        <v>3519</v>
      </c>
    </row>
    <row r="538" spans="2:4" ht="12.75" customHeight="1" x14ac:dyDescent="0.35"/>
    <row r="539" spans="2:4" ht="12.75" customHeight="1" x14ac:dyDescent="0.35">
      <c r="B539" s="97" t="s">
        <v>3426</v>
      </c>
    </row>
    <row r="540" spans="2:4" ht="12.75" customHeight="1" x14ac:dyDescent="0.35">
      <c r="B540" s="97" t="s">
        <v>3520</v>
      </c>
    </row>
    <row r="541" spans="2:4" ht="12.75" customHeight="1" x14ac:dyDescent="0.35">
      <c r="C541" s="159" t="s">
        <v>3521</v>
      </c>
      <c r="D541"/>
    </row>
    <row r="542" spans="2:4" ht="12.75" customHeight="1" x14ac:dyDescent="0.35">
      <c r="C542" s="159" t="s">
        <v>3522</v>
      </c>
      <c r="D542"/>
    </row>
    <row r="543" spans="2:4" ht="12.75" customHeight="1" x14ac:dyDescent="0.35">
      <c r="C543" s="159" t="s">
        <v>3523</v>
      </c>
      <c r="D543"/>
    </row>
    <row r="544" spans="2:4" ht="12.75" customHeight="1" x14ac:dyDescent="0.35">
      <c r="C544" s="159" t="s">
        <v>3524</v>
      </c>
      <c r="D544"/>
    </row>
    <row r="545" spans="3:4" ht="12.75" customHeight="1" x14ac:dyDescent="0.35">
      <c r="C545" s="159" t="s">
        <v>3521</v>
      </c>
      <c r="D545"/>
    </row>
    <row r="546" spans="3:4" ht="12.75" customHeight="1" x14ac:dyDescent="0.35">
      <c r="C546" s="159" t="s">
        <v>5236</v>
      </c>
      <c r="D546"/>
    </row>
    <row r="547" spans="3:4" ht="12.75" customHeight="1" x14ac:dyDescent="0.35">
      <c r="C547" s="159" t="s">
        <v>3523</v>
      </c>
      <c r="D547"/>
    </row>
    <row r="548" spans="3:4" ht="12.75" customHeight="1" x14ac:dyDescent="0.35">
      <c r="C548" s="159" t="s">
        <v>3524</v>
      </c>
      <c r="D548"/>
    </row>
    <row r="549" spans="3:4" ht="12.75" customHeight="1" x14ac:dyDescent="0.35">
      <c r="C549" s="159" t="s">
        <v>3521</v>
      </c>
      <c r="D549"/>
    </row>
    <row r="550" spans="3:4" ht="12.75" customHeight="1" x14ac:dyDescent="0.35">
      <c r="C550" s="159" t="s">
        <v>5237</v>
      </c>
      <c r="D550"/>
    </row>
    <row r="551" spans="3:4" ht="12.75" customHeight="1" x14ac:dyDescent="0.35">
      <c r="C551" s="159" t="s">
        <v>3523</v>
      </c>
      <c r="D551"/>
    </row>
    <row r="552" spans="3:4" ht="12.75" customHeight="1" x14ac:dyDescent="0.35">
      <c r="C552" s="159" t="s">
        <v>3524</v>
      </c>
      <c r="D552"/>
    </row>
    <row r="553" spans="3:4" ht="12.75" customHeight="1" x14ac:dyDescent="0.35">
      <c r="C553" s="159" t="s">
        <v>3521</v>
      </c>
      <c r="D553"/>
    </row>
    <row r="554" spans="3:4" ht="12.75" customHeight="1" x14ac:dyDescent="0.35">
      <c r="C554" s="159" t="s">
        <v>5238</v>
      </c>
      <c r="D554"/>
    </row>
    <row r="555" spans="3:4" ht="12.75" customHeight="1" x14ac:dyDescent="0.35">
      <c r="C555" s="159" t="s">
        <v>3523</v>
      </c>
      <c r="D555"/>
    </row>
    <row r="556" spans="3:4" ht="12.75" customHeight="1" x14ac:dyDescent="0.35">
      <c r="C556" s="159" t="s">
        <v>3524</v>
      </c>
      <c r="D556"/>
    </row>
    <row r="557" spans="3:4" ht="12.75" customHeight="1" x14ac:dyDescent="0.35">
      <c r="C557" s="159" t="s">
        <v>3521</v>
      </c>
      <c r="D557"/>
    </row>
    <row r="558" spans="3:4" ht="12.75" customHeight="1" x14ac:dyDescent="0.35">
      <c r="C558" s="159" t="s">
        <v>5239</v>
      </c>
      <c r="D558"/>
    </row>
    <row r="559" spans="3:4" ht="12.75" customHeight="1" x14ac:dyDescent="0.35">
      <c r="C559" s="159" t="s">
        <v>3523</v>
      </c>
      <c r="D559"/>
    </row>
    <row r="560" spans="3:4" ht="12.75" customHeight="1" x14ac:dyDescent="0.35">
      <c r="C560" s="159" t="s">
        <v>3524</v>
      </c>
      <c r="D560"/>
    </row>
    <row r="561" spans="2:4" ht="12.75" customHeight="1" x14ac:dyDescent="0.35">
      <c r="C561" s="1288" t="s">
        <v>5422</v>
      </c>
      <c r="D561"/>
    </row>
    <row r="562" spans="2:4" ht="12.75" customHeight="1" x14ac:dyDescent="0.35">
      <c r="C562" s="1288" t="s">
        <v>5451</v>
      </c>
      <c r="D562"/>
    </row>
    <row r="563" spans="2:4" ht="12.75" customHeight="1" x14ac:dyDescent="0.35">
      <c r="C563" s="97" t="s">
        <v>3525</v>
      </c>
      <c r="D563"/>
    </row>
    <row r="564" spans="2:4" ht="12.75" customHeight="1" x14ac:dyDescent="0.35">
      <c r="C564" s="97" t="s">
        <v>3526</v>
      </c>
      <c r="D564"/>
    </row>
    <row r="565" spans="2:4" ht="12.75" customHeight="1" x14ac:dyDescent="0.35">
      <c r="C565" s="1288" t="s">
        <v>5423</v>
      </c>
      <c r="D565"/>
    </row>
    <row r="566" spans="2:4" ht="12.75" customHeight="1" x14ac:dyDescent="0.35">
      <c r="C566" s="1288" t="s">
        <v>5452</v>
      </c>
      <c r="D566"/>
    </row>
    <row r="567" spans="2:4" ht="12.75" customHeight="1" x14ac:dyDescent="0.35">
      <c r="C567" s="97" t="s">
        <v>3527</v>
      </c>
      <c r="D567"/>
    </row>
    <row r="568" spans="2:4" ht="12.75" customHeight="1" x14ac:dyDescent="0.35">
      <c r="C568" s="97" t="s">
        <v>3528</v>
      </c>
      <c r="D568"/>
    </row>
    <row r="569" spans="2:4" ht="12.75" customHeight="1" x14ac:dyDescent="0.35">
      <c r="C569" s="97" t="s">
        <v>3529</v>
      </c>
      <c r="D569"/>
    </row>
    <row r="570" spans="2:4" ht="12.75" customHeight="1" x14ac:dyDescent="0.35">
      <c r="B570" s="97" t="s">
        <v>3530</v>
      </c>
      <c r="D570"/>
    </row>
    <row r="571" spans="2:4" ht="12.75" customHeight="1" x14ac:dyDescent="0.35">
      <c r="C571" s="159" t="s">
        <v>3532</v>
      </c>
      <c r="D571"/>
    </row>
    <row r="572" spans="2:4" ht="12.75" customHeight="1" x14ac:dyDescent="0.35">
      <c r="C572" s="159" t="s">
        <v>3530</v>
      </c>
      <c r="D572"/>
    </row>
    <row r="573" spans="2:4" ht="12.75" customHeight="1" x14ac:dyDescent="0.35">
      <c r="C573" s="159" t="s">
        <v>5245</v>
      </c>
      <c r="D573"/>
    </row>
    <row r="574" spans="2:4" ht="12.75" customHeight="1" x14ac:dyDescent="0.35">
      <c r="C574" s="159" t="s">
        <v>3531</v>
      </c>
      <c r="D574"/>
    </row>
    <row r="575" spans="2:4" ht="12.75" customHeight="1" x14ac:dyDescent="0.35">
      <c r="C575" s="159" t="s">
        <v>3532</v>
      </c>
      <c r="D575"/>
    </row>
    <row r="576" spans="2:4" ht="12.75" customHeight="1" x14ac:dyDescent="0.35">
      <c r="C576" s="159" t="s">
        <v>5240</v>
      </c>
      <c r="D576"/>
    </row>
    <row r="577" spans="2:4" ht="12.75" customHeight="1" x14ac:dyDescent="0.35">
      <c r="C577" s="159" t="s">
        <v>5245</v>
      </c>
      <c r="D577"/>
    </row>
    <row r="578" spans="2:4" ht="12.75" customHeight="1" x14ac:dyDescent="0.35">
      <c r="C578" s="159" t="s">
        <v>3531</v>
      </c>
      <c r="D578"/>
    </row>
    <row r="579" spans="2:4" ht="12.75" customHeight="1" x14ac:dyDescent="0.35">
      <c r="C579" s="159" t="s">
        <v>3532</v>
      </c>
      <c r="D579"/>
    </row>
    <row r="580" spans="2:4" ht="12.75" customHeight="1" x14ac:dyDescent="0.35">
      <c r="C580" s="159" t="s">
        <v>5241</v>
      </c>
      <c r="D580"/>
    </row>
    <row r="581" spans="2:4" ht="12.75" customHeight="1" x14ac:dyDescent="0.35">
      <c r="C581" s="159" t="s">
        <v>5245</v>
      </c>
      <c r="D581"/>
    </row>
    <row r="582" spans="2:4" ht="12.75" customHeight="1" x14ac:dyDescent="0.35">
      <c r="C582" s="159" t="s">
        <v>3531</v>
      </c>
      <c r="D582"/>
    </row>
    <row r="583" spans="2:4" ht="12.75" customHeight="1" x14ac:dyDescent="0.35">
      <c r="C583" s="159" t="s">
        <v>3532</v>
      </c>
      <c r="D583"/>
    </row>
    <row r="584" spans="2:4" ht="12.75" customHeight="1" x14ac:dyDescent="0.35">
      <c r="C584" s="159" t="s">
        <v>5242</v>
      </c>
      <c r="D584"/>
    </row>
    <row r="585" spans="2:4" ht="12.75" customHeight="1" x14ac:dyDescent="0.35">
      <c r="C585" s="159" t="s">
        <v>5245</v>
      </c>
      <c r="D585"/>
    </row>
    <row r="586" spans="2:4" ht="12.75" customHeight="1" x14ac:dyDescent="0.35">
      <c r="C586" s="159" t="s">
        <v>3531</v>
      </c>
      <c r="D586"/>
    </row>
    <row r="587" spans="2:4" ht="12.75" customHeight="1" x14ac:dyDescent="0.35">
      <c r="C587" s="159" t="s">
        <v>3532</v>
      </c>
      <c r="D587"/>
    </row>
    <row r="588" spans="2:4" ht="12.75" customHeight="1" x14ac:dyDescent="0.35">
      <c r="C588" s="159" t="s">
        <v>5243</v>
      </c>
      <c r="D588"/>
    </row>
    <row r="589" spans="2:4" ht="12.75" customHeight="1" x14ac:dyDescent="0.35">
      <c r="C589" s="159" t="s">
        <v>5245</v>
      </c>
      <c r="D589"/>
    </row>
    <row r="590" spans="2:4" ht="12.75" customHeight="1" x14ac:dyDescent="0.35">
      <c r="C590" s="159" t="s">
        <v>3533</v>
      </c>
      <c r="D590"/>
    </row>
    <row r="591" spans="2:4" ht="12.75" customHeight="1" x14ac:dyDescent="0.35">
      <c r="C591" s="97" t="s">
        <v>3533</v>
      </c>
      <c r="D591"/>
    </row>
    <row r="592" spans="2:4" ht="12.75" customHeight="1" x14ac:dyDescent="0.35">
      <c r="B592" s="97" t="s">
        <v>3534</v>
      </c>
      <c r="D592"/>
    </row>
    <row r="593" spans="3:4" ht="12.75" customHeight="1" x14ac:dyDescent="0.35">
      <c r="C593" s="97" t="s">
        <v>3535</v>
      </c>
      <c r="D593"/>
    </row>
    <row r="594" spans="3:4" ht="12.75" customHeight="1" x14ac:dyDescent="0.35">
      <c r="C594" s="159" t="s">
        <v>3536</v>
      </c>
      <c r="D594"/>
    </row>
    <row r="595" spans="3:4" ht="12.75" customHeight="1" x14ac:dyDescent="0.35">
      <c r="C595" s="97" t="s">
        <v>3537</v>
      </c>
      <c r="D595"/>
    </row>
    <row r="596" spans="3:4" ht="12.75" customHeight="1" x14ac:dyDescent="0.35">
      <c r="C596" s="97" t="s">
        <v>3538</v>
      </c>
      <c r="D596"/>
    </row>
    <row r="597" spans="3:4" ht="12.75" customHeight="1" x14ac:dyDescent="0.35">
      <c r="C597" s="97" t="s">
        <v>3535</v>
      </c>
      <c r="D597"/>
    </row>
    <row r="598" spans="3:4" ht="12.75" customHeight="1" x14ac:dyDescent="0.35">
      <c r="C598" s="159" t="s">
        <v>5180</v>
      </c>
      <c r="D598"/>
    </row>
    <row r="599" spans="3:4" ht="12.75" customHeight="1" x14ac:dyDescent="0.35">
      <c r="C599" s="97" t="s">
        <v>3537</v>
      </c>
      <c r="D599"/>
    </row>
    <row r="600" spans="3:4" ht="12.75" customHeight="1" x14ac:dyDescent="0.35">
      <c r="C600" s="97" t="s">
        <v>3538</v>
      </c>
      <c r="D600"/>
    </row>
    <row r="601" spans="3:4" ht="12.75" customHeight="1" x14ac:dyDescent="0.35">
      <c r="C601" s="97" t="s">
        <v>3535</v>
      </c>
      <c r="D601"/>
    </row>
    <row r="602" spans="3:4" ht="12.75" customHeight="1" x14ac:dyDescent="0.35">
      <c r="C602" s="159" t="s">
        <v>5181</v>
      </c>
      <c r="D602"/>
    </row>
    <row r="603" spans="3:4" ht="12.75" customHeight="1" x14ac:dyDescent="0.35">
      <c r="C603" s="97" t="s">
        <v>3537</v>
      </c>
      <c r="D603"/>
    </row>
    <row r="604" spans="3:4" ht="12.75" customHeight="1" x14ac:dyDescent="0.35">
      <c r="C604" s="97" t="s">
        <v>3538</v>
      </c>
      <c r="D604"/>
    </row>
    <row r="605" spans="3:4" ht="12.75" customHeight="1" x14ac:dyDescent="0.35">
      <c r="C605" s="97" t="s">
        <v>3535</v>
      </c>
      <c r="D605"/>
    </row>
    <row r="606" spans="3:4" ht="12.75" customHeight="1" x14ac:dyDescent="0.35">
      <c r="C606" s="159" t="s">
        <v>5182</v>
      </c>
      <c r="D606"/>
    </row>
    <row r="607" spans="3:4" ht="12.75" customHeight="1" x14ac:dyDescent="0.35">
      <c r="C607" s="97" t="s">
        <v>3537</v>
      </c>
      <c r="D607"/>
    </row>
    <row r="608" spans="3:4" ht="12.75" customHeight="1" x14ac:dyDescent="0.35">
      <c r="C608" s="97" t="s">
        <v>3538</v>
      </c>
      <c r="D608"/>
    </row>
    <row r="609" spans="2:4" ht="12.75" customHeight="1" x14ac:dyDescent="0.35">
      <c r="C609" s="97" t="s">
        <v>3535</v>
      </c>
      <c r="D609"/>
    </row>
    <row r="610" spans="2:4" ht="12.75" customHeight="1" x14ac:dyDescent="0.35">
      <c r="C610" s="159" t="s">
        <v>5183</v>
      </c>
      <c r="D610"/>
    </row>
    <row r="611" spans="2:4" ht="12.75" customHeight="1" x14ac:dyDescent="0.35">
      <c r="C611" s="97" t="s">
        <v>3537</v>
      </c>
      <c r="D611"/>
    </row>
    <row r="612" spans="2:4" ht="12.75" customHeight="1" x14ac:dyDescent="0.35">
      <c r="C612" s="97" t="s">
        <v>3538</v>
      </c>
      <c r="D612"/>
    </row>
    <row r="613" spans="2:4" ht="12.75" customHeight="1" x14ac:dyDescent="0.35">
      <c r="C613" s="1288" t="s">
        <v>5424</v>
      </c>
      <c r="D613"/>
    </row>
    <row r="614" spans="2:4" ht="12.75" customHeight="1" x14ac:dyDescent="0.35">
      <c r="C614" s="1288" t="s">
        <v>5453</v>
      </c>
      <c r="D614"/>
    </row>
    <row r="615" spans="2:4" ht="12.75" customHeight="1" x14ac:dyDescent="0.35">
      <c r="C615" s="97" t="s">
        <v>3539</v>
      </c>
      <c r="D615"/>
    </row>
    <row r="616" spans="2:4" ht="12.75" customHeight="1" x14ac:dyDescent="0.35">
      <c r="C616" s="97" t="s">
        <v>3540</v>
      </c>
      <c r="D616"/>
    </row>
    <row r="617" spans="2:4" ht="12.75" customHeight="1" x14ac:dyDescent="0.35">
      <c r="C617" s="1288" t="s">
        <v>5425</v>
      </c>
      <c r="D617"/>
    </row>
    <row r="618" spans="2:4" ht="12.75" customHeight="1" x14ac:dyDescent="0.35">
      <c r="C618" s="1288" t="s">
        <v>5454</v>
      </c>
      <c r="D618"/>
    </row>
    <row r="619" spans="2:4" ht="12.75" customHeight="1" x14ac:dyDescent="0.35">
      <c r="C619" s="97" t="s">
        <v>3541</v>
      </c>
      <c r="D619"/>
    </row>
    <row r="620" spans="2:4" ht="12.75" customHeight="1" x14ac:dyDescent="0.35">
      <c r="B620" s="97" t="s">
        <v>3542</v>
      </c>
    </row>
    <row r="621" spans="2:4" ht="12.75" customHeight="1" x14ac:dyDescent="0.35">
      <c r="B621" s="97" t="s">
        <v>3543</v>
      </c>
    </row>
    <row r="622" spans="2:4" ht="12.75" customHeight="1" x14ac:dyDescent="0.35"/>
    <row r="623" spans="2:4" ht="12.75" customHeight="1" x14ac:dyDescent="0.35"/>
    <row r="624" spans="2:4" ht="12.75" customHeight="1" x14ac:dyDescent="0.35"/>
    <row r="625" spans="2:3" ht="12.75" customHeight="1" x14ac:dyDescent="0.35">
      <c r="B625" s="97" t="s">
        <v>3544</v>
      </c>
    </row>
    <row r="626" spans="2:3" ht="12.75" customHeight="1" x14ac:dyDescent="0.35"/>
    <row r="627" spans="2:3" ht="12.75" customHeight="1" x14ac:dyDescent="0.35">
      <c r="B627" s="97" t="s">
        <v>3426</v>
      </c>
    </row>
    <row r="628" spans="2:3" ht="12.75" customHeight="1" x14ac:dyDescent="0.35">
      <c r="B628" s="97" t="s">
        <v>3545</v>
      </c>
    </row>
    <row r="629" spans="2:3" ht="12.75" customHeight="1" x14ac:dyDescent="0.35">
      <c r="C629" s="97" t="s">
        <v>3472</v>
      </c>
    </row>
    <row r="630" spans="2:3" ht="12.75" customHeight="1" x14ac:dyDescent="0.35"/>
    <row r="631" spans="2:3" ht="12.75" customHeight="1" x14ac:dyDescent="0.35"/>
    <row r="632" spans="2:3" ht="12.75" customHeight="1" x14ac:dyDescent="0.35"/>
    <row r="633" spans="2:3" ht="12.75" customHeight="1" x14ac:dyDescent="0.35"/>
    <row r="634" spans="2:3" ht="12.75" customHeight="1" x14ac:dyDescent="0.35"/>
    <row r="635" spans="2:3" ht="12.75" customHeight="1" x14ac:dyDescent="0.35"/>
    <row r="636" spans="2:3" ht="12.75" customHeight="1" x14ac:dyDescent="0.35"/>
    <row r="637" spans="2:3" ht="12.75" customHeight="1" x14ac:dyDescent="0.35"/>
    <row r="638" spans="2:3" ht="12.75" customHeight="1" x14ac:dyDescent="0.35"/>
    <row r="639" spans="2:3" ht="12.75" customHeight="1" x14ac:dyDescent="0.35"/>
    <row r="640" spans="2:3" ht="12.75" customHeight="1" x14ac:dyDescent="0.35">
      <c r="C640" s="97" t="s">
        <v>3473</v>
      </c>
    </row>
    <row r="641" spans="3:3" ht="12.75" customHeight="1" x14ac:dyDescent="0.35"/>
    <row r="642" spans="3:3" ht="12.75" customHeight="1" x14ac:dyDescent="0.35"/>
    <row r="643" spans="3:3" ht="12.75" customHeight="1" x14ac:dyDescent="0.35"/>
    <row r="644" spans="3:3" ht="12.75" customHeight="1" x14ac:dyDescent="0.35"/>
    <row r="645" spans="3:3" ht="12.75" customHeight="1" x14ac:dyDescent="0.35"/>
    <row r="646" spans="3:3" ht="12.75" customHeight="1" x14ac:dyDescent="0.35"/>
    <row r="647" spans="3:3" ht="12.75" customHeight="1" x14ac:dyDescent="0.35"/>
    <row r="648" spans="3:3" ht="12.75" customHeight="1" x14ac:dyDescent="0.35"/>
    <row r="649" spans="3:3" ht="12.75" customHeight="1" x14ac:dyDescent="0.35"/>
    <row r="650" spans="3:3" ht="12.75" customHeight="1" x14ac:dyDescent="0.35"/>
    <row r="651" spans="3:3" ht="12.75" customHeight="1" x14ac:dyDescent="0.35">
      <c r="C651" s="97" t="s">
        <v>3479</v>
      </c>
    </row>
    <row r="652" spans="3:3" ht="12.75" customHeight="1" x14ac:dyDescent="0.35"/>
    <row r="653" spans="3:3" ht="12.75" customHeight="1" x14ac:dyDescent="0.35"/>
    <row r="654" spans="3:3" ht="12.75" customHeight="1" x14ac:dyDescent="0.35"/>
    <row r="655" spans="3:3" ht="12.75" customHeight="1" x14ac:dyDescent="0.35"/>
    <row r="656" spans="3:3" ht="12.75" customHeight="1" x14ac:dyDescent="0.35"/>
    <row r="657" spans="2:3" ht="12.75" customHeight="1" x14ac:dyDescent="0.35"/>
    <row r="658" spans="2:3" ht="12.75" customHeight="1" x14ac:dyDescent="0.35"/>
    <row r="659" spans="2:3" ht="12.75" customHeight="1" x14ac:dyDescent="0.35"/>
    <row r="660" spans="2:3" ht="12.75" customHeight="1" x14ac:dyDescent="0.35"/>
    <row r="661" spans="2:3" ht="12.75" customHeight="1" x14ac:dyDescent="0.35"/>
    <row r="662" spans="2:3" ht="12.75" customHeight="1" x14ac:dyDescent="0.35">
      <c r="C662" s="97" t="s">
        <v>3546</v>
      </c>
    </row>
    <row r="663" spans="2:3" ht="12.75" customHeight="1" x14ac:dyDescent="0.35"/>
    <row r="664" spans="2:3" ht="12.75" customHeight="1" x14ac:dyDescent="0.35">
      <c r="C664" s="97" t="s">
        <v>3542</v>
      </c>
    </row>
    <row r="665" spans="2:3" ht="12.75" customHeight="1" x14ac:dyDescent="0.35"/>
    <row r="666" spans="2:3" ht="12.75" customHeight="1" x14ac:dyDescent="0.35"/>
    <row r="667" spans="2:3" ht="12.75" customHeight="1" x14ac:dyDescent="0.35"/>
    <row r="668" spans="2:3" ht="12.75" customHeight="1" x14ac:dyDescent="0.35">
      <c r="B668" s="97" t="s">
        <v>3545</v>
      </c>
    </row>
    <row r="669" spans="2:3" ht="12.75" customHeight="1" x14ac:dyDescent="0.35">
      <c r="B669" s="97" t="s">
        <v>3425</v>
      </c>
    </row>
    <row r="670" spans="2:3" ht="12.75" customHeight="1" x14ac:dyDescent="0.35">
      <c r="B670" s="97" t="s">
        <v>3547</v>
      </c>
    </row>
    <row r="671" spans="2:3" ht="12.75" customHeight="1" x14ac:dyDescent="0.35">
      <c r="B671" s="97" t="s">
        <v>3548</v>
      </c>
    </row>
    <row r="672" spans="2:3" ht="12.75" customHeight="1" x14ac:dyDescent="0.35">
      <c r="C672" s="97" t="s">
        <v>3549</v>
      </c>
    </row>
    <row r="673" spans="2:3" ht="12.75" customHeight="1" x14ac:dyDescent="0.35"/>
    <row r="674" spans="2:3" ht="12.75" customHeight="1" x14ac:dyDescent="0.35">
      <c r="C674" s="97" t="s">
        <v>3550</v>
      </c>
    </row>
    <row r="675" spans="2:3" ht="12.75" customHeight="1" x14ac:dyDescent="0.35">
      <c r="B675" s="97" t="s">
        <v>3551</v>
      </c>
    </row>
    <row r="676" spans="2:3" ht="12.75" customHeight="1" x14ac:dyDescent="0.35">
      <c r="B676" s="97" t="s">
        <v>3552</v>
      </c>
    </row>
    <row r="677" spans="2:3" ht="12.75" customHeight="1" x14ac:dyDescent="0.35">
      <c r="B677" s="97" t="s">
        <v>3553</v>
      </c>
    </row>
    <row r="678" spans="2:3" ht="12.75" customHeight="1" x14ac:dyDescent="0.35">
      <c r="B678" s="97" t="s">
        <v>3554</v>
      </c>
    </row>
    <row r="679" spans="2:3" ht="12.75" customHeight="1" x14ac:dyDescent="0.35">
      <c r="B679" s="97" t="s">
        <v>3555</v>
      </c>
    </row>
    <row r="680" spans="2:3" ht="12.75" customHeight="1" x14ac:dyDescent="0.35">
      <c r="B680" s="97" t="s">
        <v>3556</v>
      </c>
    </row>
    <row r="681" spans="2:3" ht="12.75" customHeight="1" x14ac:dyDescent="0.35">
      <c r="B681" s="97" t="s">
        <v>3557</v>
      </c>
    </row>
    <row r="682" spans="2:3" ht="12.75" customHeight="1" x14ac:dyDescent="0.35">
      <c r="C682" s="97" t="s">
        <v>3558</v>
      </c>
    </row>
    <row r="683" spans="2:3" ht="12.75" customHeight="1" x14ac:dyDescent="0.35">
      <c r="C683" s="97" t="s">
        <v>3559</v>
      </c>
    </row>
    <row r="684" spans="2:3" ht="12.75" customHeight="1" x14ac:dyDescent="0.35">
      <c r="C684" s="97" t="s">
        <v>3560</v>
      </c>
    </row>
    <row r="685" spans="2:3" ht="12.75" customHeight="1" x14ac:dyDescent="0.35">
      <c r="C685" s="97" t="s">
        <v>3561</v>
      </c>
    </row>
    <row r="686" spans="2:3" ht="12.75" customHeight="1" x14ac:dyDescent="0.35">
      <c r="C686" s="97" t="str">
        <f>C684</f>
        <v>Deuda a largo plazo, aumento (+)/disminución (-)</v>
      </c>
    </row>
    <row r="687" spans="2:3" ht="12.75" customHeight="1" x14ac:dyDescent="0.35">
      <c r="C687" s="97" t="s">
        <v>3562</v>
      </c>
    </row>
    <row r="688" spans="2:3" ht="12.75" customHeight="1" x14ac:dyDescent="0.35">
      <c r="C688" s="97" t="s">
        <v>3563</v>
      </c>
    </row>
    <row r="689" spans="2:3" ht="12.75" customHeight="1" x14ac:dyDescent="0.35">
      <c r="C689" s="1288" t="s">
        <v>5426</v>
      </c>
    </row>
    <row r="690" spans="2:3" ht="12.75" customHeight="1" x14ac:dyDescent="0.35">
      <c r="C690" s="97" t="s">
        <v>3564</v>
      </c>
    </row>
    <row r="691" spans="2:3" ht="12.75" customHeight="1" x14ac:dyDescent="0.35">
      <c r="C691" s="97" t="s">
        <v>3565</v>
      </c>
    </row>
    <row r="692" spans="2:3" ht="12.75" customHeight="1" x14ac:dyDescent="0.35">
      <c r="B692" s="97" t="s">
        <v>3566</v>
      </c>
    </row>
    <row r="693" spans="2:3" ht="12.75" customHeight="1" x14ac:dyDescent="0.35">
      <c r="B693" s="97" t="s">
        <v>3567</v>
      </c>
    </row>
    <row r="694" spans="2:3" ht="12.75" customHeight="1" x14ac:dyDescent="0.35">
      <c r="B694" s="97" t="s">
        <v>3568</v>
      </c>
    </row>
    <row r="695" spans="2:3" ht="12.75" customHeight="1" x14ac:dyDescent="0.35">
      <c r="B695" s="97" t="s">
        <v>3569</v>
      </c>
    </row>
    <row r="696" spans="2:3" ht="12.75" customHeight="1" x14ac:dyDescent="0.35">
      <c r="C696" s="97" t="s">
        <v>3570</v>
      </c>
    </row>
    <row r="697" spans="2:3" ht="12.75" customHeight="1" x14ac:dyDescent="0.35">
      <c r="C697" s="97" t="s">
        <v>3571</v>
      </c>
    </row>
    <row r="698" spans="2:3" ht="12.75" customHeight="1" x14ac:dyDescent="0.35">
      <c r="C698" s="97" t="s">
        <v>3572</v>
      </c>
    </row>
    <row r="699" spans="2:3" ht="12.75" customHeight="1" x14ac:dyDescent="0.35">
      <c r="C699" s="97" t="s">
        <v>3573</v>
      </c>
    </row>
    <row r="700" spans="2:3" ht="12.75" customHeight="1" x14ac:dyDescent="0.35">
      <c r="C700" s="97" t="s">
        <v>3574</v>
      </c>
    </row>
    <row r="701" spans="2:3" ht="12.75" customHeight="1" x14ac:dyDescent="0.35">
      <c r="B701" s="101"/>
      <c r="C701" s="97" t="s">
        <v>3575</v>
      </c>
    </row>
    <row r="702" spans="2:3" ht="12.75" customHeight="1" x14ac:dyDescent="0.35">
      <c r="B702" s="97" t="s">
        <v>3576</v>
      </c>
    </row>
    <row r="703" spans="2:3" ht="12.75" customHeight="1" x14ac:dyDescent="0.35">
      <c r="B703" s="97" t="s">
        <v>3577</v>
      </c>
    </row>
    <row r="704" spans="2:3" ht="12.75" customHeight="1" x14ac:dyDescent="0.35"/>
    <row r="705" spans="2:4" ht="12.75" customHeight="1" x14ac:dyDescent="0.35"/>
    <row r="706" spans="2:4" ht="12.75" customHeight="1" x14ac:dyDescent="0.35"/>
    <row r="707" spans="2:4" ht="12.75" customHeight="1" x14ac:dyDescent="0.35">
      <c r="B707" s="97" t="s">
        <v>3578</v>
      </c>
    </row>
    <row r="708" spans="2:4" ht="12.75" customHeight="1" x14ac:dyDescent="0.35"/>
    <row r="709" spans="2:4" ht="12.75" customHeight="1" x14ac:dyDescent="0.35">
      <c r="B709" s="97" t="s">
        <v>3426</v>
      </c>
    </row>
    <row r="710" spans="2:4" ht="12.75" customHeight="1" x14ac:dyDescent="0.35">
      <c r="B710" s="97" t="s">
        <v>3579</v>
      </c>
      <c r="D710" s="97" t="s">
        <v>3580</v>
      </c>
    </row>
    <row r="711" spans="2:4" ht="12.75" customHeight="1" x14ac:dyDescent="0.35">
      <c r="B711" s="97" t="s">
        <v>3581</v>
      </c>
    </row>
    <row r="712" spans="2:4" ht="12.75" customHeight="1" x14ac:dyDescent="0.35">
      <c r="C712" s="97" t="s">
        <v>3582</v>
      </c>
    </row>
    <row r="713" spans="2:4" ht="12.75" customHeight="1" x14ac:dyDescent="0.35">
      <c r="C713" s="97" t="s">
        <v>3583</v>
      </c>
    </row>
    <row r="714" spans="2:4" ht="12.75" customHeight="1" x14ac:dyDescent="0.35">
      <c r="C714" s="97" t="s">
        <v>3584</v>
      </c>
    </row>
    <row r="715" spans="2:4" ht="12.75" customHeight="1" x14ac:dyDescent="0.35">
      <c r="C715" s="97" t="s">
        <v>3583</v>
      </c>
    </row>
    <row r="716" spans="2:4" ht="12.75" customHeight="1" x14ac:dyDescent="0.35">
      <c r="C716" s="97" t="s">
        <v>3458</v>
      </c>
    </row>
    <row r="717" spans="2:4" ht="12.75" customHeight="1" x14ac:dyDescent="0.35">
      <c r="C717" s="97" t="s">
        <v>3585</v>
      </c>
    </row>
    <row r="718" spans="2:4" ht="12.75" customHeight="1" x14ac:dyDescent="0.35">
      <c r="C718" s="97" t="s">
        <v>3586</v>
      </c>
    </row>
    <row r="719" spans="2:4" ht="12.75" customHeight="1" x14ac:dyDescent="0.35">
      <c r="C719" s="97" t="s">
        <v>3587</v>
      </c>
    </row>
    <row r="720" spans="2:4" ht="12.75" customHeight="1" x14ac:dyDescent="0.35">
      <c r="C720" s="97" t="s">
        <v>3458</v>
      </c>
    </row>
    <row r="721" spans="2:3" ht="12.75" customHeight="1" x14ac:dyDescent="0.35">
      <c r="C721" s="97" t="s">
        <v>3588</v>
      </c>
    </row>
    <row r="722" spans="2:3" ht="12.75" customHeight="1" x14ac:dyDescent="0.35">
      <c r="C722" s="97" t="s">
        <v>3589</v>
      </c>
    </row>
    <row r="723" spans="2:3" ht="12.75" customHeight="1" x14ac:dyDescent="0.35">
      <c r="B723" s="108"/>
      <c r="C723" s="97" t="s">
        <v>3588</v>
      </c>
    </row>
    <row r="724" spans="2:3" ht="12.75" customHeight="1" x14ac:dyDescent="0.35">
      <c r="C724" s="97" t="s">
        <v>3458</v>
      </c>
    </row>
    <row r="725" spans="2:3" ht="12.75" customHeight="1" x14ac:dyDescent="0.35">
      <c r="C725" s="97" t="s">
        <v>3590</v>
      </c>
    </row>
    <row r="726" spans="2:3" ht="12.75" customHeight="1" x14ac:dyDescent="0.35">
      <c r="C726" s="97" t="s">
        <v>3591</v>
      </c>
    </row>
    <row r="727" spans="2:3" ht="12.75" customHeight="1" x14ac:dyDescent="0.35">
      <c r="C727" s="97" t="s">
        <v>3590</v>
      </c>
    </row>
    <row r="728" spans="2:3" ht="12.75" customHeight="1" x14ac:dyDescent="0.35">
      <c r="C728" s="97" t="s">
        <v>3458</v>
      </c>
    </row>
    <row r="729" spans="2:3" ht="12.75" customHeight="1" x14ac:dyDescent="0.35">
      <c r="C729" s="97" t="s">
        <v>3592</v>
      </c>
    </row>
    <row r="730" spans="2:3" ht="12.75" customHeight="1" x14ac:dyDescent="0.35">
      <c r="C730" s="97" t="s">
        <v>3593</v>
      </c>
    </row>
    <row r="731" spans="2:3" ht="12.75" customHeight="1" x14ac:dyDescent="0.35">
      <c r="C731" s="97" t="s">
        <v>3594</v>
      </c>
    </row>
    <row r="732" spans="2:3" ht="12.75" customHeight="1" x14ac:dyDescent="0.35">
      <c r="C732" s="97" t="s">
        <v>3593</v>
      </c>
    </row>
    <row r="733" spans="2:3" ht="12.75" customHeight="1" x14ac:dyDescent="0.35">
      <c r="C733" s="97" t="s">
        <v>3458</v>
      </c>
    </row>
    <row r="734" spans="2:3" ht="12.75" customHeight="1" x14ac:dyDescent="0.35">
      <c r="C734" s="97" t="s">
        <v>3595</v>
      </c>
    </row>
    <row r="735" spans="2:3" ht="12.75" customHeight="1" x14ac:dyDescent="0.35">
      <c r="C735" s="97" t="s">
        <v>3596</v>
      </c>
    </row>
    <row r="736" spans="2:3" ht="12.75" customHeight="1" x14ac:dyDescent="0.35">
      <c r="C736" s="97" t="s">
        <v>3595</v>
      </c>
    </row>
    <row r="737" spans="2:3" ht="12.75" customHeight="1" x14ac:dyDescent="0.35">
      <c r="C737" s="97" t="s">
        <v>3458</v>
      </c>
    </row>
    <row r="738" spans="2:3" ht="12.75" customHeight="1" x14ac:dyDescent="0.35">
      <c r="C738" s="97" t="s">
        <v>3597</v>
      </c>
    </row>
    <row r="739" spans="2:3" ht="12.75" customHeight="1" x14ac:dyDescent="0.35">
      <c r="C739" s="97" t="s">
        <v>3598</v>
      </c>
    </row>
    <row r="740" spans="2:3" ht="12.75" customHeight="1" x14ac:dyDescent="0.35">
      <c r="C740" s="97" t="s">
        <v>3599</v>
      </c>
    </row>
    <row r="741" spans="2:3" ht="12.75" customHeight="1" x14ac:dyDescent="0.35">
      <c r="C741" s="97" t="s">
        <v>3458</v>
      </c>
    </row>
    <row r="742" spans="2:3" ht="12.75" customHeight="1" x14ac:dyDescent="0.35">
      <c r="B742" s="109"/>
      <c r="C742" s="97" t="s">
        <v>3600</v>
      </c>
    </row>
    <row r="743" spans="2:3" ht="12.75" customHeight="1" x14ac:dyDescent="0.35">
      <c r="B743" s="109"/>
      <c r="C743" s="97" t="s">
        <v>3601</v>
      </c>
    </row>
    <row r="744" spans="2:3" ht="12.75" customHeight="1" x14ac:dyDescent="0.35">
      <c r="B744" s="109"/>
      <c r="C744" s="97" t="s">
        <v>3600</v>
      </c>
    </row>
    <row r="745" spans="2:3" ht="12.75" customHeight="1" x14ac:dyDescent="0.35">
      <c r="B745" s="101"/>
      <c r="C745" s="97" t="s">
        <v>3458</v>
      </c>
    </row>
    <row r="746" spans="2:3" ht="12.75" customHeight="1" x14ac:dyDescent="0.35">
      <c r="C746" s="97" t="s">
        <v>3602</v>
      </c>
    </row>
    <row r="747" spans="2:3" ht="12.75" customHeight="1" x14ac:dyDescent="0.35">
      <c r="C747" s="97" t="s">
        <v>3603</v>
      </c>
    </row>
    <row r="748" spans="2:3" ht="12.75" customHeight="1" x14ac:dyDescent="0.35">
      <c r="C748" s="97" t="s">
        <v>3602</v>
      </c>
    </row>
    <row r="749" spans="2:3" ht="12.75" customHeight="1" x14ac:dyDescent="0.35">
      <c r="C749" s="97" t="s">
        <v>3458</v>
      </c>
    </row>
    <row r="750" spans="2:3" ht="12.75" customHeight="1" x14ac:dyDescent="0.35">
      <c r="C750" s="97" t="s">
        <v>3604</v>
      </c>
    </row>
    <row r="751" spans="2:3" ht="12.75" customHeight="1" x14ac:dyDescent="0.35">
      <c r="C751" s="97" t="s">
        <v>3605</v>
      </c>
    </row>
    <row r="752" spans="2:3" ht="12.75" customHeight="1" x14ac:dyDescent="0.35">
      <c r="C752" s="97" t="s">
        <v>3606</v>
      </c>
    </row>
    <row r="753" spans="2:3" ht="12.75" customHeight="1" x14ac:dyDescent="0.35">
      <c r="C753" s="97" t="s">
        <v>3605</v>
      </c>
    </row>
    <row r="754" spans="2:3" ht="12.75" customHeight="1" x14ac:dyDescent="0.35">
      <c r="C754" s="97" t="s">
        <v>3458</v>
      </c>
    </row>
    <row r="755" spans="2:3" ht="12.75" customHeight="1" x14ac:dyDescent="0.35">
      <c r="C755" s="97" t="s">
        <v>3607</v>
      </c>
    </row>
    <row r="756" spans="2:3" ht="12.75" customHeight="1" x14ac:dyDescent="0.35">
      <c r="C756" s="97" t="s">
        <v>3608</v>
      </c>
    </row>
    <row r="757" spans="2:3" ht="12.75" customHeight="1" x14ac:dyDescent="0.35">
      <c r="C757" s="97" t="s">
        <v>3607</v>
      </c>
    </row>
    <row r="758" spans="2:3" ht="12.75" customHeight="1" x14ac:dyDescent="0.35">
      <c r="C758" s="97" t="s">
        <v>3458</v>
      </c>
    </row>
    <row r="759" spans="2:3" ht="12.75" customHeight="1" x14ac:dyDescent="0.35">
      <c r="C759" s="97" t="s">
        <v>3609</v>
      </c>
    </row>
    <row r="760" spans="2:3" ht="12.75" customHeight="1" x14ac:dyDescent="0.35">
      <c r="C760" s="97" t="s">
        <v>3610</v>
      </c>
    </row>
    <row r="761" spans="2:3" ht="12.75" customHeight="1" x14ac:dyDescent="0.35">
      <c r="C761" s="97" t="s">
        <v>3609</v>
      </c>
    </row>
    <row r="762" spans="2:3" ht="12.75" customHeight="1" x14ac:dyDescent="0.35">
      <c r="C762" s="97" t="s">
        <v>3458</v>
      </c>
    </row>
    <row r="763" spans="2:3" ht="12.75" customHeight="1" x14ac:dyDescent="0.35">
      <c r="C763" s="97" t="s">
        <v>3611</v>
      </c>
    </row>
    <row r="764" spans="2:3" ht="12.75" customHeight="1" x14ac:dyDescent="0.35">
      <c r="C764" s="97" t="s">
        <v>3612</v>
      </c>
    </row>
    <row r="765" spans="2:3" ht="12.75" customHeight="1" x14ac:dyDescent="0.35">
      <c r="C765" s="97" t="s">
        <v>3611</v>
      </c>
    </row>
    <row r="766" spans="2:3" ht="12.75" customHeight="1" x14ac:dyDescent="0.35">
      <c r="C766" s="97" t="s">
        <v>3458</v>
      </c>
    </row>
    <row r="767" spans="2:3" ht="12.75" customHeight="1" x14ac:dyDescent="0.35">
      <c r="C767" s="97" t="s">
        <v>3613</v>
      </c>
    </row>
    <row r="768" spans="2:3" ht="12.75" customHeight="1" x14ac:dyDescent="0.35">
      <c r="B768" s="97" t="s">
        <v>3614</v>
      </c>
    </row>
    <row r="769" spans="2:3" ht="12.75" customHeight="1" x14ac:dyDescent="0.35">
      <c r="C769" s="97" t="s">
        <v>3615</v>
      </c>
    </row>
    <row r="770" spans="2:3" ht="12.75" customHeight="1" x14ac:dyDescent="0.35">
      <c r="C770" s="97" t="s">
        <v>3522</v>
      </c>
    </row>
    <row r="771" spans="2:3" ht="12.75" customHeight="1" x14ac:dyDescent="0.35">
      <c r="C771" s="1288" t="s">
        <v>5422</v>
      </c>
    </row>
    <row r="772" spans="2:3" ht="12.75" customHeight="1" x14ac:dyDescent="0.35">
      <c r="C772" s="97" t="s">
        <v>3525</v>
      </c>
    </row>
    <row r="773" spans="2:3" ht="12.75" customHeight="1" x14ac:dyDescent="0.35">
      <c r="C773" s="1288" t="s">
        <v>5423</v>
      </c>
    </row>
    <row r="774" spans="2:3" ht="12.75" customHeight="1" x14ac:dyDescent="0.35">
      <c r="C774" s="97" t="s">
        <v>3616</v>
      </c>
    </row>
    <row r="775" spans="2:3" ht="12.75" customHeight="1" x14ac:dyDescent="0.35">
      <c r="C775" s="97" t="s">
        <v>3617</v>
      </c>
    </row>
    <row r="776" spans="2:3" ht="12.75" customHeight="1" x14ac:dyDescent="0.35">
      <c r="B776" s="97" t="s">
        <v>3579</v>
      </c>
    </row>
    <row r="777" spans="2:3" ht="12.75" customHeight="1" x14ac:dyDescent="0.35"/>
    <row r="778" spans="2:3" ht="12.75" customHeight="1" x14ac:dyDescent="0.35"/>
    <row r="779" spans="2:3" ht="12.75" customHeight="1" x14ac:dyDescent="0.35"/>
    <row r="780" spans="2:3" ht="12.75" customHeight="1" x14ac:dyDescent="0.35"/>
    <row r="781" spans="2:3" ht="12.75" customHeight="1" x14ac:dyDescent="0.35"/>
    <row r="782" spans="2:3" ht="12.75" customHeight="1" x14ac:dyDescent="0.35"/>
    <row r="783" spans="2:3" ht="12.75" customHeight="1" x14ac:dyDescent="0.35"/>
    <row r="784" spans="2:3" ht="12.75" customHeight="1" x14ac:dyDescent="0.35"/>
    <row r="785" spans="2:3" ht="12.75" customHeight="1" x14ac:dyDescent="0.35"/>
    <row r="786" spans="2:3" ht="12.75" customHeight="1" x14ac:dyDescent="0.35"/>
    <row r="787" spans="2:3" ht="12.75" customHeight="1" x14ac:dyDescent="0.35"/>
    <row r="788" spans="2:3" ht="12.75" customHeight="1" x14ac:dyDescent="0.35"/>
    <row r="789" spans="2:3" ht="12.75" customHeight="1" x14ac:dyDescent="0.35">
      <c r="B789" s="97" t="s">
        <v>3618</v>
      </c>
    </row>
    <row r="790" spans="2:3" ht="12.75" customHeight="1" x14ac:dyDescent="0.35">
      <c r="B790" s="97" t="s">
        <v>3619</v>
      </c>
    </row>
    <row r="791" spans="2:3" ht="12.75" customHeight="1" x14ac:dyDescent="0.35">
      <c r="B791" s="97" t="s">
        <v>3620</v>
      </c>
    </row>
    <row r="792" spans="2:3" ht="12.75" customHeight="1" x14ac:dyDescent="0.35"/>
    <row r="793" spans="2:3" ht="12.75" customHeight="1" x14ac:dyDescent="0.35">
      <c r="B793" s="97" t="s">
        <v>3621</v>
      </c>
    </row>
    <row r="794" spans="2:3" ht="12.75" customHeight="1" x14ac:dyDescent="0.35">
      <c r="B794" s="97" t="s">
        <v>3622</v>
      </c>
    </row>
    <row r="795" spans="2:3" ht="12.75" customHeight="1" x14ac:dyDescent="0.35">
      <c r="C795" s="97" t="s">
        <v>3447</v>
      </c>
    </row>
    <row r="796" spans="2:3" ht="12.75" customHeight="1" x14ac:dyDescent="0.35">
      <c r="C796" s="97" t="s">
        <v>3448</v>
      </c>
    </row>
    <row r="797" spans="2:3" ht="12.75" customHeight="1" x14ac:dyDescent="0.35">
      <c r="C797" s="97" t="s">
        <v>3449</v>
      </c>
    </row>
    <row r="798" spans="2:3" ht="12.75" customHeight="1" x14ac:dyDescent="0.35">
      <c r="C798" s="97" t="s">
        <v>3450</v>
      </c>
    </row>
    <row r="799" spans="2:3" ht="12.75" customHeight="1" x14ac:dyDescent="0.35">
      <c r="C799" s="97" t="s">
        <v>3451</v>
      </c>
    </row>
    <row r="800" spans="2:3" ht="12.75" customHeight="1" x14ac:dyDescent="0.35">
      <c r="C800" s="97" t="s">
        <v>3623</v>
      </c>
    </row>
    <row r="801" spans="1:3" ht="12.75" customHeight="1" x14ac:dyDescent="0.35">
      <c r="B801" s="97" t="s">
        <v>3624</v>
      </c>
    </row>
    <row r="802" spans="1:3" ht="12.75" customHeight="1" x14ac:dyDescent="0.35">
      <c r="A802" s="101"/>
      <c r="B802" s="97" t="s">
        <v>3625</v>
      </c>
    </row>
    <row r="803" spans="1:3" ht="12.75" customHeight="1" x14ac:dyDescent="0.35">
      <c r="B803" s="97" t="s">
        <v>3497</v>
      </c>
    </row>
    <row r="804" spans="1:3" ht="12.75" customHeight="1" x14ac:dyDescent="0.35">
      <c r="B804" s="97" t="s">
        <v>3626</v>
      </c>
    </row>
    <row r="805" spans="1:3" ht="12.75" customHeight="1" x14ac:dyDescent="0.35">
      <c r="C805" s="97" t="s">
        <v>3627</v>
      </c>
    </row>
    <row r="806" spans="1:3" ht="12.75" customHeight="1" x14ac:dyDescent="0.35">
      <c r="C806" s="97" t="s">
        <v>3467</v>
      </c>
    </row>
    <row r="807" spans="1:3" ht="12.75" customHeight="1" x14ac:dyDescent="0.35">
      <c r="C807" s="1288" t="s">
        <v>5427</v>
      </c>
    </row>
    <row r="808" spans="1:3" ht="12.75" customHeight="1" x14ac:dyDescent="0.35">
      <c r="C808" s="97" t="s">
        <v>3628</v>
      </c>
    </row>
    <row r="809" spans="1:3" ht="12.75" customHeight="1" x14ac:dyDescent="0.35">
      <c r="B809" s="101"/>
      <c r="C809" s="97" t="s">
        <v>3629</v>
      </c>
    </row>
    <row r="810" spans="1:3" ht="12.75" customHeight="1" x14ac:dyDescent="0.35">
      <c r="C810" s="97" t="s">
        <v>3425</v>
      </c>
    </row>
    <row r="811" spans="1:3" ht="12.75" customHeight="1" x14ac:dyDescent="0.35">
      <c r="C811" s="97" t="s">
        <v>3630</v>
      </c>
    </row>
    <row r="812" spans="1:3" ht="12.75" customHeight="1" x14ac:dyDescent="0.35">
      <c r="C812" s="97" t="s">
        <v>3631</v>
      </c>
    </row>
    <row r="813" spans="1:3" ht="12.75" customHeight="1" x14ac:dyDescent="0.35">
      <c r="C813" s="97" t="s">
        <v>3632</v>
      </c>
    </row>
    <row r="814" spans="1:3" ht="12.75" customHeight="1" x14ac:dyDescent="0.35">
      <c r="C814" s="97" t="s">
        <v>3633</v>
      </c>
    </row>
    <row r="815" spans="1:3" ht="12.75" customHeight="1" x14ac:dyDescent="0.35">
      <c r="C815" s="97" t="s">
        <v>3634</v>
      </c>
    </row>
    <row r="816" spans="1:3" ht="12.75" customHeight="1" x14ac:dyDescent="0.35">
      <c r="C816" s="97" t="s">
        <v>3536</v>
      </c>
    </row>
    <row r="817" spans="2:3" ht="12.75" customHeight="1" x14ac:dyDescent="0.35">
      <c r="C817" s="1288" t="s">
        <v>5424</v>
      </c>
    </row>
    <row r="818" spans="2:3" ht="12.75" customHeight="1" x14ac:dyDescent="0.35">
      <c r="C818" s="97" t="s">
        <v>3635</v>
      </c>
    </row>
    <row r="819" spans="2:3" ht="12.75" customHeight="1" x14ac:dyDescent="0.35">
      <c r="C819" s="1288" t="s">
        <v>5428</v>
      </c>
    </row>
    <row r="820" spans="2:3" ht="12.75" customHeight="1" x14ac:dyDescent="0.35">
      <c r="C820" s="97" t="s">
        <v>3636</v>
      </c>
    </row>
    <row r="821" spans="2:3" ht="12.75" customHeight="1" x14ac:dyDescent="0.35">
      <c r="C821" s="97" t="s">
        <v>3637</v>
      </c>
    </row>
    <row r="822" spans="2:3" ht="12.75" customHeight="1" x14ac:dyDescent="0.35">
      <c r="C822" s="97" t="s">
        <v>3638</v>
      </c>
    </row>
    <row r="823" spans="2:3" ht="12.75" customHeight="1" x14ac:dyDescent="0.35">
      <c r="B823" s="97" t="s">
        <v>3621</v>
      </c>
    </row>
    <row r="824" spans="2:3" ht="12.75" customHeight="1" x14ac:dyDescent="0.35">
      <c r="B824" s="97" t="s">
        <v>3639</v>
      </c>
    </row>
    <row r="825" spans="2:3" ht="12.75" customHeight="1" x14ac:dyDescent="0.35">
      <c r="B825" s="97" t="s">
        <v>3464</v>
      </c>
    </row>
    <row r="826" spans="2:3" ht="12.75" customHeight="1" x14ac:dyDescent="0.35">
      <c r="B826" s="97" t="s">
        <v>3511</v>
      </c>
    </row>
    <row r="827" spans="2:3" ht="12.75" customHeight="1" x14ac:dyDescent="0.35">
      <c r="B827" s="97" t="s">
        <v>3629</v>
      </c>
    </row>
    <row r="828" spans="2:3" ht="12.75" customHeight="1" x14ac:dyDescent="0.35">
      <c r="B828" s="97" t="s">
        <v>3467</v>
      </c>
    </row>
    <row r="829" spans="2:3" ht="12.75" customHeight="1" x14ac:dyDescent="0.35">
      <c r="B829" s="97" t="s">
        <v>3631</v>
      </c>
    </row>
    <row r="830" spans="2:3" ht="12.75" customHeight="1" x14ac:dyDescent="0.35">
      <c r="B830" s="97" t="s">
        <v>3640</v>
      </c>
    </row>
    <row r="831" spans="2:3" ht="12.75" customHeight="1" x14ac:dyDescent="0.35">
      <c r="B831" s="97" t="s">
        <v>3641</v>
      </c>
    </row>
    <row r="832" spans="2:3" ht="12.75" customHeight="1" x14ac:dyDescent="0.35"/>
    <row r="833" spans="2:2" ht="12.75" customHeight="1" x14ac:dyDescent="0.35">
      <c r="B833" s="97" t="s">
        <v>3642</v>
      </c>
    </row>
    <row r="834" spans="2:2" ht="12.75" customHeight="1" x14ac:dyDescent="0.35">
      <c r="B834" s="97" t="s">
        <v>3643</v>
      </c>
    </row>
    <row r="835" spans="2:2" ht="12.75" customHeight="1" x14ac:dyDescent="0.35">
      <c r="B835" s="97" t="s">
        <v>3556</v>
      </c>
    </row>
    <row r="836" spans="2:2" ht="12.75" customHeight="1" x14ac:dyDescent="0.35">
      <c r="B836" s="97" t="s">
        <v>3644</v>
      </c>
    </row>
    <row r="837" spans="2:2" ht="12.75" customHeight="1" x14ac:dyDescent="0.35"/>
    <row r="838" spans="2:2" ht="12.75" customHeight="1" x14ac:dyDescent="0.35"/>
    <row r="839" spans="2:2" ht="12.75" customHeight="1" x14ac:dyDescent="0.35"/>
    <row r="840" spans="2:2" ht="12.75" customHeight="1" x14ac:dyDescent="0.35">
      <c r="B840" s="97" t="s">
        <v>3645</v>
      </c>
    </row>
    <row r="841" spans="2:2" ht="12.75" customHeight="1" x14ac:dyDescent="0.35"/>
    <row r="842" spans="2:2" ht="12.75" customHeight="1" x14ac:dyDescent="0.35">
      <c r="B842" s="97" t="s">
        <v>3426</v>
      </c>
    </row>
  </sheetData>
  <printOptions gridLines="1"/>
  <pageMargins left="0.35433070866141736" right="0.35433070866141736" top="0.78740157480314965" bottom="0.78740157480314965" header="0.51181102362204722" footer="0.51181102362204722"/>
  <pageSetup paperSize="9" fitToWidth="2" fitToHeight="8" orientation="portrait" r:id="rId1"/>
  <headerFooter>
    <oddHeader>&amp;C&amp;A</oddHeader>
    <oddFooter>&amp;CPage &amp;P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pageSetUpPr autoPageBreaks="0"/>
  </sheetPr>
  <dimension ref="A1:D842"/>
  <sheetViews>
    <sheetView topLeftCell="A686" workbookViewId="0">
      <selection activeCell="C686" sqref="C686"/>
    </sheetView>
  </sheetViews>
  <sheetFormatPr defaultColWidth="9.1796875" defaultRowHeight="14.5" x14ac:dyDescent="0.35"/>
  <cols>
    <col min="1" max="1" width="0.81640625" style="97" customWidth="1"/>
    <col min="2" max="2" width="9.1796875" style="97"/>
    <col min="3" max="4" width="10.7265625" style="97" customWidth="1"/>
    <col min="5" max="16384" width="9.1796875" style="97"/>
  </cols>
  <sheetData>
    <row r="1" spans="1:4" ht="12.75" customHeight="1" x14ac:dyDescent="0.35">
      <c r="A1" s="1290"/>
      <c r="B1" s="1290" t="s">
        <v>3646</v>
      </c>
      <c r="C1" s="1290"/>
      <c r="D1" s="1290"/>
    </row>
    <row r="2" spans="1:4" ht="12.75" customHeight="1" x14ac:dyDescent="0.35">
      <c r="A2" s="1290"/>
      <c r="B2" s="1290" t="s">
        <v>3647</v>
      </c>
      <c r="C2" s="1290"/>
      <c r="D2" s="1290"/>
    </row>
    <row r="3" spans="1:4" ht="12.75" customHeight="1" x14ac:dyDescent="0.35">
      <c r="A3" s="1290"/>
      <c r="B3" s="1290" t="s">
        <v>3648</v>
      </c>
      <c r="C3" s="1290"/>
      <c r="D3" s="1290"/>
    </row>
    <row r="4" spans="1:4" ht="12.75" customHeight="1" x14ac:dyDescent="0.35">
      <c r="A4" s="1290"/>
      <c r="B4" s="1290" t="s">
        <v>3649</v>
      </c>
      <c r="C4" s="1290"/>
      <c r="D4" s="1290"/>
    </row>
    <row r="5" spans="1:4" ht="12.75" customHeight="1" x14ac:dyDescent="0.35">
      <c r="A5" s="1290"/>
      <c r="B5" s="1290" t="s">
        <v>3650</v>
      </c>
      <c r="C5" s="1290"/>
      <c r="D5" s="1290"/>
    </row>
    <row r="6" spans="1:4" ht="12.75" customHeight="1" x14ac:dyDescent="0.35">
      <c r="A6" s="1290"/>
      <c r="B6" s="1290" t="s">
        <v>3651</v>
      </c>
      <c r="C6" s="1290"/>
      <c r="D6" s="1290"/>
    </row>
    <row r="7" spans="1:4" ht="12.75" customHeight="1" x14ac:dyDescent="0.35">
      <c r="A7" s="1290"/>
      <c r="B7" s="1290"/>
      <c r="C7" s="1290"/>
      <c r="D7" s="1290"/>
    </row>
    <row r="8" spans="1:4" ht="12.75" customHeight="1" x14ac:dyDescent="0.35">
      <c r="A8" s="1290"/>
      <c r="B8" s="1290"/>
      <c r="C8" s="1290"/>
      <c r="D8" s="1290"/>
    </row>
    <row r="9" spans="1:4" ht="12.75" customHeight="1" x14ac:dyDescent="0.35">
      <c r="A9" s="1290"/>
      <c r="B9" s="1290"/>
      <c r="C9" s="1290"/>
      <c r="D9" s="1290"/>
    </row>
    <row r="10" spans="1:4" ht="12.75" customHeight="1" x14ac:dyDescent="0.35">
      <c r="A10" s="1290"/>
      <c r="B10" s="1290"/>
      <c r="C10" s="1290"/>
      <c r="D10" s="1290"/>
    </row>
    <row r="11" spans="1:4" ht="12.75" customHeight="1" x14ac:dyDescent="0.35">
      <c r="A11" s="1290"/>
      <c r="B11" s="1290" t="s">
        <v>3652</v>
      </c>
      <c r="C11" s="1290"/>
      <c r="D11" s="1290"/>
    </row>
    <row r="12" spans="1:4" ht="12.75" customHeight="1" x14ac:dyDescent="0.35">
      <c r="A12" s="1290"/>
      <c r="B12" s="1290" t="s">
        <v>3653</v>
      </c>
      <c r="C12" s="1290"/>
      <c r="D12" s="1290"/>
    </row>
    <row r="13" spans="1:4" ht="12.75" customHeight="1" x14ac:dyDescent="0.35">
      <c r="A13" s="1290"/>
      <c r="B13" s="1290" t="s">
        <v>3654</v>
      </c>
      <c r="C13" s="1290"/>
      <c r="D13" s="1290"/>
    </row>
    <row r="14" spans="1:4" ht="12.75" customHeight="1" x14ac:dyDescent="0.35">
      <c r="A14" s="1290"/>
      <c r="B14" s="1290"/>
      <c r="C14" s="1290"/>
      <c r="D14" s="1290"/>
    </row>
    <row r="15" spans="1:4" ht="12.75" customHeight="1" x14ac:dyDescent="0.35">
      <c r="A15" s="1290"/>
      <c r="B15" s="1290" t="s">
        <v>3655</v>
      </c>
      <c r="C15" s="1290"/>
      <c r="D15" s="1290"/>
    </row>
    <row r="16" spans="1:4" ht="12.75" customHeight="1" x14ac:dyDescent="0.35">
      <c r="A16" s="1290"/>
      <c r="B16" s="1290"/>
      <c r="C16" s="1290"/>
      <c r="D16" s="1290"/>
    </row>
    <row r="17" spans="1:4" ht="12.75" customHeight="1" x14ac:dyDescent="0.35">
      <c r="A17" s="1290"/>
      <c r="B17" s="1290" t="s">
        <v>3653</v>
      </c>
      <c r="C17" s="1290"/>
      <c r="D17" s="1290" t="s">
        <v>3657</v>
      </c>
    </row>
    <row r="18" spans="1:4" ht="12.75" customHeight="1" x14ac:dyDescent="0.35">
      <c r="A18" s="1290"/>
      <c r="B18" s="1290"/>
      <c r="C18" s="1290"/>
      <c r="D18" s="1290"/>
    </row>
    <row r="19" spans="1:4" ht="12.75" customHeight="1" x14ac:dyDescent="0.35">
      <c r="A19" s="1290"/>
      <c r="B19" s="1290"/>
      <c r="C19" s="1290"/>
      <c r="D19" s="1290"/>
    </row>
    <row r="20" spans="1:4" ht="12.75" customHeight="1" x14ac:dyDescent="0.35">
      <c r="A20" s="1290"/>
      <c r="B20" s="1290"/>
      <c r="C20" s="1290"/>
      <c r="D20" s="1290"/>
    </row>
    <row r="21" spans="1:4" ht="12.75" customHeight="1" x14ac:dyDescent="0.35">
      <c r="A21" s="1290"/>
      <c r="B21" s="1290"/>
      <c r="C21" s="1290" t="s">
        <v>3659</v>
      </c>
      <c r="D21" s="1290"/>
    </row>
    <row r="22" spans="1:4" ht="12.75" customHeight="1" x14ac:dyDescent="0.35">
      <c r="A22" s="1290"/>
      <c r="B22" s="1290"/>
      <c r="C22" s="1290"/>
      <c r="D22" s="1290"/>
    </row>
    <row r="23" spans="1:4" ht="12.75" customHeight="1" x14ac:dyDescent="0.35">
      <c r="A23" s="1290"/>
      <c r="B23" s="1290"/>
      <c r="C23" s="1290"/>
      <c r="D23" s="1290"/>
    </row>
    <row r="24" spans="1:4" ht="12.75" customHeight="1" x14ac:dyDescent="0.35">
      <c r="A24" s="1290"/>
      <c r="B24" s="1290"/>
      <c r="C24" s="1290"/>
      <c r="D24" s="1290"/>
    </row>
    <row r="25" spans="1:4" ht="12.75" customHeight="1" x14ac:dyDescent="0.35">
      <c r="A25" s="1290"/>
      <c r="B25" s="1290"/>
      <c r="C25" s="1290" t="s">
        <v>3660</v>
      </c>
      <c r="D25" s="1290"/>
    </row>
    <row r="26" spans="1:4" ht="12.75" customHeight="1" x14ac:dyDescent="0.35">
      <c r="A26" s="1290"/>
      <c r="B26" s="1290"/>
      <c r="C26" s="1290"/>
      <c r="D26" s="1290"/>
    </row>
    <row r="27" spans="1:4" ht="12.75" customHeight="1" x14ac:dyDescent="0.35">
      <c r="A27" s="1290"/>
      <c r="B27" s="1290"/>
      <c r="C27" s="1290"/>
      <c r="D27" s="1290"/>
    </row>
    <row r="28" spans="1:4" ht="12.75" customHeight="1" x14ac:dyDescent="0.35">
      <c r="A28" s="1290"/>
      <c r="B28" s="1290"/>
      <c r="C28" s="1290"/>
      <c r="D28" s="1290"/>
    </row>
    <row r="29" spans="1:4" ht="12.75" customHeight="1" x14ac:dyDescent="0.35">
      <c r="A29" s="1290"/>
      <c r="B29" s="1290"/>
      <c r="C29" s="1290"/>
      <c r="D29" s="1290"/>
    </row>
    <row r="30" spans="1:4" ht="12.75" customHeight="1" x14ac:dyDescent="0.35">
      <c r="A30" s="1290"/>
      <c r="B30" s="1290"/>
      <c r="C30" s="1290"/>
      <c r="D30" s="1290"/>
    </row>
    <row r="31" spans="1:4" ht="12.75" customHeight="1" x14ac:dyDescent="0.35">
      <c r="A31" s="1290"/>
      <c r="B31" s="1290"/>
      <c r="C31" s="1290" t="s">
        <v>3659</v>
      </c>
      <c r="D31" s="1290"/>
    </row>
    <row r="32" spans="1:4" ht="12.75" customHeight="1" x14ac:dyDescent="0.35">
      <c r="A32" s="1290"/>
      <c r="B32" s="1290"/>
      <c r="C32" s="1290"/>
      <c r="D32" s="1290"/>
    </row>
    <row r="33" spans="1:4" ht="12.75" customHeight="1" x14ac:dyDescent="0.35">
      <c r="A33" s="1290"/>
      <c r="B33" s="1290"/>
      <c r="C33" s="1290"/>
      <c r="D33" s="1290"/>
    </row>
    <row r="34" spans="1:4" ht="12.75" customHeight="1" x14ac:dyDescent="0.35">
      <c r="A34" s="1290"/>
      <c r="B34" s="1290"/>
      <c r="C34" s="1290"/>
      <c r="D34" s="1290"/>
    </row>
    <row r="35" spans="1:4" ht="12.75" customHeight="1" x14ac:dyDescent="0.35">
      <c r="A35" s="1290"/>
      <c r="B35" s="1290"/>
      <c r="C35" s="1290" t="s">
        <v>3660</v>
      </c>
      <c r="D35" s="1290"/>
    </row>
    <row r="36" spans="1:4" ht="12.75" customHeight="1" x14ac:dyDescent="0.35">
      <c r="A36" s="1290"/>
      <c r="B36" s="1290"/>
      <c r="C36" s="1290"/>
      <c r="D36" s="1290"/>
    </row>
    <row r="37" spans="1:4" ht="12.75" customHeight="1" x14ac:dyDescent="0.35">
      <c r="A37" s="1290"/>
      <c r="B37" s="1290"/>
      <c r="C37" s="1290"/>
      <c r="D37" s="1290"/>
    </row>
    <row r="38" spans="1:4" ht="12.75" customHeight="1" x14ac:dyDescent="0.35">
      <c r="A38" s="1290"/>
      <c r="B38" s="1290"/>
      <c r="C38" s="1290"/>
      <c r="D38" s="1290"/>
    </row>
    <row r="39" spans="1:4" ht="12.75" customHeight="1" x14ac:dyDescent="0.35">
      <c r="A39" s="1290"/>
      <c r="B39" s="1290"/>
      <c r="C39" s="1290"/>
      <c r="D39" s="1290"/>
    </row>
    <row r="40" spans="1:4" ht="12.75" customHeight="1" x14ac:dyDescent="0.35">
      <c r="A40" s="1290"/>
      <c r="B40" s="1290"/>
      <c r="C40" s="1290"/>
      <c r="D40" s="1290"/>
    </row>
    <row r="41" spans="1:4" ht="12.75" customHeight="1" x14ac:dyDescent="0.35">
      <c r="A41" s="1290"/>
      <c r="B41" s="1290"/>
      <c r="C41" s="1290" t="s">
        <v>3659</v>
      </c>
      <c r="D41" s="1290"/>
    </row>
    <row r="42" spans="1:4" ht="12.75" customHeight="1" x14ac:dyDescent="0.35">
      <c r="A42" s="1290"/>
      <c r="B42" s="1290"/>
      <c r="C42" s="1290"/>
      <c r="D42" s="1290"/>
    </row>
    <row r="43" spans="1:4" ht="12.75" customHeight="1" x14ac:dyDescent="0.35">
      <c r="A43" s="1290"/>
      <c r="B43" s="1290"/>
      <c r="C43" s="1290"/>
      <c r="D43" s="1290"/>
    </row>
    <row r="44" spans="1:4" ht="12.75" customHeight="1" x14ac:dyDescent="0.35">
      <c r="A44" s="1290"/>
      <c r="B44" s="1290"/>
      <c r="C44" s="1290"/>
      <c r="D44" s="1290"/>
    </row>
    <row r="45" spans="1:4" ht="12.75" customHeight="1" x14ac:dyDescent="0.35">
      <c r="A45" s="1290"/>
      <c r="B45" s="1290"/>
      <c r="C45" s="1290" t="s">
        <v>3660</v>
      </c>
      <c r="D45" s="1290"/>
    </row>
    <row r="46" spans="1:4" ht="12.75" customHeight="1" x14ac:dyDescent="0.35">
      <c r="A46" s="1290"/>
      <c r="B46" s="1290"/>
      <c r="C46" s="1290"/>
      <c r="D46" s="1290"/>
    </row>
    <row r="47" spans="1:4" ht="12.75" customHeight="1" x14ac:dyDescent="0.35">
      <c r="A47" s="1290"/>
      <c r="B47" s="1290"/>
      <c r="C47" s="1290"/>
      <c r="D47" s="1290"/>
    </row>
    <row r="48" spans="1:4" ht="12.75" customHeight="1" x14ac:dyDescent="0.35">
      <c r="A48" s="1290"/>
      <c r="B48" s="1290"/>
      <c r="C48" s="1290"/>
      <c r="D48" s="1290"/>
    </row>
    <row r="49" spans="1:4" ht="12.75" customHeight="1" x14ac:dyDescent="0.35">
      <c r="A49" s="1290"/>
      <c r="B49" s="1290"/>
      <c r="C49" s="1290"/>
      <c r="D49" s="1290"/>
    </row>
    <row r="50" spans="1:4" ht="12.75" customHeight="1" x14ac:dyDescent="0.35">
      <c r="A50" s="1290"/>
      <c r="B50" s="1290"/>
      <c r="C50" s="1290"/>
      <c r="D50" s="1290"/>
    </row>
    <row r="51" spans="1:4" ht="12.75" customHeight="1" x14ac:dyDescent="0.35">
      <c r="A51" s="1290"/>
      <c r="B51" s="1290"/>
      <c r="C51" s="1290" t="s">
        <v>3659</v>
      </c>
      <c r="D51" s="1290"/>
    </row>
    <row r="52" spans="1:4" ht="12.75" customHeight="1" x14ac:dyDescent="0.35">
      <c r="A52" s="1290"/>
      <c r="B52" s="1290"/>
      <c r="C52" s="1290"/>
      <c r="D52" s="1290"/>
    </row>
    <row r="53" spans="1:4" ht="12.75" customHeight="1" x14ac:dyDescent="0.35">
      <c r="A53" s="1290"/>
      <c r="B53" s="1290"/>
      <c r="C53" s="1290"/>
      <c r="D53" s="1290"/>
    </row>
    <row r="54" spans="1:4" ht="12.75" customHeight="1" x14ac:dyDescent="0.35">
      <c r="A54" s="1290"/>
      <c r="B54" s="1290"/>
      <c r="C54" s="1290"/>
      <c r="D54" s="1290"/>
    </row>
    <row r="55" spans="1:4" ht="12.75" customHeight="1" x14ac:dyDescent="0.35">
      <c r="A55" s="1290"/>
      <c r="B55" s="1290"/>
      <c r="C55" s="1290" t="s">
        <v>3660</v>
      </c>
      <c r="D55" s="1290"/>
    </row>
    <row r="56" spans="1:4" ht="12.75" customHeight="1" x14ac:dyDescent="0.35">
      <c r="A56" s="1290"/>
      <c r="B56" s="1290"/>
      <c r="C56" s="1290"/>
      <c r="D56" s="1290"/>
    </row>
    <row r="57" spans="1:4" ht="12.75" customHeight="1" x14ac:dyDescent="0.35">
      <c r="A57" s="1290"/>
      <c r="B57" s="1290"/>
      <c r="C57" s="1290"/>
      <c r="D57" s="1290"/>
    </row>
    <row r="58" spans="1:4" ht="12.75" customHeight="1" x14ac:dyDescent="0.35">
      <c r="A58" s="1290"/>
      <c r="B58" s="1290"/>
      <c r="C58" s="1290"/>
      <c r="D58" s="1290"/>
    </row>
    <row r="59" spans="1:4" ht="12.75" customHeight="1" x14ac:dyDescent="0.35">
      <c r="A59" s="1290"/>
      <c r="B59" s="1290"/>
      <c r="C59" s="1290"/>
      <c r="D59" s="1290"/>
    </row>
    <row r="60" spans="1:4" ht="12.75" customHeight="1" x14ac:dyDescent="0.35">
      <c r="A60" s="1290"/>
      <c r="B60" s="1290"/>
      <c r="C60" s="1290"/>
      <c r="D60" s="1290"/>
    </row>
    <row r="61" spans="1:4" ht="12.75" customHeight="1" x14ac:dyDescent="0.35">
      <c r="A61" s="1290"/>
      <c r="B61" s="1290"/>
      <c r="C61" s="1290" t="s">
        <v>3659</v>
      </c>
      <c r="D61" s="1290"/>
    </row>
    <row r="62" spans="1:4" ht="12.75" customHeight="1" x14ac:dyDescent="0.35">
      <c r="A62" s="1290"/>
      <c r="B62" s="1290"/>
      <c r="C62" s="1290"/>
      <c r="D62" s="1290"/>
    </row>
    <row r="63" spans="1:4" ht="12.75" customHeight="1" x14ac:dyDescent="0.35">
      <c r="A63" s="1290"/>
      <c r="B63" s="1290"/>
      <c r="C63" s="1290"/>
      <c r="D63" s="1290"/>
    </row>
    <row r="64" spans="1:4" ht="12.75" customHeight="1" x14ac:dyDescent="0.35">
      <c r="A64" s="1290"/>
      <c r="B64" s="1290"/>
      <c r="C64" s="1290"/>
      <c r="D64" s="1290"/>
    </row>
    <row r="65" spans="1:4" ht="12.75" customHeight="1" x14ac:dyDescent="0.35">
      <c r="A65" s="1290"/>
      <c r="B65" s="1290"/>
      <c r="C65" s="1290" t="s">
        <v>3660</v>
      </c>
      <c r="D65" s="1290"/>
    </row>
    <row r="66" spans="1:4" ht="12.75" customHeight="1" x14ac:dyDescent="0.35">
      <c r="A66" s="1290"/>
      <c r="B66" s="1290"/>
      <c r="C66" s="1290"/>
      <c r="D66" s="1290"/>
    </row>
    <row r="67" spans="1:4" ht="12.75" customHeight="1" x14ac:dyDescent="0.35">
      <c r="A67" s="1290"/>
      <c r="B67" s="1290"/>
      <c r="C67" s="1290"/>
      <c r="D67" s="1290"/>
    </row>
    <row r="68" spans="1:4" ht="12.75" customHeight="1" x14ac:dyDescent="0.35">
      <c r="A68" s="1290"/>
      <c r="B68" s="1290"/>
      <c r="C68" s="1290"/>
      <c r="D68" s="1290"/>
    </row>
    <row r="69" spans="1:4" ht="12.75" customHeight="1" x14ac:dyDescent="0.35">
      <c r="A69" s="1290"/>
      <c r="B69" s="1290"/>
      <c r="C69" s="1290"/>
      <c r="D69" s="1290"/>
    </row>
    <row r="70" spans="1:4" ht="12.75" customHeight="1" x14ac:dyDescent="0.35">
      <c r="A70" s="1290"/>
      <c r="B70" s="1290"/>
      <c r="C70" s="1290"/>
      <c r="D70" s="1290"/>
    </row>
    <row r="71" spans="1:4" ht="12.75" customHeight="1" x14ac:dyDescent="0.35">
      <c r="A71" s="1290"/>
      <c r="B71" s="1290"/>
      <c r="C71" s="1290" t="s">
        <v>3659</v>
      </c>
      <c r="D71" s="1290"/>
    </row>
    <row r="72" spans="1:4" ht="12.75" customHeight="1" x14ac:dyDescent="0.35">
      <c r="A72" s="1290"/>
      <c r="B72" s="1290"/>
      <c r="C72" s="1290"/>
      <c r="D72" s="1290"/>
    </row>
    <row r="73" spans="1:4" ht="12.75" customHeight="1" x14ac:dyDescent="0.35">
      <c r="A73" s="1290"/>
      <c r="B73" s="1290"/>
      <c r="C73" s="1290"/>
      <c r="D73" s="1290"/>
    </row>
    <row r="74" spans="1:4" ht="12.75" customHeight="1" x14ac:dyDescent="0.35">
      <c r="A74" s="1290"/>
      <c r="B74" s="1290"/>
      <c r="C74" s="1290"/>
      <c r="D74" s="1290"/>
    </row>
    <row r="75" spans="1:4" ht="12.75" customHeight="1" x14ac:dyDescent="0.35">
      <c r="A75" s="1290"/>
      <c r="B75" s="1290"/>
      <c r="C75" s="1290" t="s">
        <v>3660</v>
      </c>
      <c r="D75" s="1290"/>
    </row>
    <row r="76" spans="1:4" ht="12.75" customHeight="1" x14ac:dyDescent="0.35">
      <c r="A76" s="1290"/>
      <c r="B76" s="1290"/>
      <c r="C76" s="1290"/>
      <c r="D76" s="1290"/>
    </row>
    <row r="77" spans="1:4" ht="12.75" customHeight="1" x14ac:dyDescent="0.35">
      <c r="A77" s="1290"/>
      <c r="B77" s="1290"/>
      <c r="C77" s="1290"/>
      <c r="D77" s="1290"/>
    </row>
    <row r="78" spans="1:4" ht="12.75" customHeight="1" x14ac:dyDescent="0.35">
      <c r="A78" s="1290"/>
      <c r="B78" s="1290"/>
      <c r="C78" s="1290"/>
      <c r="D78" s="1290"/>
    </row>
    <row r="79" spans="1:4" ht="12.75" customHeight="1" x14ac:dyDescent="0.35">
      <c r="A79" s="1290"/>
      <c r="B79" s="1290"/>
      <c r="C79" s="1290"/>
      <c r="D79" s="1290"/>
    </row>
    <row r="80" spans="1:4" ht="12.75" customHeight="1" x14ac:dyDescent="0.35">
      <c r="A80" s="1290"/>
      <c r="B80" s="1290"/>
      <c r="C80" s="1290"/>
      <c r="D80" s="1290"/>
    </row>
    <row r="81" spans="1:4" ht="12.75" customHeight="1" x14ac:dyDescent="0.35">
      <c r="A81" s="1290"/>
      <c r="B81" s="1290"/>
      <c r="C81" s="1290" t="s">
        <v>3659</v>
      </c>
      <c r="D81" s="1290"/>
    </row>
    <row r="82" spans="1:4" ht="12.75" customHeight="1" x14ac:dyDescent="0.35">
      <c r="A82" s="1290"/>
      <c r="B82" s="1290"/>
      <c r="C82" s="1290"/>
      <c r="D82" s="1290"/>
    </row>
    <row r="83" spans="1:4" ht="12.75" customHeight="1" x14ac:dyDescent="0.35">
      <c r="A83" s="1290"/>
      <c r="B83" s="1290"/>
      <c r="C83" s="1290"/>
      <c r="D83" s="1290"/>
    </row>
    <row r="84" spans="1:4" ht="12.75" customHeight="1" x14ac:dyDescent="0.35">
      <c r="A84" s="1290"/>
      <c r="B84" s="1290"/>
      <c r="C84" s="1290"/>
      <c r="D84" s="1290"/>
    </row>
    <row r="85" spans="1:4" ht="12.75" customHeight="1" x14ac:dyDescent="0.35">
      <c r="A85" s="1290"/>
      <c r="B85" s="1290"/>
      <c r="C85" s="1290" t="s">
        <v>3660</v>
      </c>
      <c r="D85" s="1290"/>
    </row>
    <row r="86" spans="1:4" ht="12.75" customHeight="1" x14ac:dyDescent="0.35">
      <c r="A86" s="1290"/>
      <c r="B86" s="1290"/>
      <c r="C86" s="1290"/>
      <c r="D86" s="1290"/>
    </row>
    <row r="87" spans="1:4" ht="12.75" customHeight="1" x14ac:dyDescent="0.35">
      <c r="A87" s="1290"/>
      <c r="B87" s="1290"/>
      <c r="C87" s="1290"/>
      <c r="D87" s="1290"/>
    </row>
    <row r="88" spans="1:4" ht="12.75" customHeight="1" x14ac:dyDescent="0.35">
      <c r="A88" s="1290"/>
      <c r="B88" s="1290"/>
      <c r="C88" s="1290"/>
      <c r="D88" s="1290"/>
    </row>
    <row r="89" spans="1:4" ht="12.75" customHeight="1" x14ac:dyDescent="0.35">
      <c r="A89" s="1290"/>
      <c r="B89" s="1290"/>
      <c r="C89" s="1290"/>
      <c r="D89" s="1290"/>
    </row>
    <row r="90" spans="1:4" ht="12.75" customHeight="1" x14ac:dyDescent="0.35">
      <c r="A90" s="1290"/>
      <c r="B90" s="1290"/>
      <c r="C90" s="1290"/>
      <c r="D90" s="1290"/>
    </row>
    <row r="91" spans="1:4" ht="12.75" customHeight="1" x14ac:dyDescent="0.35">
      <c r="A91" s="1290"/>
      <c r="B91" s="1290"/>
      <c r="C91" s="1290" t="s">
        <v>3659</v>
      </c>
      <c r="D91" s="1290"/>
    </row>
    <row r="92" spans="1:4" ht="12.75" customHeight="1" x14ac:dyDescent="0.35">
      <c r="A92" s="1290"/>
      <c r="B92" s="1290"/>
      <c r="C92" s="1290"/>
      <c r="D92" s="1290"/>
    </row>
    <row r="93" spans="1:4" ht="12.75" customHeight="1" x14ac:dyDescent="0.35">
      <c r="A93" s="1290"/>
      <c r="B93" s="1290"/>
      <c r="C93" s="1290"/>
      <c r="D93" s="1290"/>
    </row>
    <row r="94" spans="1:4" ht="12.75" customHeight="1" x14ac:dyDescent="0.35">
      <c r="A94" s="1290"/>
      <c r="B94" s="1290"/>
      <c r="C94" s="1290"/>
      <c r="D94" s="1290"/>
    </row>
    <row r="95" spans="1:4" ht="12.75" customHeight="1" x14ac:dyDescent="0.35">
      <c r="A95" s="1290"/>
      <c r="B95" s="1290"/>
      <c r="C95" s="1290" t="s">
        <v>3660</v>
      </c>
      <c r="D95" s="1290"/>
    </row>
    <row r="96" spans="1:4" ht="12.75" customHeight="1" x14ac:dyDescent="0.35">
      <c r="A96" s="1290"/>
      <c r="B96" s="1290"/>
      <c r="C96" s="1290"/>
      <c r="D96" s="1290"/>
    </row>
    <row r="97" spans="1:4" ht="12.75" customHeight="1" x14ac:dyDescent="0.35">
      <c r="A97" s="1290"/>
      <c r="B97" s="1290"/>
      <c r="C97" s="1290"/>
      <c r="D97" s="1290"/>
    </row>
    <row r="98" spans="1:4" ht="12.75" customHeight="1" x14ac:dyDescent="0.35">
      <c r="A98" s="1290"/>
      <c r="B98" s="1290"/>
      <c r="C98" s="1290"/>
      <c r="D98" s="1290"/>
    </row>
    <row r="99" spans="1:4" ht="12.75" customHeight="1" x14ac:dyDescent="0.35">
      <c r="A99" s="1290"/>
      <c r="B99" s="1290"/>
      <c r="C99" s="1290"/>
      <c r="D99" s="1290"/>
    </row>
    <row r="100" spans="1:4" ht="12.75" customHeight="1" x14ac:dyDescent="0.35">
      <c r="A100" s="1290"/>
      <c r="B100" s="1290"/>
      <c r="C100" s="1290"/>
      <c r="D100" s="1290"/>
    </row>
    <row r="101" spans="1:4" ht="12.75" customHeight="1" x14ac:dyDescent="0.35">
      <c r="A101" s="1290"/>
      <c r="B101" s="1290"/>
      <c r="C101" s="1290" t="s">
        <v>3659</v>
      </c>
      <c r="D101" s="1290"/>
    </row>
    <row r="102" spans="1:4" ht="12.75" customHeight="1" x14ac:dyDescent="0.35">
      <c r="A102" s="1290"/>
      <c r="B102" s="1290"/>
      <c r="C102" s="1290"/>
      <c r="D102" s="1290"/>
    </row>
    <row r="103" spans="1:4" ht="12.75" customHeight="1" x14ac:dyDescent="0.35">
      <c r="A103" s="1290"/>
      <c r="B103" s="1290"/>
      <c r="C103" s="1290"/>
      <c r="D103" s="1290"/>
    </row>
    <row r="104" spans="1:4" ht="12.75" customHeight="1" x14ac:dyDescent="0.35">
      <c r="A104" s="1290"/>
      <c r="B104" s="1290"/>
      <c r="C104" s="1290"/>
      <c r="D104" s="1290"/>
    </row>
    <row r="105" spans="1:4" ht="12.75" customHeight="1" x14ac:dyDescent="0.35">
      <c r="A105" s="1290"/>
      <c r="B105" s="1290"/>
      <c r="C105" s="1290" t="s">
        <v>3660</v>
      </c>
      <c r="D105" s="1290"/>
    </row>
    <row r="106" spans="1:4" ht="12.75" customHeight="1" x14ac:dyDescent="0.35">
      <c r="A106" s="1290"/>
      <c r="B106" s="1290"/>
      <c r="C106" s="1290"/>
      <c r="D106" s="1290"/>
    </row>
    <row r="107" spans="1:4" ht="12.75" customHeight="1" x14ac:dyDescent="0.35">
      <c r="A107" s="1290"/>
      <c r="B107" s="1290"/>
      <c r="C107" s="1290"/>
      <c r="D107" s="1290"/>
    </row>
    <row r="108" spans="1:4" ht="12.75" customHeight="1" x14ac:dyDescent="0.35">
      <c r="A108" s="1290"/>
      <c r="B108" s="1290"/>
      <c r="C108" s="1290"/>
      <c r="D108" s="1290"/>
    </row>
    <row r="109" spans="1:4" ht="12.75" customHeight="1" x14ac:dyDescent="0.35">
      <c r="A109" s="1290"/>
      <c r="B109" s="1290"/>
      <c r="C109" s="1290"/>
      <c r="D109" s="1290"/>
    </row>
    <row r="110" spans="1:4" ht="12.75" customHeight="1" x14ac:dyDescent="0.35">
      <c r="A110" s="1290"/>
      <c r="B110" s="1290"/>
      <c r="C110" s="1290"/>
      <c r="D110" s="1290"/>
    </row>
    <row r="111" spans="1:4" ht="12.75" customHeight="1" x14ac:dyDescent="0.35">
      <c r="A111" s="1290"/>
      <c r="B111" s="1290"/>
      <c r="C111" s="1290" t="s">
        <v>3659</v>
      </c>
      <c r="D111" s="1290"/>
    </row>
    <row r="112" spans="1:4" ht="12.75" customHeight="1" x14ac:dyDescent="0.35">
      <c r="A112" s="1290"/>
      <c r="B112" s="1290"/>
      <c r="C112" s="1290"/>
      <c r="D112" s="1290"/>
    </row>
    <row r="113" spans="1:4" ht="12.75" customHeight="1" x14ac:dyDescent="0.35">
      <c r="A113" s="1290"/>
      <c r="B113" s="1290"/>
      <c r="C113" s="1290"/>
      <c r="D113" s="1290"/>
    </row>
    <row r="114" spans="1:4" ht="12.75" customHeight="1" x14ac:dyDescent="0.35">
      <c r="A114" s="1290"/>
      <c r="B114" s="1290"/>
      <c r="C114" s="1290"/>
      <c r="D114" s="1290"/>
    </row>
    <row r="115" spans="1:4" ht="12.75" customHeight="1" x14ac:dyDescent="0.35">
      <c r="A115" s="1290"/>
      <c r="B115" s="1290"/>
      <c r="C115" s="1290" t="s">
        <v>3660</v>
      </c>
      <c r="D115" s="1290"/>
    </row>
    <row r="116" spans="1:4" ht="12.75" customHeight="1" x14ac:dyDescent="0.35">
      <c r="A116" s="1290"/>
      <c r="B116" s="1290"/>
      <c r="C116" s="1290"/>
      <c r="D116" s="1290"/>
    </row>
    <row r="117" spans="1:4" ht="12.75" customHeight="1" x14ac:dyDescent="0.35">
      <c r="A117" s="1290"/>
      <c r="B117" s="1290"/>
      <c r="C117" s="1290"/>
      <c r="D117" s="1290"/>
    </row>
    <row r="118" spans="1:4" ht="12.75" customHeight="1" x14ac:dyDescent="0.35">
      <c r="A118" s="1290"/>
      <c r="B118" s="1290"/>
      <c r="C118" s="1290"/>
      <c r="D118" s="1290"/>
    </row>
    <row r="119" spans="1:4" ht="12.75" customHeight="1" x14ac:dyDescent="0.35">
      <c r="A119" s="1290"/>
      <c r="B119" s="1290"/>
      <c r="C119" s="1290"/>
      <c r="D119" s="1290"/>
    </row>
    <row r="120" spans="1:4" ht="12.75" customHeight="1" x14ac:dyDescent="0.35">
      <c r="A120" s="1290"/>
      <c r="B120" s="1290"/>
      <c r="C120" s="1290"/>
      <c r="D120" s="1290"/>
    </row>
    <row r="121" spans="1:4" ht="12.75" customHeight="1" x14ac:dyDescent="0.35">
      <c r="A121" s="1290"/>
      <c r="B121" s="1290"/>
      <c r="C121" s="1290" t="s">
        <v>3659</v>
      </c>
      <c r="D121" s="1290"/>
    </row>
    <row r="122" spans="1:4" ht="12.75" customHeight="1" x14ac:dyDescent="0.35">
      <c r="A122" s="1290"/>
      <c r="B122" s="1290"/>
      <c r="C122" s="1290"/>
      <c r="D122" s="1290"/>
    </row>
    <row r="123" spans="1:4" ht="12.75" customHeight="1" x14ac:dyDescent="0.35">
      <c r="A123" s="1290"/>
      <c r="B123" s="1290"/>
      <c r="C123" s="1290"/>
      <c r="D123" s="1290"/>
    </row>
    <row r="124" spans="1:4" ht="12.75" customHeight="1" x14ac:dyDescent="0.35">
      <c r="A124" s="1290"/>
      <c r="B124" s="1290"/>
      <c r="C124" s="1290"/>
      <c r="D124" s="1290"/>
    </row>
    <row r="125" spans="1:4" ht="12.75" customHeight="1" x14ac:dyDescent="0.35">
      <c r="A125" s="1290"/>
      <c r="B125" s="1290"/>
      <c r="C125" s="1290" t="s">
        <v>3660</v>
      </c>
      <c r="D125" s="1290"/>
    </row>
    <row r="126" spans="1:4" ht="12.75" customHeight="1" x14ac:dyDescent="0.35">
      <c r="A126" s="1290"/>
      <c r="B126" s="1290"/>
      <c r="C126" s="1290"/>
      <c r="D126" s="1290"/>
    </row>
    <row r="127" spans="1:4" ht="12.75" customHeight="1" x14ac:dyDescent="0.35">
      <c r="A127" s="1290"/>
      <c r="B127" s="1290"/>
      <c r="C127" s="1290"/>
      <c r="D127" s="1290"/>
    </row>
    <row r="128" spans="1:4" ht="12.75" customHeight="1" x14ac:dyDescent="0.35">
      <c r="A128" s="1290"/>
      <c r="B128" s="1290"/>
      <c r="C128" s="1290"/>
      <c r="D128" s="1290"/>
    </row>
    <row r="129" spans="1:4" ht="12.75" customHeight="1" x14ac:dyDescent="0.35">
      <c r="A129" s="1290"/>
      <c r="B129" s="1290"/>
      <c r="C129" s="1290"/>
      <c r="D129" s="1290"/>
    </row>
    <row r="130" spans="1:4" ht="12.75" customHeight="1" x14ac:dyDescent="0.35">
      <c r="A130" s="1290"/>
      <c r="B130" s="1290"/>
      <c r="C130" s="1290"/>
      <c r="D130" s="1290"/>
    </row>
    <row r="131" spans="1:4" ht="12.75" customHeight="1" x14ac:dyDescent="0.35">
      <c r="A131" s="1290"/>
      <c r="B131" s="1290"/>
      <c r="C131" s="1290" t="s">
        <v>3659</v>
      </c>
      <c r="D131" s="1290"/>
    </row>
    <row r="132" spans="1:4" ht="12.75" customHeight="1" x14ac:dyDescent="0.35">
      <c r="A132" s="1290"/>
      <c r="B132" s="1290"/>
      <c r="C132" s="1290"/>
      <c r="D132" s="1290"/>
    </row>
    <row r="133" spans="1:4" ht="12.75" customHeight="1" x14ac:dyDescent="0.35">
      <c r="A133" s="1290"/>
      <c r="B133" s="1290"/>
      <c r="C133" s="1290"/>
      <c r="D133" s="1290"/>
    </row>
    <row r="134" spans="1:4" ht="12.75" customHeight="1" x14ac:dyDescent="0.35">
      <c r="A134" s="1290"/>
      <c r="B134" s="1290"/>
      <c r="C134" s="1290"/>
      <c r="D134" s="1290"/>
    </row>
    <row r="135" spans="1:4" ht="12.75" customHeight="1" x14ac:dyDescent="0.35">
      <c r="A135" s="1290"/>
      <c r="B135" s="1290"/>
      <c r="C135" s="1290" t="s">
        <v>3660</v>
      </c>
      <c r="D135" s="1290"/>
    </row>
    <row r="136" spans="1:4" ht="12.75" customHeight="1" x14ac:dyDescent="0.35">
      <c r="A136" s="1290"/>
      <c r="B136" s="1290"/>
      <c r="C136" s="1290"/>
      <c r="D136" s="1290"/>
    </row>
    <row r="137" spans="1:4" ht="12.75" customHeight="1" x14ac:dyDescent="0.35">
      <c r="A137" s="1290"/>
      <c r="B137" s="1290"/>
      <c r="C137" s="1290"/>
      <c r="D137" s="1290"/>
    </row>
    <row r="138" spans="1:4" ht="12.75" customHeight="1" x14ac:dyDescent="0.35">
      <c r="A138" s="1290"/>
      <c r="B138" s="1290"/>
      <c r="C138" s="1290"/>
      <c r="D138" s="1290"/>
    </row>
    <row r="139" spans="1:4" ht="12.75" customHeight="1" x14ac:dyDescent="0.35">
      <c r="A139" s="1290"/>
      <c r="B139" s="1290"/>
      <c r="C139" s="1290"/>
      <c r="D139" s="1290"/>
    </row>
    <row r="140" spans="1:4" ht="12.75" customHeight="1" x14ac:dyDescent="0.35">
      <c r="A140" s="1290"/>
      <c r="B140" s="1290"/>
      <c r="C140" s="1290"/>
      <c r="D140" s="1290"/>
    </row>
    <row r="141" spans="1:4" ht="12.75" customHeight="1" x14ac:dyDescent="0.35">
      <c r="A141" s="1290"/>
      <c r="B141" s="1290"/>
      <c r="C141" s="1290" t="s">
        <v>3659</v>
      </c>
      <c r="D141" s="1290"/>
    </row>
    <row r="142" spans="1:4" ht="12.75" customHeight="1" x14ac:dyDescent="0.35">
      <c r="A142" s="1290"/>
      <c r="B142" s="1290"/>
      <c r="C142" s="1290"/>
      <c r="D142" s="1290"/>
    </row>
    <row r="143" spans="1:4" ht="12.75" customHeight="1" x14ac:dyDescent="0.35">
      <c r="A143" s="1290"/>
      <c r="B143" s="1290"/>
      <c r="C143" s="1290"/>
      <c r="D143" s="1290"/>
    </row>
    <row r="144" spans="1:4" ht="12.75" customHeight="1" x14ac:dyDescent="0.35">
      <c r="A144" s="1290"/>
      <c r="B144" s="1290"/>
      <c r="C144" s="1290"/>
      <c r="D144" s="1290"/>
    </row>
    <row r="145" spans="1:4" ht="12.75" customHeight="1" x14ac:dyDescent="0.35">
      <c r="A145" s="1290"/>
      <c r="B145" s="1290"/>
      <c r="C145" s="1290" t="s">
        <v>3660</v>
      </c>
      <c r="D145" s="1290"/>
    </row>
    <row r="146" spans="1:4" ht="12.75" customHeight="1" x14ac:dyDescent="0.35">
      <c r="A146" s="1290"/>
      <c r="B146" s="1290"/>
      <c r="C146" s="1290"/>
      <c r="D146" s="1290"/>
    </row>
    <row r="147" spans="1:4" ht="12.75" customHeight="1" x14ac:dyDescent="0.35">
      <c r="A147" s="1290"/>
      <c r="B147" s="1290"/>
      <c r="C147" s="1290"/>
      <c r="D147" s="1290"/>
    </row>
    <row r="148" spans="1:4" ht="12.75" customHeight="1" x14ac:dyDescent="0.35">
      <c r="A148" s="1290"/>
      <c r="B148" s="1290"/>
      <c r="C148" s="1290"/>
      <c r="D148" s="1290"/>
    </row>
    <row r="149" spans="1:4" ht="12.75" customHeight="1" x14ac:dyDescent="0.35">
      <c r="A149" s="1290"/>
      <c r="B149" s="1290"/>
      <c r="C149" s="1290"/>
      <c r="D149" s="1290"/>
    </row>
    <row r="150" spans="1:4" ht="12.75" customHeight="1" x14ac:dyDescent="0.35">
      <c r="A150" s="1290"/>
      <c r="B150" s="1290" t="s">
        <v>3658</v>
      </c>
      <c r="C150" s="1290"/>
      <c r="D150" s="1290"/>
    </row>
    <row r="151" spans="1:4" ht="12.75" customHeight="1" x14ac:dyDescent="0.35">
      <c r="A151" s="1290"/>
      <c r="B151" s="1290"/>
      <c r="C151" s="1290" t="s">
        <v>3659</v>
      </c>
      <c r="D151" s="1290"/>
    </row>
    <row r="152" spans="1:4" ht="12.75" customHeight="1" x14ac:dyDescent="0.35">
      <c r="A152" s="1290"/>
      <c r="B152" s="1290"/>
      <c r="C152" s="1290"/>
      <c r="D152" s="1290"/>
    </row>
    <row r="153" spans="1:4" ht="12.75" customHeight="1" x14ac:dyDescent="0.35">
      <c r="A153" s="1290"/>
      <c r="B153" s="1290"/>
      <c r="C153" s="1290"/>
      <c r="D153" s="1290"/>
    </row>
    <row r="154" spans="1:4" ht="12.75" customHeight="1" x14ac:dyDescent="0.35">
      <c r="A154" s="1290"/>
      <c r="B154" s="1290" t="s">
        <v>3658</v>
      </c>
      <c r="C154" s="1290"/>
      <c r="D154" s="1290"/>
    </row>
    <row r="155" spans="1:4" ht="12.75" customHeight="1" x14ac:dyDescent="0.35">
      <c r="A155" s="1290"/>
      <c r="B155" s="1290"/>
      <c r="C155" s="1290" t="s">
        <v>3660</v>
      </c>
      <c r="D155" s="1290"/>
    </row>
    <row r="156" spans="1:4" ht="12.75" customHeight="1" x14ac:dyDescent="0.35">
      <c r="A156" s="1290"/>
      <c r="B156" s="1290"/>
      <c r="C156" s="1290"/>
      <c r="D156" s="1290"/>
    </row>
    <row r="157" spans="1:4" ht="12.75" customHeight="1" x14ac:dyDescent="0.35">
      <c r="A157" s="1290"/>
      <c r="B157" s="1290"/>
      <c r="C157" s="1290"/>
      <c r="D157" s="1290"/>
    </row>
    <row r="158" spans="1:4" ht="12.75" customHeight="1" x14ac:dyDescent="0.35">
      <c r="A158" s="1290"/>
      <c r="B158" s="1290"/>
      <c r="C158" s="1290"/>
      <c r="D158" s="1290"/>
    </row>
    <row r="159" spans="1:4" ht="12.75" customHeight="1" x14ac:dyDescent="0.35">
      <c r="A159" s="1290"/>
      <c r="B159" s="1290"/>
      <c r="C159" s="1290"/>
      <c r="D159" s="1290"/>
    </row>
    <row r="160" spans="1:4" ht="12.75" customHeight="1" x14ac:dyDescent="0.35">
      <c r="A160" s="1290"/>
      <c r="B160" s="1290" t="s">
        <v>3658</v>
      </c>
      <c r="C160" s="1290"/>
      <c r="D160" s="1290"/>
    </row>
    <row r="161" spans="1:4" ht="12.75" customHeight="1" x14ac:dyDescent="0.35">
      <c r="A161" s="1290"/>
      <c r="B161" s="1290"/>
      <c r="C161" s="1290" t="s">
        <v>3659</v>
      </c>
      <c r="D161" s="1290"/>
    </row>
    <row r="162" spans="1:4" ht="12.75" customHeight="1" x14ac:dyDescent="0.35">
      <c r="A162" s="1290"/>
      <c r="B162" s="1290"/>
      <c r="C162" s="1290"/>
      <c r="D162" s="1290"/>
    </row>
    <row r="163" spans="1:4" ht="12.75" customHeight="1" x14ac:dyDescent="0.35">
      <c r="A163" s="1290"/>
      <c r="B163" s="1290"/>
      <c r="C163" s="1290"/>
      <c r="D163" s="1290"/>
    </row>
    <row r="164" spans="1:4" ht="12.75" customHeight="1" x14ac:dyDescent="0.35">
      <c r="A164" s="1290"/>
      <c r="B164" s="1290" t="s">
        <v>3658</v>
      </c>
      <c r="C164" s="1290"/>
      <c r="D164" s="1290"/>
    </row>
    <row r="165" spans="1:4" ht="12.75" customHeight="1" x14ac:dyDescent="0.35">
      <c r="A165" s="1290"/>
      <c r="B165" s="1290"/>
      <c r="C165" s="1290" t="s">
        <v>3660</v>
      </c>
      <c r="D165" s="1290"/>
    </row>
    <row r="166" spans="1:4" ht="12.75" customHeight="1" x14ac:dyDescent="0.35">
      <c r="A166" s="1290"/>
      <c r="B166" s="1290"/>
      <c r="C166" s="1290"/>
      <c r="D166" s="1290"/>
    </row>
    <row r="167" spans="1:4" ht="12.75" customHeight="1" x14ac:dyDescent="0.35">
      <c r="A167" s="1290"/>
      <c r="B167" s="1290"/>
      <c r="C167" s="1290"/>
      <c r="D167" s="1290"/>
    </row>
    <row r="168" spans="1:4" ht="12.75" customHeight="1" x14ac:dyDescent="0.35">
      <c r="A168" s="1290"/>
      <c r="B168" s="1290"/>
      <c r="C168" s="1290"/>
      <c r="D168" s="1290"/>
    </row>
    <row r="169" spans="1:4" ht="12.75" customHeight="1" x14ac:dyDescent="0.35">
      <c r="A169" s="1290"/>
      <c r="B169" s="1290"/>
      <c r="C169" s="1290"/>
      <c r="D169" s="1290"/>
    </row>
    <row r="170" spans="1:4" ht="12.75" customHeight="1" x14ac:dyDescent="0.35">
      <c r="A170" s="1290"/>
      <c r="B170" s="1290" t="s">
        <v>3658</v>
      </c>
      <c r="C170" s="1290"/>
      <c r="D170" s="1290"/>
    </row>
    <row r="171" spans="1:4" ht="12.75" customHeight="1" x14ac:dyDescent="0.35">
      <c r="A171" s="1290"/>
      <c r="B171" s="1290"/>
      <c r="C171" s="1290" t="s">
        <v>3659</v>
      </c>
      <c r="D171" s="1290"/>
    </row>
    <row r="172" spans="1:4" ht="12.75" customHeight="1" x14ac:dyDescent="0.35">
      <c r="A172" s="1290"/>
      <c r="B172" s="1290"/>
      <c r="C172" s="1290"/>
      <c r="D172" s="1290"/>
    </row>
    <row r="173" spans="1:4" ht="12.75" customHeight="1" x14ac:dyDescent="0.35">
      <c r="A173" s="1290"/>
      <c r="B173" s="1290"/>
      <c r="C173" s="1290"/>
      <c r="D173" s="1290"/>
    </row>
    <row r="174" spans="1:4" ht="12.75" customHeight="1" x14ac:dyDescent="0.35">
      <c r="A174" s="1290"/>
      <c r="B174" s="1290" t="s">
        <v>3658</v>
      </c>
      <c r="C174" s="1290"/>
      <c r="D174" s="1290"/>
    </row>
    <row r="175" spans="1:4" ht="12.75" customHeight="1" x14ac:dyDescent="0.35">
      <c r="A175" s="1290"/>
      <c r="B175" s="1290"/>
      <c r="C175" s="1290" t="s">
        <v>3660</v>
      </c>
      <c r="D175" s="1290"/>
    </row>
    <row r="176" spans="1:4" ht="12.75" customHeight="1" x14ac:dyDescent="0.35">
      <c r="A176" s="1290"/>
      <c r="B176" s="1290"/>
      <c r="C176" s="1290"/>
      <c r="D176" s="1290"/>
    </row>
    <row r="177" spans="1:4" ht="12.75" customHeight="1" x14ac:dyDescent="0.35">
      <c r="A177" s="1290"/>
      <c r="B177" s="1290"/>
      <c r="C177" s="1290"/>
      <c r="D177" s="1290"/>
    </row>
    <row r="178" spans="1:4" ht="12.75" customHeight="1" x14ac:dyDescent="0.35">
      <c r="A178" s="1290"/>
      <c r="B178" s="1290"/>
      <c r="C178" s="1290"/>
      <c r="D178" s="1290"/>
    </row>
    <row r="179" spans="1:4" ht="12.75" customHeight="1" x14ac:dyDescent="0.35">
      <c r="A179" s="1290"/>
      <c r="B179" s="1290"/>
      <c r="C179" s="1290"/>
      <c r="D179" s="1290"/>
    </row>
    <row r="180" spans="1:4" ht="12.75" customHeight="1" x14ac:dyDescent="0.35">
      <c r="A180" s="1290"/>
      <c r="B180" s="1290" t="s">
        <v>3658</v>
      </c>
      <c r="C180" s="1290"/>
      <c r="D180" s="1290"/>
    </row>
    <row r="181" spans="1:4" ht="12.75" customHeight="1" x14ac:dyDescent="0.35">
      <c r="A181" s="1290"/>
      <c r="B181" s="1290"/>
      <c r="C181" s="1290" t="s">
        <v>3659</v>
      </c>
      <c r="D181" s="1290"/>
    </row>
    <row r="182" spans="1:4" ht="12.75" customHeight="1" x14ac:dyDescent="0.35">
      <c r="A182" s="1290"/>
      <c r="B182" s="1290"/>
      <c r="C182" s="1290"/>
      <c r="D182" s="1290"/>
    </row>
    <row r="183" spans="1:4" ht="12.75" customHeight="1" x14ac:dyDescent="0.35">
      <c r="A183" s="1290"/>
      <c r="B183" s="1290"/>
      <c r="C183" s="1290"/>
      <c r="D183" s="1290"/>
    </row>
    <row r="184" spans="1:4" ht="12.75" customHeight="1" x14ac:dyDescent="0.35">
      <c r="A184" s="1290"/>
      <c r="B184" s="1290" t="s">
        <v>3658</v>
      </c>
      <c r="C184" s="1290"/>
      <c r="D184" s="1290"/>
    </row>
    <row r="185" spans="1:4" ht="12.75" customHeight="1" x14ac:dyDescent="0.35">
      <c r="A185" s="1290"/>
      <c r="B185" s="1290"/>
      <c r="C185" s="1290" t="s">
        <v>3660</v>
      </c>
      <c r="D185" s="1290"/>
    </row>
    <row r="186" spans="1:4" ht="12.75" customHeight="1" x14ac:dyDescent="0.35">
      <c r="A186" s="1290"/>
      <c r="B186" s="1290"/>
      <c r="C186" s="1290"/>
      <c r="D186" s="1290"/>
    </row>
    <row r="187" spans="1:4" ht="12.75" customHeight="1" x14ac:dyDescent="0.35">
      <c r="A187" s="1290"/>
      <c r="B187" s="1290"/>
      <c r="C187" s="1290"/>
      <c r="D187" s="1290"/>
    </row>
    <row r="188" spans="1:4" ht="12.75" customHeight="1" x14ac:dyDescent="0.35">
      <c r="A188" s="1290"/>
      <c r="B188" s="1290"/>
      <c r="C188" s="1290"/>
      <c r="D188" s="1290"/>
    </row>
    <row r="189" spans="1:4" ht="12.75" customHeight="1" x14ac:dyDescent="0.35">
      <c r="A189" s="1290"/>
      <c r="B189" s="1290"/>
      <c r="C189" s="1290"/>
      <c r="D189" s="1290"/>
    </row>
    <row r="190" spans="1:4" ht="12.75" customHeight="1" x14ac:dyDescent="0.35">
      <c r="A190" s="1290"/>
      <c r="B190" s="1290" t="s">
        <v>3658</v>
      </c>
      <c r="C190" s="1290"/>
      <c r="D190" s="1290"/>
    </row>
    <row r="191" spans="1:4" ht="12.75" customHeight="1" x14ac:dyDescent="0.35">
      <c r="A191" s="1290"/>
      <c r="B191" s="1290"/>
      <c r="C191" s="1290" t="s">
        <v>3659</v>
      </c>
      <c r="D191" s="1290"/>
    </row>
    <row r="192" spans="1:4" ht="12.75" customHeight="1" x14ac:dyDescent="0.35">
      <c r="A192" s="1290"/>
      <c r="B192" s="1290"/>
      <c r="C192" s="1290"/>
      <c r="D192" s="1290"/>
    </row>
    <row r="193" spans="1:4" ht="12.75" customHeight="1" x14ac:dyDescent="0.35">
      <c r="A193" s="1290"/>
      <c r="B193" s="1290"/>
      <c r="C193" s="1290"/>
      <c r="D193" s="1290"/>
    </row>
    <row r="194" spans="1:4" ht="12.75" customHeight="1" x14ac:dyDescent="0.35">
      <c r="A194" s="1290"/>
      <c r="B194" s="1290" t="s">
        <v>3658</v>
      </c>
      <c r="C194" s="1290"/>
      <c r="D194" s="1290"/>
    </row>
    <row r="195" spans="1:4" ht="12.75" customHeight="1" x14ac:dyDescent="0.35">
      <c r="A195" s="1290"/>
      <c r="B195" s="1290"/>
      <c r="C195" s="1290" t="s">
        <v>3660</v>
      </c>
      <c r="D195" s="1290"/>
    </row>
    <row r="196" spans="1:4" ht="12.75" customHeight="1" x14ac:dyDescent="0.35">
      <c r="A196" s="1290"/>
      <c r="B196" s="1290"/>
      <c r="C196" s="1290"/>
      <c r="D196" s="1290"/>
    </row>
    <row r="197" spans="1:4" ht="12.75" customHeight="1" x14ac:dyDescent="0.35">
      <c r="A197" s="1290"/>
      <c r="B197" s="1290"/>
      <c r="C197" s="1290"/>
      <c r="D197" s="1290"/>
    </row>
    <row r="198" spans="1:4" ht="12.75" customHeight="1" x14ac:dyDescent="0.35">
      <c r="A198" s="1290"/>
      <c r="B198" s="1290"/>
      <c r="C198" s="1290"/>
      <c r="D198" s="1290"/>
    </row>
    <row r="199" spans="1:4" ht="12.75" customHeight="1" x14ac:dyDescent="0.35">
      <c r="A199" s="1290"/>
      <c r="B199" s="1290"/>
      <c r="C199" s="1290"/>
      <c r="D199" s="1290"/>
    </row>
    <row r="200" spans="1:4" ht="12.75" customHeight="1" x14ac:dyDescent="0.35">
      <c r="A200" s="1290"/>
      <c r="B200" s="1290" t="s">
        <v>3658</v>
      </c>
      <c r="C200" s="1290"/>
      <c r="D200" s="1290"/>
    </row>
    <row r="201" spans="1:4" ht="12.75" customHeight="1" x14ac:dyDescent="0.35">
      <c r="A201" s="1290"/>
      <c r="B201" s="1290"/>
      <c r="C201" s="1290" t="s">
        <v>3659</v>
      </c>
      <c r="D201" s="1290"/>
    </row>
    <row r="202" spans="1:4" ht="12.75" customHeight="1" x14ac:dyDescent="0.35">
      <c r="A202" s="1290"/>
      <c r="B202" s="1290"/>
      <c r="C202" s="1290"/>
      <c r="D202" s="1290"/>
    </row>
    <row r="203" spans="1:4" ht="12.75" customHeight="1" x14ac:dyDescent="0.35">
      <c r="A203" s="1290"/>
      <c r="B203" s="1290"/>
      <c r="C203" s="1290"/>
      <c r="D203" s="1290"/>
    </row>
    <row r="204" spans="1:4" ht="12.75" customHeight="1" x14ac:dyDescent="0.35">
      <c r="A204" s="1290"/>
      <c r="B204" s="1290" t="s">
        <v>3658</v>
      </c>
      <c r="C204" s="1290"/>
      <c r="D204" s="1290"/>
    </row>
    <row r="205" spans="1:4" ht="12.75" customHeight="1" x14ac:dyDescent="0.35">
      <c r="A205" s="1290"/>
      <c r="B205" s="1290"/>
      <c r="C205" s="1290" t="s">
        <v>3660</v>
      </c>
      <c r="D205" s="1290"/>
    </row>
    <row r="206" spans="1:4" ht="12.75" customHeight="1" x14ac:dyDescent="0.35">
      <c r="A206" s="1290"/>
      <c r="B206" s="1290"/>
      <c r="C206" s="1290"/>
      <c r="D206" s="1290"/>
    </row>
    <row r="207" spans="1:4" ht="12.75" customHeight="1" x14ac:dyDescent="0.35">
      <c r="A207" s="1290"/>
      <c r="B207" s="1290"/>
      <c r="C207" s="1290"/>
      <c r="D207" s="1290"/>
    </row>
    <row r="208" spans="1:4" ht="12.75" customHeight="1" x14ac:dyDescent="0.35">
      <c r="A208" s="1290"/>
      <c r="B208" s="1290"/>
      <c r="C208" s="1290"/>
      <c r="D208" s="1290"/>
    </row>
    <row r="209" spans="1:4" ht="12.75" customHeight="1" x14ac:dyDescent="0.35">
      <c r="A209" s="1290"/>
      <c r="B209" s="1290"/>
      <c r="C209" s="1290"/>
      <c r="D209" s="1290"/>
    </row>
    <row r="210" spans="1:4" ht="12.75" customHeight="1" x14ac:dyDescent="0.35">
      <c r="A210" s="1290"/>
      <c r="B210" s="1290" t="s">
        <v>3658</v>
      </c>
      <c r="C210" s="1290"/>
      <c r="D210" s="1290"/>
    </row>
    <row r="211" spans="1:4" ht="12.75" customHeight="1" x14ac:dyDescent="0.35">
      <c r="A211" s="1290"/>
      <c r="B211" s="1290"/>
      <c r="C211" s="1290" t="s">
        <v>3659</v>
      </c>
      <c r="D211" s="1290"/>
    </row>
    <row r="212" spans="1:4" ht="12.75" customHeight="1" x14ac:dyDescent="0.35">
      <c r="A212" s="1290"/>
      <c r="B212" s="1290"/>
      <c r="C212" s="1290"/>
      <c r="D212" s="1290"/>
    </row>
    <row r="213" spans="1:4" ht="12.75" customHeight="1" x14ac:dyDescent="0.35">
      <c r="A213" s="1290"/>
      <c r="B213" s="1290"/>
      <c r="C213" s="1290"/>
      <c r="D213" s="1290"/>
    </row>
    <row r="214" spans="1:4" ht="12.75" customHeight="1" x14ac:dyDescent="0.35">
      <c r="A214" s="1290"/>
      <c r="B214" s="1290" t="s">
        <v>3658</v>
      </c>
      <c r="C214" s="1290"/>
      <c r="D214" s="1290"/>
    </row>
    <row r="215" spans="1:4" ht="12.75" customHeight="1" x14ac:dyDescent="0.35">
      <c r="A215" s="1290"/>
      <c r="B215" s="1290"/>
      <c r="C215" s="1290" t="s">
        <v>3660</v>
      </c>
      <c r="D215" s="1290"/>
    </row>
    <row r="216" spans="1:4" ht="12.75" customHeight="1" x14ac:dyDescent="0.35">
      <c r="A216" s="1290"/>
      <c r="B216" s="1290"/>
      <c r="C216" s="1290"/>
      <c r="D216" s="1290"/>
    </row>
    <row r="217" spans="1:4" ht="12.75" customHeight="1" x14ac:dyDescent="0.35">
      <c r="A217" s="1290"/>
      <c r="B217" s="1290"/>
      <c r="C217" s="1290"/>
      <c r="D217" s="1290"/>
    </row>
    <row r="218" spans="1:4" ht="12.75" customHeight="1" x14ac:dyDescent="0.35">
      <c r="A218" s="1290"/>
      <c r="B218" s="1290"/>
      <c r="C218" s="1290"/>
      <c r="D218" s="1290"/>
    </row>
    <row r="219" spans="1:4" ht="12.75" customHeight="1" x14ac:dyDescent="0.35">
      <c r="A219" s="1290"/>
      <c r="B219" s="1290"/>
      <c r="C219" s="1290"/>
      <c r="D219" s="1290"/>
    </row>
    <row r="220" spans="1:4" ht="12.75" customHeight="1" x14ac:dyDescent="0.35">
      <c r="A220" s="1290"/>
      <c r="B220" s="1290" t="s">
        <v>3658</v>
      </c>
      <c r="C220" s="1290"/>
      <c r="D220" s="1290"/>
    </row>
    <row r="221" spans="1:4" ht="12.75" customHeight="1" x14ac:dyDescent="0.35">
      <c r="A221" s="1290"/>
      <c r="B221" s="1290"/>
      <c r="C221" s="1290" t="s">
        <v>3659</v>
      </c>
      <c r="D221" s="1290"/>
    </row>
    <row r="222" spans="1:4" ht="12.75" customHeight="1" x14ac:dyDescent="0.35">
      <c r="A222" s="1290"/>
      <c r="B222" s="1290"/>
      <c r="C222" s="1290"/>
      <c r="D222" s="1290"/>
    </row>
    <row r="223" spans="1:4" ht="12.75" customHeight="1" x14ac:dyDescent="0.35">
      <c r="A223" s="1290"/>
      <c r="B223" s="1290"/>
      <c r="C223" s="1290"/>
      <c r="D223" s="1290"/>
    </row>
    <row r="224" spans="1:4" ht="12.75" customHeight="1" x14ac:dyDescent="0.35">
      <c r="A224" s="1290"/>
      <c r="B224" s="1290" t="s">
        <v>3658</v>
      </c>
      <c r="C224" s="1290"/>
      <c r="D224" s="1290"/>
    </row>
    <row r="225" spans="1:4" ht="12.75" customHeight="1" x14ac:dyDescent="0.35">
      <c r="A225" s="1290"/>
      <c r="B225" s="1290"/>
      <c r="C225" s="1290" t="s">
        <v>3660</v>
      </c>
      <c r="D225" s="1290"/>
    </row>
    <row r="226" spans="1:4" ht="12.75" customHeight="1" x14ac:dyDescent="0.35">
      <c r="A226" s="1290"/>
      <c r="B226" s="1290"/>
      <c r="C226" s="1290"/>
      <c r="D226" s="1290"/>
    </row>
    <row r="227" spans="1:4" ht="12.75" customHeight="1" x14ac:dyDescent="0.35">
      <c r="A227" s="1290"/>
      <c r="B227" s="1290"/>
      <c r="C227" s="1290"/>
      <c r="D227" s="1290"/>
    </row>
    <row r="228" spans="1:4" ht="12.75" customHeight="1" x14ac:dyDescent="0.35">
      <c r="A228" s="1290"/>
      <c r="B228" s="1290"/>
      <c r="C228" s="1290"/>
      <c r="D228" s="1290"/>
    </row>
    <row r="229" spans="1:4" ht="12.75" customHeight="1" x14ac:dyDescent="0.35">
      <c r="A229" s="1290"/>
      <c r="B229" s="1290"/>
      <c r="C229" s="1290"/>
      <c r="D229" s="1290"/>
    </row>
    <row r="230" spans="1:4" ht="12.75" customHeight="1" x14ac:dyDescent="0.35">
      <c r="A230" s="1290"/>
      <c r="B230" s="1290" t="s">
        <v>3658</v>
      </c>
      <c r="C230" s="1290"/>
      <c r="D230" s="1290"/>
    </row>
    <row r="231" spans="1:4" ht="12.75" customHeight="1" x14ac:dyDescent="0.35">
      <c r="A231" s="1290"/>
      <c r="B231" s="1290"/>
      <c r="C231" s="1290" t="s">
        <v>3659</v>
      </c>
      <c r="D231" s="1290"/>
    </row>
    <row r="232" spans="1:4" ht="12.75" customHeight="1" x14ac:dyDescent="0.35">
      <c r="A232" s="1290"/>
      <c r="B232" s="1290"/>
      <c r="C232" s="1290"/>
      <c r="D232" s="1290"/>
    </row>
    <row r="233" spans="1:4" ht="12.75" customHeight="1" x14ac:dyDescent="0.35">
      <c r="A233" s="1290"/>
      <c r="B233" s="1290"/>
      <c r="C233" s="1290"/>
      <c r="D233" s="1290"/>
    </row>
    <row r="234" spans="1:4" ht="12.75" customHeight="1" x14ac:dyDescent="0.35">
      <c r="A234" s="1290"/>
      <c r="B234" s="1290" t="s">
        <v>3658</v>
      </c>
      <c r="C234" s="1290"/>
      <c r="D234" s="1290"/>
    </row>
    <row r="235" spans="1:4" ht="12.75" customHeight="1" x14ac:dyDescent="0.35">
      <c r="A235" s="1290"/>
      <c r="B235" s="1290"/>
      <c r="C235" s="1290" t="s">
        <v>3660</v>
      </c>
      <c r="D235" s="1290"/>
    </row>
    <row r="236" spans="1:4" ht="12.75" customHeight="1" x14ac:dyDescent="0.35">
      <c r="A236" s="1290"/>
      <c r="B236" s="1290"/>
      <c r="C236" s="1290"/>
      <c r="D236" s="1290"/>
    </row>
    <row r="237" spans="1:4" ht="12.75" customHeight="1" x14ac:dyDescent="0.35">
      <c r="A237" s="1290"/>
      <c r="B237" s="1290"/>
      <c r="C237" s="1290"/>
      <c r="D237" s="1290"/>
    </row>
    <row r="238" spans="1:4" ht="12.75" customHeight="1" x14ac:dyDescent="0.35">
      <c r="A238" s="1290"/>
      <c r="B238" s="1290"/>
      <c r="C238" s="1290"/>
      <c r="D238" s="1290"/>
    </row>
    <row r="239" spans="1:4" ht="12.75" customHeight="1" x14ac:dyDescent="0.35">
      <c r="A239" s="1290"/>
      <c r="B239" s="1290"/>
      <c r="C239" s="1290"/>
      <c r="D239" s="1290"/>
    </row>
    <row r="240" spans="1:4" ht="12.75" customHeight="1" x14ac:dyDescent="0.35">
      <c r="A240" s="1290"/>
      <c r="B240" s="1290" t="s">
        <v>3658</v>
      </c>
      <c r="C240" s="1290"/>
      <c r="D240" s="1290"/>
    </row>
    <row r="241" spans="1:4" ht="12.75" customHeight="1" x14ac:dyDescent="0.35">
      <c r="A241" s="1290"/>
      <c r="B241" s="1290"/>
      <c r="C241" s="1290" t="s">
        <v>3659</v>
      </c>
      <c r="D241" s="1290"/>
    </row>
    <row r="242" spans="1:4" ht="12.75" customHeight="1" x14ac:dyDescent="0.35">
      <c r="A242" s="1290"/>
      <c r="B242" s="1290"/>
      <c r="C242" s="1290"/>
      <c r="D242" s="1290"/>
    </row>
    <row r="243" spans="1:4" ht="12.75" customHeight="1" x14ac:dyDescent="0.35">
      <c r="A243" s="1290"/>
      <c r="B243" s="1290"/>
      <c r="C243" s="1290"/>
      <c r="D243" s="1290"/>
    </row>
    <row r="244" spans="1:4" ht="12.75" customHeight="1" x14ac:dyDescent="0.35">
      <c r="A244" s="1290"/>
      <c r="B244" s="1290" t="s">
        <v>3658</v>
      </c>
      <c r="C244" s="1290"/>
      <c r="D244" s="1290"/>
    </row>
    <row r="245" spans="1:4" ht="12.75" customHeight="1" x14ac:dyDescent="0.35">
      <c r="A245" s="1290"/>
      <c r="B245" s="1290"/>
      <c r="C245" s="1290" t="s">
        <v>3660</v>
      </c>
      <c r="D245" s="1290"/>
    </row>
    <row r="246" spans="1:4" ht="12.75" customHeight="1" x14ac:dyDescent="0.35">
      <c r="A246" s="1290"/>
      <c r="B246" s="1290"/>
      <c r="C246" s="1290"/>
      <c r="D246" s="1290"/>
    </row>
    <row r="247" spans="1:4" ht="12.75" customHeight="1" x14ac:dyDescent="0.35">
      <c r="A247" s="1290"/>
      <c r="B247" s="1290"/>
      <c r="C247" s="1290"/>
      <c r="D247" s="1290"/>
    </row>
    <row r="248" spans="1:4" ht="12.75" customHeight="1" x14ac:dyDescent="0.35">
      <c r="A248" s="1290"/>
      <c r="B248" s="1290"/>
      <c r="C248" s="1290"/>
      <c r="D248" s="1290"/>
    </row>
    <row r="249" spans="1:4" ht="12.75" customHeight="1" x14ac:dyDescent="0.35">
      <c r="A249" s="1290"/>
      <c r="B249" s="1290"/>
      <c r="C249" s="1290"/>
      <c r="D249" s="1290"/>
    </row>
    <row r="250" spans="1:4" ht="12.75" customHeight="1" x14ac:dyDescent="0.35">
      <c r="A250" s="1290"/>
      <c r="B250" s="1290" t="s">
        <v>3658</v>
      </c>
      <c r="C250" s="1290"/>
      <c r="D250" s="1290"/>
    </row>
    <row r="251" spans="1:4" ht="12.75" customHeight="1" x14ac:dyDescent="0.35">
      <c r="A251" s="1290"/>
      <c r="B251" s="1290"/>
      <c r="C251" s="1290" t="s">
        <v>3659</v>
      </c>
      <c r="D251" s="1290"/>
    </row>
    <row r="252" spans="1:4" ht="12.75" customHeight="1" x14ac:dyDescent="0.35">
      <c r="A252" s="1290"/>
      <c r="B252" s="1290"/>
      <c r="C252" s="1290"/>
      <c r="D252" s="1290"/>
    </row>
    <row r="253" spans="1:4" ht="12.75" customHeight="1" x14ac:dyDescent="0.35">
      <c r="A253" s="1290"/>
      <c r="B253" s="1290"/>
      <c r="C253" s="1290"/>
      <c r="D253" s="1290"/>
    </row>
    <row r="254" spans="1:4" ht="12.75" customHeight="1" x14ac:dyDescent="0.35">
      <c r="A254" s="1290"/>
      <c r="B254" s="1290" t="s">
        <v>3658</v>
      </c>
      <c r="C254" s="1290"/>
      <c r="D254" s="1290"/>
    </row>
    <row r="255" spans="1:4" ht="12.75" customHeight="1" x14ac:dyDescent="0.35">
      <c r="A255" s="1290"/>
      <c r="B255" s="1290"/>
      <c r="C255" s="1290" t="s">
        <v>3660</v>
      </c>
      <c r="D255" s="1290"/>
    </row>
    <row r="256" spans="1:4" ht="12.75" customHeight="1" x14ac:dyDescent="0.35">
      <c r="A256" s="1290"/>
      <c r="B256" s="1290"/>
      <c r="C256" s="1290"/>
      <c r="D256" s="1290"/>
    </row>
    <row r="257" spans="1:4" ht="12.75" customHeight="1" x14ac:dyDescent="0.35">
      <c r="A257" s="1290"/>
      <c r="B257" s="1290"/>
      <c r="C257" s="1290"/>
      <c r="D257" s="1290"/>
    </row>
    <row r="258" spans="1:4" ht="12.75" customHeight="1" x14ac:dyDescent="0.35">
      <c r="A258" s="1290"/>
      <c r="B258" s="1290"/>
      <c r="C258" s="1290"/>
      <c r="D258" s="1290"/>
    </row>
    <row r="259" spans="1:4" ht="12.75" customHeight="1" x14ac:dyDescent="0.35">
      <c r="A259" s="1290"/>
      <c r="B259" s="1290"/>
      <c r="C259" s="1290"/>
      <c r="D259" s="1290"/>
    </row>
    <row r="260" spans="1:4" ht="12.75" customHeight="1" x14ac:dyDescent="0.35">
      <c r="A260" s="1290"/>
      <c r="B260" s="1290" t="s">
        <v>3658</v>
      </c>
      <c r="C260" s="1290"/>
      <c r="D260" s="1290"/>
    </row>
    <row r="261" spans="1:4" ht="12.75" customHeight="1" x14ac:dyDescent="0.35">
      <c r="A261" s="1290"/>
      <c r="B261" s="1290"/>
      <c r="C261" s="1290" t="s">
        <v>3659</v>
      </c>
      <c r="D261" s="1290"/>
    </row>
    <row r="262" spans="1:4" ht="12.75" customHeight="1" x14ac:dyDescent="0.35">
      <c r="A262" s="1290"/>
      <c r="B262" s="1290"/>
      <c r="C262" s="1290"/>
      <c r="D262" s="1290"/>
    </row>
    <row r="263" spans="1:4" ht="12.75" customHeight="1" x14ac:dyDescent="0.35">
      <c r="A263" s="1290"/>
      <c r="B263" s="1290"/>
      <c r="C263" s="1290"/>
      <c r="D263" s="1290"/>
    </row>
    <row r="264" spans="1:4" ht="12.75" customHeight="1" x14ac:dyDescent="0.35">
      <c r="A264" s="1290"/>
      <c r="B264" s="1290" t="s">
        <v>3658</v>
      </c>
      <c r="C264" s="1290"/>
      <c r="D264" s="1290"/>
    </row>
    <row r="265" spans="1:4" ht="12.75" customHeight="1" x14ac:dyDescent="0.35">
      <c r="A265" s="1290"/>
      <c r="B265" s="1290"/>
      <c r="C265" s="1290" t="s">
        <v>3660</v>
      </c>
      <c r="D265" s="1290"/>
    </row>
    <row r="266" spans="1:4" ht="12.75" customHeight="1" x14ac:dyDescent="0.35">
      <c r="A266" s="1290"/>
      <c r="B266" s="1290"/>
      <c r="C266" s="1290"/>
      <c r="D266" s="1290"/>
    </row>
    <row r="267" spans="1:4" ht="12.75" customHeight="1" x14ac:dyDescent="0.35">
      <c r="A267" s="1290"/>
      <c r="B267" s="1290"/>
      <c r="C267" s="1290"/>
      <c r="D267" s="1290"/>
    </row>
    <row r="268" spans="1:4" ht="12.75" customHeight="1" x14ac:dyDescent="0.35">
      <c r="A268" s="1290"/>
      <c r="B268" s="1290"/>
      <c r="C268" s="1290"/>
      <c r="D268" s="1290"/>
    </row>
    <row r="269" spans="1:4" ht="12.75" customHeight="1" x14ac:dyDescent="0.35">
      <c r="A269" s="1290"/>
      <c r="B269" s="1290"/>
      <c r="C269" s="1290"/>
      <c r="D269" s="1290"/>
    </row>
    <row r="270" spans="1:4" ht="12.75" customHeight="1" x14ac:dyDescent="0.35">
      <c r="A270" s="1290"/>
      <c r="B270" s="1290" t="s">
        <v>3658</v>
      </c>
      <c r="C270" s="1290"/>
      <c r="D270" s="1290"/>
    </row>
    <row r="271" spans="1:4" ht="12.75" customHeight="1" x14ac:dyDescent="0.35">
      <c r="A271" s="1290"/>
      <c r="B271" s="1290"/>
      <c r="C271" s="1290" t="s">
        <v>3659</v>
      </c>
      <c r="D271" s="1290"/>
    </row>
    <row r="272" spans="1:4" ht="12.75" customHeight="1" x14ac:dyDescent="0.35">
      <c r="A272" s="1290"/>
      <c r="B272" s="1290"/>
      <c r="C272" s="1290"/>
      <c r="D272" s="1290"/>
    </row>
    <row r="273" spans="1:4" ht="12.75" customHeight="1" x14ac:dyDescent="0.35">
      <c r="A273" s="1290"/>
      <c r="B273" s="1290"/>
      <c r="C273" s="1290"/>
      <c r="D273" s="1290"/>
    </row>
    <row r="274" spans="1:4" ht="12.75" customHeight="1" x14ac:dyDescent="0.35">
      <c r="A274" s="1290"/>
      <c r="B274" s="1290" t="s">
        <v>3658</v>
      </c>
      <c r="C274" s="1290"/>
      <c r="D274" s="1290"/>
    </row>
    <row r="275" spans="1:4" ht="12.75" customHeight="1" x14ac:dyDescent="0.35">
      <c r="A275" s="1290"/>
      <c r="B275" s="1290"/>
      <c r="C275" s="1290" t="s">
        <v>3660</v>
      </c>
      <c r="D275" s="1290"/>
    </row>
    <row r="276" spans="1:4" ht="12.75" customHeight="1" x14ac:dyDescent="0.35">
      <c r="A276" s="1290"/>
      <c r="B276" s="1290"/>
      <c r="C276" s="1290"/>
      <c r="D276" s="1290"/>
    </row>
    <row r="277" spans="1:4" ht="12.75" customHeight="1" x14ac:dyDescent="0.35">
      <c r="A277" s="1290"/>
      <c r="B277" s="1290"/>
      <c r="C277" s="1290"/>
      <c r="D277" s="1290"/>
    </row>
    <row r="278" spans="1:4" ht="12.75" customHeight="1" x14ac:dyDescent="0.35">
      <c r="A278" s="1290"/>
      <c r="B278" s="1290"/>
      <c r="C278" s="1290"/>
      <c r="D278" s="1290"/>
    </row>
    <row r="279" spans="1:4" ht="12.75" customHeight="1" x14ac:dyDescent="0.35">
      <c r="A279" s="1290"/>
      <c r="B279" s="1290"/>
      <c r="C279" s="1290"/>
      <c r="D279" s="1290"/>
    </row>
    <row r="280" spans="1:4" ht="12.75" customHeight="1" x14ac:dyDescent="0.35">
      <c r="A280" s="1290"/>
      <c r="B280" s="1290" t="s">
        <v>3658</v>
      </c>
      <c r="C280" s="1290"/>
      <c r="D280" s="1290"/>
    </row>
    <row r="281" spans="1:4" ht="12.75" customHeight="1" x14ac:dyDescent="0.35">
      <c r="A281" s="1290"/>
      <c r="B281" s="1290"/>
      <c r="C281" s="1290" t="s">
        <v>3659</v>
      </c>
      <c r="D281" s="1290"/>
    </row>
    <row r="282" spans="1:4" ht="12.75" customHeight="1" x14ac:dyDescent="0.35">
      <c r="A282" s="1290"/>
      <c r="B282" s="1290"/>
      <c r="C282" s="1290"/>
      <c r="D282" s="1290"/>
    </row>
    <row r="283" spans="1:4" ht="12.75" customHeight="1" x14ac:dyDescent="0.35">
      <c r="A283" s="1290"/>
      <c r="B283" s="1290"/>
      <c r="C283" s="1290"/>
      <c r="D283" s="1290"/>
    </row>
    <row r="284" spans="1:4" ht="12.75" customHeight="1" x14ac:dyDescent="0.35">
      <c r="A284" s="1290"/>
      <c r="B284" s="1290" t="s">
        <v>3658</v>
      </c>
      <c r="C284" s="1290"/>
      <c r="D284" s="1290"/>
    </row>
    <row r="285" spans="1:4" ht="12.75" customHeight="1" x14ac:dyDescent="0.35">
      <c r="A285" s="1290"/>
      <c r="B285" s="1290"/>
      <c r="C285" s="1290" t="s">
        <v>3660</v>
      </c>
      <c r="D285" s="1290"/>
    </row>
    <row r="286" spans="1:4" ht="12.75" customHeight="1" x14ac:dyDescent="0.35">
      <c r="A286" s="1290"/>
      <c r="B286" s="1290"/>
      <c r="C286" s="1290"/>
      <c r="D286" s="1290"/>
    </row>
    <row r="287" spans="1:4" ht="12.75" customHeight="1" x14ac:dyDescent="0.35">
      <c r="A287" s="1290"/>
      <c r="B287" s="1290"/>
      <c r="C287" s="1290"/>
      <c r="D287" s="1290"/>
    </row>
    <row r="288" spans="1:4" ht="12.75" customHeight="1" x14ac:dyDescent="0.35">
      <c r="A288" s="1290"/>
      <c r="B288" s="1290"/>
      <c r="C288" s="1290"/>
      <c r="D288" s="1290"/>
    </row>
    <row r="289" spans="1:4" ht="12.75" customHeight="1" x14ac:dyDescent="0.35">
      <c r="A289" s="1290"/>
      <c r="B289" s="1290"/>
      <c r="C289" s="1290"/>
      <c r="D289" s="1290"/>
    </row>
    <row r="290" spans="1:4" ht="12.75" customHeight="1" x14ac:dyDescent="0.35">
      <c r="A290" s="1290"/>
      <c r="B290" s="1290" t="s">
        <v>3658</v>
      </c>
      <c r="C290" s="1290"/>
      <c r="D290" s="1290"/>
    </row>
    <row r="291" spans="1:4" ht="12.75" customHeight="1" x14ac:dyDescent="0.35">
      <c r="A291" s="1290"/>
      <c r="B291" s="1290"/>
      <c r="C291" s="1290" t="s">
        <v>3659</v>
      </c>
      <c r="D291" s="1290"/>
    </row>
    <row r="292" spans="1:4" ht="12.75" customHeight="1" x14ac:dyDescent="0.35">
      <c r="A292" s="1290"/>
      <c r="B292" s="1290"/>
      <c r="C292" s="1290"/>
      <c r="D292" s="1290"/>
    </row>
    <row r="293" spans="1:4" ht="12.75" customHeight="1" x14ac:dyDescent="0.35">
      <c r="A293" s="1290"/>
      <c r="B293" s="1290"/>
      <c r="C293" s="1290"/>
      <c r="D293" s="1290"/>
    </row>
    <row r="294" spans="1:4" ht="12.75" customHeight="1" x14ac:dyDescent="0.35">
      <c r="A294" s="1290"/>
      <c r="B294" s="1290" t="s">
        <v>3658</v>
      </c>
      <c r="C294" s="1290"/>
      <c r="D294" s="1290"/>
    </row>
    <row r="295" spans="1:4" ht="12.75" customHeight="1" x14ac:dyDescent="0.35">
      <c r="A295" s="1290"/>
      <c r="B295" s="1290"/>
      <c r="C295" s="1290" t="s">
        <v>3660</v>
      </c>
      <c r="D295" s="1290"/>
    </row>
    <row r="296" spans="1:4" ht="12.75" customHeight="1" x14ac:dyDescent="0.35">
      <c r="A296" s="1290"/>
      <c r="B296" s="1290"/>
      <c r="C296" s="1290"/>
      <c r="D296" s="1290"/>
    </row>
    <row r="297" spans="1:4" ht="12.75" customHeight="1" x14ac:dyDescent="0.35">
      <c r="A297" s="1290"/>
      <c r="B297" s="1290"/>
      <c r="C297" s="1290"/>
      <c r="D297" s="1290"/>
    </row>
    <row r="298" spans="1:4" ht="12.75" customHeight="1" x14ac:dyDescent="0.35">
      <c r="A298" s="1290"/>
      <c r="B298" s="1290"/>
      <c r="C298" s="1290"/>
      <c r="D298" s="1290"/>
    </row>
    <row r="299" spans="1:4" ht="12.75" customHeight="1" x14ac:dyDescent="0.35">
      <c r="A299" s="1290"/>
      <c r="B299" s="1290"/>
      <c r="C299" s="1290"/>
      <c r="D299" s="1290"/>
    </row>
    <row r="300" spans="1:4" ht="12.75" customHeight="1" x14ac:dyDescent="0.35">
      <c r="A300" s="1290"/>
      <c r="B300" s="1290" t="s">
        <v>3658</v>
      </c>
      <c r="C300" s="1290"/>
      <c r="D300" s="1290"/>
    </row>
    <row r="301" spans="1:4" ht="12.75" customHeight="1" x14ac:dyDescent="0.35">
      <c r="A301" s="1290"/>
      <c r="B301" s="1290"/>
      <c r="C301" s="1290" t="s">
        <v>3659</v>
      </c>
      <c r="D301" s="1290"/>
    </row>
    <row r="302" spans="1:4" ht="12.75" customHeight="1" x14ac:dyDescent="0.35">
      <c r="A302" s="1290"/>
      <c r="B302" s="1290"/>
      <c r="C302" s="1290"/>
      <c r="D302" s="1290"/>
    </row>
    <row r="303" spans="1:4" ht="12.75" customHeight="1" x14ac:dyDescent="0.35">
      <c r="A303" s="1290"/>
      <c r="B303" s="1290"/>
      <c r="C303" s="1290"/>
      <c r="D303" s="1290"/>
    </row>
    <row r="304" spans="1:4" ht="12.75" customHeight="1" x14ac:dyDescent="0.35">
      <c r="A304" s="1290"/>
      <c r="B304" s="1290" t="s">
        <v>3658</v>
      </c>
      <c r="C304" s="1290"/>
      <c r="D304" s="1290"/>
    </row>
    <row r="305" spans="1:4" ht="12.75" customHeight="1" x14ac:dyDescent="0.35">
      <c r="A305" s="1290"/>
      <c r="B305" s="1290"/>
      <c r="C305" s="1290" t="s">
        <v>3660</v>
      </c>
      <c r="D305" s="1290"/>
    </row>
    <row r="306" spans="1:4" ht="12.75" customHeight="1" x14ac:dyDescent="0.35">
      <c r="A306" s="1290"/>
      <c r="B306" s="1290"/>
      <c r="C306" s="1290"/>
      <c r="D306" s="1290"/>
    </row>
    <row r="307" spans="1:4" ht="12.75" customHeight="1" x14ac:dyDescent="0.35">
      <c r="A307" s="1290"/>
      <c r="B307" s="1290"/>
      <c r="C307" s="1290"/>
      <c r="D307" s="1290"/>
    </row>
    <row r="308" spans="1:4" ht="12.75" customHeight="1" x14ac:dyDescent="0.35">
      <c r="A308" s="1290"/>
      <c r="B308" s="1290"/>
      <c r="C308" s="1290"/>
      <c r="D308" s="1290"/>
    </row>
    <row r="309" spans="1:4" ht="12.75" customHeight="1" x14ac:dyDescent="0.35">
      <c r="A309" s="1290"/>
      <c r="B309" s="1290"/>
      <c r="C309" s="1290"/>
      <c r="D309" s="1290"/>
    </row>
    <row r="310" spans="1:4" ht="12.75" customHeight="1" x14ac:dyDescent="0.35">
      <c r="A310" s="1290"/>
      <c r="B310" s="1290" t="s">
        <v>3658</v>
      </c>
      <c r="C310" s="1290"/>
      <c r="D310" s="1290"/>
    </row>
    <row r="311" spans="1:4" ht="12.75" customHeight="1" x14ac:dyDescent="0.35">
      <c r="A311" s="1290"/>
      <c r="B311" s="1290"/>
      <c r="C311" s="1290" t="s">
        <v>3659</v>
      </c>
      <c r="D311" s="1290"/>
    </row>
    <row r="312" spans="1:4" ht="12.75" customHeight="1" x14ac:dyDescent="0.35">
      <c r="A312" s="1290"/>
      <c r="B312" s="1290"/>
      <c r="C312" s="1290"/>
      <c r="D312" s="1290"/>
    </row>
    <row r="313" spans="1:4" ht="12.75" customHeight="1" x14ac:dyDescent="0.35">
      <c r="A313" s="1290"/>
      <c r="B313" s="1290"/>
      <c r="C313" s="1290"/>
      <c r="D313" s="1290"/>
    </row>
    <row r="314" spans="1:4" ht="12.75" customHeight="1" x14ac:dyDescent="0.35">
      <c r="A314" s="1290"/>
      <c r="B314" s="1290" t="s">
        <v>3658</v>
      </c>
      <c r="C314" s="1290"/>
      <c r="D314" s="1290"/>
    </row>
    <row r="315" spans="1:4" ht="12.75" customHeight="1" x14ac:dyDescent="0.35">
      <c r="A315" s="1290"/>
      <c r="B315" s="1290"/>
      <c r="C315" s="1290" t="s">
        <v>3660</v>
      </c>
      <c r="D315" s="1290"/>
    </row>
    <row r="316" spans="1:4" ht="12.75" customHeight="1" x14ac:dyDescent="0.35">
      <c r="A316" s="1290"/>
      <c r="B316" s="1290"/>
      <c r="C316" s="1290"/>
      <c r="D316" s="1290"/>
    </row>
    <row r="317" spans="1:4" ht="12.75" customHeight="1" x14ac:dyDescent="0.35">
      <c r="A317" s="1290"/>
      <c r="B317" s="1290"/>
      <c r="C317" s="1290"/>
      <c r="D317" s="1290"/>
    </row>
    <row r="318" spans="1:4" ht="12.75" customHeight="1" x14ac:dyDescent="0.35">
      <c r="A318" s="1290"/>
      <c r="B318" s="1290" t="s">
        <v>3661</v>
      </c>
      <c r="C318" s="1290"/>
      <c r="D318" s="1290"/>
    </row>
    <row r="319" spans="1:4" ht="12.75" customHeight="1" x14ac:dyDescent="0.35">
      <c r="A319" s="1290"/>
      <c r="B319" s="1290" t="s">
        <v>3662</v>
      </c>
      <c r="C319" s="1290"/>
      <c r="D319" s="1290"/>
    </row>
    <row r="320" spans="1:4" ht="12.75" customHeight="1" x14ac:dyDescent="0.35">
      <c r="A320" s="1290"/>
      <c r="B320" s="1290" t="s">
        <v>2284</v>
      </c>
      <c r="C320" s="1290"/>
      <c r="D320" s="1290"/>
    </row>
    <row r="321" spans="1:4" ht="12.75" customHeight="1" x14ac:dyDescent="0.35">
      <c r="A321" s="1290"/>
      <c r="B321" s="1290" t="s">
        <v>3663</v>
      </c>
      <c r="C321" s="1290"/>
      <c r="D321" s="1290"/>
    </row>
    <row r="322" spans="1:4" ht="12.75" customHeight="1" x14ac:dyDescent="0.35">
      <c r="A322" s="1290"/>
      <c r="B322" s="1290" t="s">
        <v>3659</v>
      </c>
      <c r="C322" s="1290"/>
      <c r="D322" s="1290"/>
    </row>
    <row r="323" spans="1:4" ht="12.75" customHeight="1" x14ac:dyDescent="0.35">
      <c r="A323" s="1290"/>
      <c r="B323" s="1290" t="s">
        <v>3664</v>
      </c>
      <c r="C323" s="1290"/>
      <c r="D323" s="1290"/>
    </row>
    <row r="324" spans="1:4" ht="12.75" customHeight="1" x14ac:dyDescent="0.35">
      <c r="A324" s="1290"/>
      <c r="B324" s="1290" t="s">
        <v>3665</v>
      </c>
      <c r="C324" s="1290"/>
      <c r="D324" s="1290"/>
    </row>
    <row r="325" spans="1:4" ht="12.75" customHeight="1" x14ac:dyDescent="0.35">
      <c r="A325" s="1290"/>
      <c r="B325" s="1290" t="s">
        <v>3656</v>
      </c>
      <c r="C325" s="1290"/>
      <c r="D325" s="1290"/>
    </row>
    <row r="326" spans="1:4" ht="12.75" customHeight="1" x14ac:dyDescent="0.35">
      <c r="A326" s="1290"/>
      <c r="B326" s="1290" t="s">
        <v>3663</v>
      </c>
      <c r="C326" s="1290"/>
      <c r="D326" s="1290"/>
    </row>
    <row r="327" spans="1:4" ht="12.75" customHeight="1" x14ac:dyDescent="0.35">
      <c r="A327" s="1290"/>
      <c r="B327" s="1290" t="s">
        <v>3660</v>
      </c>
      <c r="C327" s="1290"/>
      <c r="D327" s="1290"/>
    </row>
    <row r="328" spans="1:4" ht="12.75" customHeight="1" x14ac:dyDescent="0.35">
      <c r="A328" s="1290"/>
      <c r="B328" s="1290"/>
      <c r="C328" s="1290"/>
      <c r="D328" s="1290"/>
    </row>
    <row r="329" spans="1:4" ht="12.75" customHeight="1" x14ac:dyDescent="0.35">
      <c r="A329" s="1290"/>
      <c r="B329" s="1290" t="s">
        <v>3666</v>
      </c>
      <c r="C329" s="1290"/>
      <c r="D329" s="1290"/>
    </row>
    <row r="330" spans="1:4" ht="12.75" customHeight="1" x14ac:dyDescent="0.35">
      <c r="A330" s="1290"/>
      <c r="B330" s="1290" t="s">
        <v>3667</v>
      </c>
      <c r="C330" s="1290"/>
      <c r="D330" s="1290"/>
    </row>
    <row r="331" spans="1:4" ht="12.75" customHeight="1" x14ac:dyDescent="0.35">
      <c r="A331" s="1290"/>
      <c r="B331" s="1290" t="s">
        <v>3668</v>
      </c>
      <c r="C331" s="1290"/>
      <c r="D331" s="1290"/>
    </row>
    <row r="332" spans="1:4" ht="12.75" customHeight="1" x14ac:dyDescent="0.35">
      <c r="A332" s="1290"/>
      <c r="B332" s="1290" t="s">
        <v>3669</v>
      </c>
      <c r="C332" s="1290"/>
      <c r="D332" s="1290"/>
    </row>
    <row r="333" spans="1:4" ht="12.75" customHeight="1" x14ac:dyDescent="0.35">
      <c r="A333" s="1290"/>
      <c r="B333" s="1290" t="s">
        <v>3670</v>
      </c>
      <c r="C333" s="1290"/>
      <c r="D333" s="1290"/>
    </row>
    <row r="334" spans="1:4" ht="12.75" customHeight="1" x14ac:dyDescent="0.35">
      <c r="A334" s="1290"/>
      <c r="B334" s="1290"/>
      <c r="C334" s="1290"/>
      <c r="D334" s="1290"/>
    </row>
    <row r="335" spans="1:4" ht="12.75" customHeight="1" x14ac:dyDescent="0.35">
      <c r="A335" s="1290"/>
      <c r="B335" s="1290" t="s">
        <v>3671</v>
      </c>
      <c r="C335" s="1290"/>
      <c r="D335" s="1290" t="s">
        <v>3672</v>
      </c>
    </row>
    <row r="336" spans="1:4" ht="12.75" customHeight="1" x14ac:dyDescent="0.35">
      <c r="A336" s="1290"/>
      <c r="B336" s="1290" t="s">
        <v>3673</v>
      </c>
      <c r="C336" s="1290"/>
      <c r="D336" s="1290"/>
    </row>
    <row r="337" spans="1:4" ht="12.75" customHeight="1" x14ac:dyDescent="0.35">
      <c r="A337" s="1290"/>
      <c r="B337" s="1290" t="s">
        <v>3674</v>
      </c>
      <c r="C337" s="1290"/>
      <c r="D337" s="1290"/>
    </row>
    <row r="338" spans="1:4" ht="12.75" customHeight="1" x14ac:dyDescent="0.35">
      <c r="A338" s="1290"/>
      <c r="B338" s="1290" t="s">
        <v>3675</v>
      </c>
      <c r="C338" s="1290"/>
      <c r="D338" s="1290"/>
    </row>
    <row r="339" spans="1:4" ht="12.75" customHeight="1" x14ac:dyDescent="0.35">
      <c r="A339" s="1290"/>
      <c r="B339" s="1290" t="s">
        <v>3676</v>
      </c>
      <c r="C339" s="1290"/>
      <c r="D339" s="1290"/>
    </row>
    <row r="340" spans="1:4" ht="12.75" customHeight="1" x14ac:dyDescent="0.35">
      <c r="A340" s="1290"/>
      <c r="B340" s="1290" t="s">
        <v>3677</v>
      </c>
      <c r="C340" s="1290"/>
      <c r="D340" s="1290"/>
    </row>
    <row r="341" spans="1:4" ht="12.75" customHeight="1" x14ac:dyDescent="0.35">
      <c r="A341" s="1290"/>
      <c r="B341" s="1290" t="s">
        <v>3678</v>
      </c>
      <c r="C341" s="1290"/>
      <c r="D341" s="1290"/>
    </row>
    <row r="342" spans="1:4" ht="12.75" customHeight="1" x14ac:dyDescent="0.35">
      <c r="A342" s="1290"/>
      <c r="B342" s="1290" t="s">
        <v>3679</v>
      </c>
      <c r="C342" s="1290"/>
      <c r="D342" s="1290"/>
    </row>
    <row r="343" spans="1:4" ht="12.75" customHeight="1" x14ac:dyDescent="0.35">
      <c r="A343" s="1290"/>
      <c r="B343" s="1290" t="s">
        <v>3680</v>
      </c>
      <c r="C343" s="1290"/>
      <c r="D343" s="1290"/>
    </row>
    <row r="344" spans="1:4" ht="12.75" customHeight="1" x14ac:dyDescent="0.35">
      <c r="A344" s="1290"/>
      <c r="B344" s="1290" t="s">
        <v>3681</v>
      </c>
      <c r="C344" s="1290"/>
      <c r="D344" s="1290"/>
    </row>
    <row r="345" spans="1:4" ht="12.75" customHeight="1" x14ac:dyDescent="0.35">
      <c r="A345" s="1290"/>
      <c r="B345" s="1290" t="s">
        <v>3682</v>
      </c>
      <c r="C345" s="1290"/>
      <c r="D345" s="1290"/>
    </row>
    <row r="346" spans="1:4" ht="12.75" customHeight="1" x14ac:dyDescent="0.35">
      <c r="A346" s="1290"/>
      <c r="B346" s="1290" t="s">
        <v>3683</v>
      </c>
      <c r="C346" s="1290"/>
      <c r="D346" s="1290"/>
    </row>
    <row r="347" spans="1:4" ht="12.75" customHeight="1" x14ac:dyDescent="0.35">
      <c r="A347" s="1290"/>
      <c r="B347" s="1290"/>
      <c r="C347" s="1290" t="s">
        <v>3684</v>
      </c>
      <c r="D347" s="1290"/>
    </row>
    <row r="348" spans="1:4" ht="12.75" customHeight="1" x14ac:dyDescent="0.35">
      <c r="A348" s="1290"/>
      <c r="B348" s="1290"/>
      <c r="C348" s="1290"/>
      <c r="D348" s="1290"/>
    </row>
    <row r="349" spans="1:4" ht="12.75" customHeight="1" x14ac:dyDescent="0.35">
      <c r="A349" s="1290"/>
      <c r="B349" s="1290"/>
      <c r="C349" s="1290" t="s">
        <v>3685</v>
      </c>
      <c r="D349" s="1290"/>
    </row>
    <row r="350" spans="1:4" ht="12.75" customHeight="1" x14ac:dyDescent="0.35">
      <c r="A350" s="1290"/>
      <c r="B350" s="1290"/>
      <c r="C350" s="1290" t="s">
        <v>2284</v>
      </c>
      <c r="D350" s="1290"/>
    </row>
    <row r="351" spans="1:4" ht="12.75" customHeight="1" x14ac:dyDescent="0.35">
      <c r="A351" s="1290"/>
      <c r="B351" s="1290"/>
      <c r="C351" s="1290" t="s">
        <v>3686</v>
      </c>
      <c r="D351" s="1290"/>
    </row>
    <row r="352" spans="1:4" ht="12.75" customHeight="1" x14ac:dyDescent="0.35">
      <c r="A352" s="1290"/>
      <c r="B352" s="1290"/>
      <c r="C352" s="1290"/>
      <c r="D352" s="1290"/>
    </row>
    <row r="353" spans="1:4" ht="12.75" customHeight="1" x14ac:dyDescent="0.35">
      <c r="A353" s="1290"/>
      <c r="B353" s="1290"/>
      <c r="C353" s="1290"/>
      <c r="D353" s="1290"/>
    </row>
    <row r="354" spans="1:4" ht="12.75" customHeight="1" x14ac:dyDescent="0.35">
      <c r="A354" s="1290"/>
      <c r="B354" s="1290"/>
      <c r="C354" s="1290"/>
      <c r="D354" s="1290"/>
    </row>
    <row r="355" spans="1:4" ht="12.75" customHeight="1" x14ac:dyDescent="0.35">
      <c r="A355" s="1290"/>
      <c r="B355" s="1290"/>
      <c r="C355" s="1290"/>
      <c r="D355" s="1290"/>
    </row>
    <row r="356" spans="1:4" ht="12.75" customHeight="1" x14ac:dyDescent="0.35">
      <c r="A356" s="1290"/>
      <c r="B356" s="1290"/>
      <c r="C356" s="1290"/>
      <c r="D356" s="1290"/>
    </row>
    <row r="357" spans="1:4" ht="12.75" customHeight="1" x14ac:dyDescent="0.35">
      <c r="A357" s="1290"/>
      <c r="B357" s="1290"/>
      <c r="C357" s="1290"/>
      <c r="D357" s="1290"/>
    </row>
    <row r="358" spans="1:4" ht="12.75" customHeight="1" x14ac:dyDescent="0.35">
      <c r="A358" s="1290"/>
      <c r="B358" s="1290"/>
      <c r="C358" s="1290"/>
      <c r="D358" s="1290"/>
    </row>
    <row r="359" spans="1:4" ht="12.75" customHeight="1" x14ac:dyDescent="0.35">
      <c r="A359" s="1290"/>
      <c r="B359" s="1290"/>
      <c r="C359" s="1290"/>
      <c r="D359" s="1290"/>
    </row>
    <row r="360" spans="1:4" ht="12.75" customHeight="1" x14ac:dyDescent="0.35">
      <c r="A360" s="1290"/>
      <c r="B360" s="1290"/>
      <c r="C360" s="1290"/>
      <c r="D360" s="1290"/>
    </row>
    <row r="361" spans="1:4" ht="12.75" customHeight="1" x14ac:dyDescent="0.35">
      <c r="A361" s="1290"/>
      <c r="B361" s="1290"/>
      <c r="C361" s="1290"/>
      <c r="D361" s="1290"/>
    </row>
    <row r="362" spans="1:4" ht="12.75" customHeight="1" x14ac:dyDescent="0.35">
      <c r="A362" s="1290"/>
      <c r="B362" s="1290"/>
      <c r="C362" s="1290"/>
      <c r="D362" s="1290"/>
    </row>
    <row r="363" spans="1:4" ht="12.75" customHeight="1" x14ac:dyDescent="0.35">
      <c r="A363" s="1290"/>
      <c r="B363" s="1290"/>
      <c r="C363" s="1290"/>
      <c r="D363" s="1290"/>
    </row>
    <row r="364" spans="1:4" ht="12.75" customHeight="1" x14ac:dyDescent="0.35">
      <c r="A364" s="1290"/>
      <c r="B364" s="1290"/>
      <c r="C364" s="1290"/>
      <c r="D364" s="1290"/>
    </row>
    <row r="365" spans="1:4" ht="12.75" customHeight="1" x14ac:dyDescent="0.35">
      <c r="A365" s="1290"/>
      <c r="B365" s="1290"/>
      <c r="C365" s="1290"/>
      <c r="D365" s="1290"/>
    </row>
    <row r="366" spans="1:4" ht="12.75" customHeight="1" x14ac:dyDescent="0.35">
      <c r="A366" s="1290"/>
      <c r="B366" s="1290"/>
      <c r="C366" s="1290"/>
      <c r="D366" s="1290"/>
    </row>
    <row r="367" spans="1:4" ht="12.75" customHeight="1" x14ac:dyDescent="0.35">
      <c r="A367" s="1290"/>
      <c r="B367" s="1290"/>
      <c r="C367" s="1290"/>
      <c r="D367" s="1290"/>
    </row>
    <row r="368" spans="1:4" ht="12.75" customHeight="1" x14ac:dyDescent="0.35">
      <c r="A368" s="1290"/>
      <c r="B368" s="1290"/>
      <c r="C368" s="1290"/>
      <c r="D368" s="1290"/>
    </row>
    <row r="369" spans="1:4" ht="12.75" customHeight="1" x14ac:dyDescent="0.35">
      <c r="A369" s="1290"/>
      <c r="B369" s="1290"/>
      <c r="C369" s="1290"/>
      <c r="D369" s="1290"/>
    </row>
    <row r="370" spans="1:4" ht="12.75" customHeight="1" x14ac:dyDescent="0.35">
      <c r="A370" s="1290"/>
      <c r="B370" s="1290"/>
      <c r="C370" s="1290"/>
      <c r="D370" s="1290"/>
    </row>
    <row r="371" spans="1:4" ht="12.75" customHeight="1" x14ac:dyDescent="0.35">
      <c r="A371" s="1290"/>
      <c r="B371" s="1290"/>
      <c r="C371" s="1290"/>
      <c r="D371" s="1290"/>
    </row>
    <row r="372" spans="1:4" ht="12.75" customHeight="1" x14ac:dyDescent="0.35">
      <c r="A372" s="1290"/>
      <c r="B372" s="1290"/>
      <c r="C372" s="1290"/>
      <c r="D372" s="1290"/>
    </row>
    <row r="373" spans="1:4" ht="12.75" customHeight="1" x14ac:dyDescent="0.35">
      <c r="A373" s="1290"/>
      <c r="B373" s="1290"/>
      <c r="C373" s="1290"/>
      <c r="D373" s="1290"/>
    </row>
    <row r="374" spans="1:4" ht="12.75" customHeight="1" x14ac:dyDescent="0.35">
      <c r="A374" s="1290"/>
      <c r="B374" s="1290"/>
      <c r="C374" s="1290"/>
      <c r="D374" s="1290"/>
    </row>
    <row r="375" spans="1:4" ht="12.75" customHeight="1" x14ac:dyDescent="0.35">
      <c r="A375" s="1290"/>
      <c r="B375" s="1290"/>
      <c r="C375" s="1290"/>
      <c r="D375" s="1290"/>
    </row>
    <row r="376" spans="1:4" ht="12.75" customHeight="1" x14ac:dyDescent="0.35">
      <c r="A376" s="1290"/>
      <c r="B376" s="1290"/>
      <c r="C376" s="1290"/>
      <c r="D376" s="1290"/>
    </row>
    <row r="377" spans="1:4" ht="12.75" customHeight="1" x14ac:dyDescent="0.35">
      <c r="A377" s="1290"/>
      <c r="B377" s="1290"/>
      <c r="C377" s="1290"/>
      <c r="D377" s="1290"/>
    </row>
    <row r="378" spans="1:4" ht="12.75" customHeight="1" x14ac:dyDescent="0.35">
      <c r="A378" s="1290"/>
      <c r="B378" s="1290"/>
      <c r="C378" s="1290"/>
      <c r="D378" s="1290"/>
    </row>
    <row r="379" spans="1:4" ht="12.75" customHeight="1" x14ac:dyDescent="0.35">
      <c r="A379" s="1290"/>
      <c r="B379" s="1290"/>
      <c r="C379" s="1290"/>
      <c r="D379" s="1290"/>
    </row>
    <row r="380" spans="1:4" ht="12.75" customHeight="1" x14ac:dyDescent="0.35">
      <c r="A380" s="1290"/>
      <c r="B380" s="1290"/>
      <c r="C380" s="1290"/>
      <c r="D380" s="1290"/>
    </row>
    <row r="381" spans="1:4" ht="12.75" customHeight="1" x14ac:dyDescent="0.35">
      <c r="A381" s="1290"/>
      <c r="B381" s="1290"/>
      <c r="C381" s="1290"/>
      <c r="D381" s="1290"/>
    </row>
    <row r="382" spans="1:4" ht="12.75" customHeight="1" x14ac:dyDescent="0.35">
      <c r="A382" s="1290"/>
      <c r="B382" s="1290"/>
      <c r="C382" s="1290"/>
      <c r="D382" s="1290"/>
    </row>
    <row r="383" spans="1:4" ht="12.75" customHeight="1" x14ac:dyDescent="0.35">
      <c r="A383" s="1290"/>
      <c r="B383" s="1290"/>
      <c r="C383" s="1290"/>
      <c r="D383" s="1290"/>
    </row>
    <row r="384" spans="1:4" ht="12.75" customHeight="1" x14ac:dyDescent="0.35">
      <c r="A384" s="1290"/>
      <c r="B384" s="1290"/>
      <c r="C384" s="1290"/>
      <c r="D384" s="1290"/>
    </row>
    <row r="385" spans="1:4" ht="12.75" customHeight="1" x14ac:dyDescent="0.35">
      <c r="A385" s="1290"/>
      <c r="B385" s="1290"/>
      <c r="C385" s="1290" t="s">
        <v>3687</v>
      </c>
      <c r="D385" s="1290"/>
    </row>
    <row r="386" spans="1:4" ht="12.75" customHeight="1" x14ac:dyDescent="0.35">
      <c r="A386" s="1290"/>
      <c r="B386" s="1290"/>
      <c r="C386" s="1290"/>
      <c r="D386" s="1290"/>
    </row>
    <row r="387" spans="1:4" ht="12.75" customHeight="1" x14ac:dyDescent="0.35">
      <c r="A387" s="1290"/>
      <c r="B387" s="1290"/>
      <c r="C387" s="1290"/>
      <c r="D387" s="1290"/>
    </row>
    <row r="388" spans="1:4" ht="12.75" customHeight="1" x14ac:dyDescent="0.35">
      <c r="A388" s="1290"/>
      <c r="B388" s="1290"/>
      <c r="C388" s="1290"/>
      <c r="D388" s="1290"/>
    </row>
    <row r="389" spans="1:4" ht="12.75" customHeight="1" x14ac:dyDescent="0.35">
      <c r="A389" s="1290"/>
      <c r="B389" s="1290"/>
      <c r="C389" s="1290"/>
      <c r="D389" s="1290"/>
    </row>
    <row r="390" spans="1:4" ht="12.75" customHeight="1" x14ac:dyDescent="0.35">
      <c r="A390" s="1290"/>
      <c r="B390" s="1290"/>
      <c r="C390" s="1290"/>
      <c r="D390" s="1290"/>
    </row>
    <row r="391" spans="1:4" ht="12.75" customHeight="1" x14ac:dyDescent="0.35">
      <c r="A391" s="1290"/>
      <c r="B391" s="1290"/>
      <c r="C391" s="1290"/>
      <c r="D391" s="1290"/>
    </row>
    <row r="392" spans="1:4" ht="12.75" customHeight="1" x14ac:dyDescent="0.35">
      <c r="A392" s="1290"/>
      <c r="B392" s="1290"/>
      <c r="C392" s="1290"/>
      <c r="D392" s="1290"/>
    </row>
    <row r="393" spans="1:4" ht="12.75" customHeight="1" x14ac:dyDescent="0.35">
      <c r="A393" s="1290"/>
      <c r="B393" s="1290"/>
      <c r="C393" s="1290"/>
      <c r="D393" s="1290"/>
    </row>
    <row r="394" spans="1:4" ht="12.75" customHeight="1" x14ac:dyDescent="0.35">
      <c r="A394" s="1290"/>
      <c r="B394" s="1290"/>
      <c r="C394" s="1290"/>
      <c r="D394" s="1290"/>
    </row>
    <row r="395" spans="1:4" ht="12.75" customHeight="1" x14ac:dyDescent="0.35">
      <c r="A395" s="1290"/>
      <c r="B395" s="1290"/>
      <c r="C395" s="1290"/>
      <c r="D395" s="1290"/>
    </row>
    <row r="396" spans="1:4" ht="12.75" customHeight="1" x14ac:dyDescent="0.35">
      <c r="A396" s="1290"/>
      <c r="B396" s="1290"/>
      <c r="C396" s="1290"/>
      <c r="D396" s="1290"/>
    </row>
    <row r="397" spans="1:4" ht="12.75" customHeight="1" x14ac:dyDescent="0.35">
      <c r="A397" s="1290"/>
      <c r="B397" s="1290"/>
      <c r="C397" s="1290"/>
      <c r="D397" s="1290"/>
    </row>
    <row r="398" spans="1:4" ht="12.75" customHeight="1" x14ac:dyDescent="0.35">
      <c r="A398" s="1290"/>
      <c r="B398" s="1290"/>
      <c r="C398" s="1290"/>
      <c r="D398" s="1290"/>
    </row>
    <row r="399" spans="1:4" ht="12.75" customHeight="1" x14ac:dyDescent="0.35">
      <c r="A399" s="1290"/>
      <c r="B399" s="1290"/>
      <c r="C399" s="1290"/>
      <c r="D399" s="1290"/>
    </row>
    <row r="400" spans="1:4" ht="12.75" customHeight="1" x14ac:dyDescent="0.35">
      <c r="A400" s="1290"/>
      <c r="B400" s="1290"/>
      <c r="C400" s="1290"/>
      <c r="D400" s="1290"/>
    </row>
    <row r="401" spans="1:4" ht="12.75" customHeight="1" x14ac:dyDescent="0.35">
      <c r="A401" s="1290"/>
      <c r="B401" s="1290"/>
      <c r="C401" s="1290"/>
      <c r="D401" s="1290"/>
    </row>
    <row r="402" spans="1:4" ht="12.75" customHeight="1" x14ac:dyDescent="0.35">
      <c r="A402" s="1290"/>
      <c r="B402" s="1290"/>
      <c r="C402" s="1290"/>
      <c r="D402" s="1290"/>
    </row>
    <row r="403" spans="1:4" ht="12.75" customHeight="1" x14ac:dyDescent="0.35">
      <c r="A403" s="1290"/>
      <c r="B403" s="1290"/>
      <c r="C403" s="1290"/>
      <c r="D403" s="1290"/>
    </row>
    <row r="404" spans="1:4" ht="12.75" customHeight="1" x14ac:dyDescent="0.35">
      <c r="A404" s="1290"/>
      <c r="B404" s="1290"/>
      <c r="C404" s="1290"/>
      <c r="D404" s="1290"/>
    </row>
    <row r="405" spans="1:4" ht="12.75" customHeight="1" x14ac:dyDescent="0.35">
      <c r="A405" s="1290"/>
      <c r="B405" s="1290"/>
      <c r="C405" s="1290"/>
      <c r="D405" s="1290"/>
    </row>
    <row r="406" spans="1:4" ht="12.75" customHeight="1" x14ac:dyDescent="0.35">
      <c r="A406" s="1290"/>
      <c r="B406" s="1290"/>
      <c r="C406" s="1290"/>
      <c r="D406" s="1290"/>
    </row>
    <row r="407" spans="1:4" ht="12.75" customHeight="1" x14ac:dyDescent="0.35">
      <c r="A407" s="1290"/>
      <c r="B407" s="1290"/>
      <c r="C407" s="1290"/>
      <c r="D407" s="1290"/>
    </row>
    <row r="408" spans="1:4" ht="12.75" customHeight="1" x14ac:dyDescent="0.35">
      <c r="A408" s="1290"/>
      <c r="B408" s="1290"/>
      <c r="C408" s="1290"/>
      <c r="D408" s="1290"/>
    </row>
    <row r="409" spans="1:4" ht="12.75" customHeight="1" x14ac:dyDescent="0.35">
      <c r="A409" s="1290"/>
      <c r="B409" s="1290"/>
      <c r="C409" s="1290"/>
      <c r="D409" s="1290"/>
    </row>
    <row r="410" spans="1:4" ht="12.75" customHeight="1" x14ac:dyDescent="0.35">
      <c r="A410" s="1290"/>
      <c r="B410" s="1290"/>
      <c r="C410" s="1290"/>
      <c r="D410" s="1290"/>
    </row>
    <row r="411" spans="1:4" ht="12.75" customHeight="1" x14ac:dyDescent="0.35">
      <c r="A411" s="1290"/>
      <c r="B411" s="1290"/>
      <c r="C411" s="1290"/>
      <c r="D411" s="1290"/>
    </row>
    <row r="412" spans="1:4" ht="12.75" customHeight="1" x14ac:dyDescent="0.35">
      <c r="A412" s="1290"/>
      <c r="B412" s="1290"/>
      <c r="C412" s="1290"/>
      <c r="D412" s="1290"/>
    </row>
    <row r="413" spans="1:4" ht="12.75" customHeight="1" x14ac:dyDescent="0.35">
      <c r="A413" s="1290"/>
      <c r="B413" s="1290"/>
      <c r="C413" s="1290"/>
      <c r="D413" s="1290"/>
    </row>
    <row r="414" spans="1:4" ht="12.75" customHeight="1" x14ac:dyDescent="0.35">
      <c r="A414" s="1290"/>
      <c r="B414" s="1290"/>
      <c r="C414" s="1290"/>
      <c r="D414" s="1290"/>
    </row>
    <row r="415" spans="1:4" ht="12.75" customHeight="1" x14ac:dyDescent="0.35">
      <c r="A415" s="1290"/>
      <c r="B415" s="1290"/>
      <c r="C415" s="1290"/>
      <c r="D415" s="1290"/>
    </row>
    <row r="416" spans="1:4" ht="12.75" customHeight="1" x14ac:dyDescent="0.35">
      <c r="A416" s="1290"/>
      <c r="B416" s="1290"/>
      <c r="C416" s="1290"/>
      <c r="D416" s="1290"/>
    </row>
    <row r="417" spans="1:4" ht="12.75" customHeight="1" x14ac:dyDescent="0.35">
      <c r="A417" s="1290"/>
      <c r="B417" s="1290"/>
      <c r="C417" s="1290"/>
      <c r="D417" s="1290"/>
    </row>
    <row r="418" spans="1:4" ht="12.75" customHeight="1" x14ac:dyDescent="0.35">
      <c r="A418" s="1290"/>
      <c r="B418" s="1290"/>
      <c r="C418" s="1290"/>
      <c r="D418" s="1290"/>
    </row>
    <row r="419" spans="1:4" ht="12.75" customHeight="1" x14ac:dyDescent="0.35">
      <c r="A419" s="1290"/>
      <c r="B419" s="1290"/>
      <c r="C419" s="1290"/>
      <c r="D419" s="1290"/>
    </row>
    <row r="420" spans="1:4" ht="12.75" customHeight="1" x14ac:dyDescent="0.35">
      <c r="A420" s="1290"/>
      <c r="B420" s="1290"/>
      <c r="C420" s="1290"/>
      <c r="D420" s="1290"/>
    </row>
    <row r="421" spans="1:4" ht="12.75" customHeight="1" x14ac:dyDescent="0.35">
      <c r="A421" s="1290"/>
      <c r="B421" s="1290"/>
      <c r="C421" s="1290"/>
      <c r="D421" s="1290"/>
    </row>
    <row r="422" spans="1:4" ht="12.75" customHeight="1" x14ac:dyDescent="0.35">
      <c r="A422" s="1290"/>
      <c r="B422" s="1290"/>
      <c r="C422" s="1290" t="s">
        <v>3688</v>
      </c>
      <c r="D422" s="1290"/>
    </row>
    <row r="423" spans="1:4" ht="12.75" customHeight="1" x14ac:dyDescent="0.35">
      <c r="A423" s="1290"/>
      <c r="B423" s="1290" t="s">
        <v>3689</v>
      </c>
      <c r="C423" s="1290"/>
      <c r="D423" s="1290"/>
    </row>
    <row r="424" spans="1:4" ht="12.75" customHeight="1" x14ac:dyDescent="0.35">
      <c r="A424" s="1290"/>
      <c r="B424" s="1290" t="s">
        <v>3690</v>
      </c>
      <c r="C424" s="1290"/>
      <c r="D424" s="1290"/>
    </row>
    <row r="425" spans="1:4" ht="12.75" customHeight="1" x14ac:dyDescent="0.35">
      <c r="A425" s="1290"/>
      <c r="B425" s="1290" t="s">
        <v>2284</v>
      </c>
      <c r="C425" s="1290"/>
      <c r="D425" s="1290"/>
    </row>
    <row r="426" spans="1:4" ht="12.75" customHeight="1" x14ac:dyDescent="0.35">
      <c r="A426" s="1290"/>
      <c r="B426" s="1290" t="s">
        <v>3691</v>
      </c>
      <c r="C426" s="1290"/>
      <c r="D426" s="1290"/>
    </row>
    <row r="427" spans="1:4" ht="12.75" customHeight="1" x14ac:dyDescent="0.35">
      <c r="A427" s="1290"/>
      <c r="B427" s="1290" t="s">
        <v>3692</v>
      </c>
      <c r="C427" s="1290"/>
      <c r="D427" s="1290"/>
    </row>
    <row r="428" spans="1:4" ht="12.75" customHeight="1" x14ac:dyDescent="0.35">
      <c r="A428" s="1290"/>
      <c r="B428" s="1290" t="s">
        <v>3693</v>
      </c>
      <c r="C428" s="1290"/>
      <c r="D428" s="1290"/>
    </row>
    <row r="429" spans="1:4" ht="12.75" customHeight="1" x14ac:dyDescent="0.35">
      <c r="A429" s="1290"/>
      <c r="B429" s="1290" t="s">
        <v>3694</v>
      </c>
      <c r="C429" s="1290"/>
      <c r="D429" s="1290"/>
    </row>
    <row r="430" spans="1:4" ht="12.75" customHeight="1" x14ac:dyDescent="0.35">
      <c r="A430" s="1290"/>
      <c r="B430" s="1290" t="s">
        <v>3695</v>
      </c>
      <c r="C430" s="1290"/>
      <c r="D430" s="1290"/>
    </row>
    <row r="431" spans="1:4" ht="12.75" customHeight="1" x14ac:dyDescent="0.35">
      <c r="A431" s="1290"/>
      <c r="B431" s="1290" t="s">
        <v>3696</v>
      </c>
      <c r="C431" s="1290"/>
      <c r="D431" s="1290"/>
    </row>
    <row r="432" spans="1:4" ht="12.75" customHeight="1" x14ac:dyDescent="0.35">
      <c r="A432" s="1290"/>
      <c r="B432" s="1290" t="s">
        <v>3697</v>
      </c>
      <c r="C432" s="1290"/>
      <c r="D432" s="1290"/>
    </row>
    <row r="433" spans="1:4" ht="12.75" customHeight="1" x14ac:dyDescent="0.35">
      <c r="A433" s="1290"/>
      <c r="B433" s="1290"/>
      <c r="C433" s="1290"/>
      <c r="D433" s="1290"/>
    </row>
    <row r="434" spans="1:4" ht="12.75" customHeight="1" x14ac:dyDescent="0.35">
      <c r="A434" s="1290"/>
      <c r="B434" s="1290"/>
      <c r="C434" s="1290"/>
      <c r="D434" s="1290"/>
    </row>
    <row r="435" spans="1:4" ht="12.75" customHeight="1" x14ac:dyDescent="0.35">
      <c r="A435" s="1290"/>
      <c r="B435" s="1290"/>
      <c r="C435" s="1290"/>
      <c r="D435" s="1290"/>
    </row>
    <row r="436" spans="1:4" ht="12.75" customHeight="1" x14ac:dyDescent="0.35">
      <c r="A436" s="1290"/>
      <c r="B436" s="1290"/>
      <c r="C436" s="1290"/>
      <c r="D436" s="1290"/>
    </row>
    <row r="437" spans="1:4" ht="12.75" customHeight="1" x14ac:dyDescent="0.35">
      <c r="A437" s="1290"/>
      <c r="B437" s="1290"/>
      <c r="C437" s="1290"/>
      <c r="D437" s="1290"/>
    </row>
    <row r="438" spans="1:4" ht="12.75" customHeight="1" x14ac:dyDescent="0.35">
      <c r="A438" s="1290"/>
      <c r="B438" s="1290"/>
      <c r="C438" s="1290"/>
      <c r="D438" s="1290"/>
    </row>
    <row r="439" spans="1:4" ht="12.75" customHeight="1" x14ac:dyDescent="0.35">
      <c r="A439" s="1290"/>
      <c r="B439" s="1290" t="s">
        <v>3698</v>
      </c>
      <c r="C439" s="1290"/>
      <c r="D439" s="1290"/>
    </row>
    <row r="440" spans="1:4" ht="12.75" customHeight="1" x14ac:dyDescent="0.35">
      <c r="A440" s="1290"/>
      <c r="B440" s="1290"/>
      <c r="C440" s="1290"/>
      <c r="D440" s="1290"/>
    </row>
    <row r="441" spans="1:4" ht="12.75" customHeight="1" x14ac:dyDescent="0.35">
      <c r="A441" s="1290"/>
      <c r="B441" s="1290" t="s">
        <v>3653</v>
      </c>
      <c r="C441" s="1290"/>
      <c r="D441" s="1290"/>
    </row>
    <row r="442" spans="1:4" ht="12.75" customHeight="1" x14ac:dyDescent="0.35">
      <c r="A442" s="1290"/>
      <c r="B442" s="1290" t="s">
        <v>3699</v>
      </c>
      <c r="C442" s="1290"/>
      <c r="D442" s="1290"/>
    </row>
    <row r="443" spans="1:4" ht="12.75" customHeight="1" x14ac:dyDescent="0.35">
      <c r="A443" s="1290"/>
      <c r="B443" s="1290"/>
      <c r="C443" s="1290"/>
      <c r="D443" s="1290"/>
    </row>
    <row r="444" spans="1:4" ht="12.75" customHeight="1" x14ac:dyDescent="0.35">
      <c r="A444" s="1290"/>
      <c r="B444" s="1290"/>
      <c r="C444" s="1290"/>
      <c r="D444" s="1290"/>
    </row>
    <row r="445" spans="1:4" ht="12.75" customHeight="1" x14ac:dyDescent="0.35">
      <c r="A445" s="1290"/>
      <c r="B445" s="1290"/>
      <c r="C445" s="1290"/>
      <c r="D445" s="1290"/>
    </row>
    <row r="446" spans="1:4" ht="12.75" customHeight="1" x14ac:dyDescent="0.35">
      <c r="A446" s="1290"/>
      <c r="B446" s="1290"/>
      <c r="C446" s="1290"/>
      <c r="D446" s="1290"/>
    </row>
    <row r="447" spans="1:4" ht="12.75" customHeight="1" x14ac:dyDescent="0.35">
      <c r="A447" s="1290"/>
      <c r="B447" s="1290"/>
      <c r="C447" s="1290"/>
      <c r="D447" s="1290"/>
    </row>
    <row r="448" spans="1:4" ht="12.75" customHeight="1" x14ac:dyDescent="0.35">
      <c r="A448" s="1290"/>
      <c r="B448" s="1290"/>
      <c r="C448" s="1290"/>
      <c r="D448" s="1290"/>
    </row>
    <row r="449" spans="1:4" ht="12.75" customHeight="1" x14ac:dyDescent="0.35">
      <c r="A449" s="1290"/>
      <c r="B449" s="1290"/>
      <c r="C449" s="1290"/>
      <c r="D449" s="1290"/>
    </row>
    <row r="450" spans="1:4" ht="12.75" customHeight="1" x14ac:dyDescent="0.35">
      <c r="A450" s="1290"/>
      <c r="B450" s="1290"/>
      <c r="C450" s="1290"/>
      <c r="D450" s="1290"/>
    </row>
    <row r="451" spans="1:4" ht="12.75" customHeight="1" x14ac:dyDescent="0.35">
      <c r="A451" s="1290"/>
      <c r="B451" s="1290"/>
      <c r="C451" s="1290"/>
      <c r="D451" s="1290"/>
    </row>
    <row r="452" spans="1:4" ht="12.75" customHeight="1" x14ac:dyDescent="0.35">
      <c r="A452" s="1290"/>
      <c r="B452" s="1290"/>
      <c r="C452" s="1290"/>
      <c r="D452" s="1290"/>
    </row>
    <row r="453" spans="1:4" ht="12.75" customHeight="1" x14ac:dyDescent="0.35">
      <c r="A453" s="1290"/>
      <c r="B453" s="1290" t="s">
        <v>3700</v>
      </c>
      <c r="C453" s="1290"/>
      <c r="D453" s="1290"/>
    </row>
    <row r="454" spans="1:4" ht="12.75" customHeight="1" x14ac:dyDescent="0.35">
      <c r="A454" s="1290"/>
      <c r="B454" s="1290" t="s">
        <v>3701</v>
      </c>
      <c r="C454" s="1290"/>
      <c r="D454" s="1290"/>
    </row>
    <row r="455" spans="1:4" ht="12.75" customHeight="1" x14ac:dyDescent="0.35">
      <c r="A455" s="1290"/>
      <c r="B455" s="1290" t="str">
        <f>IF(PrintMode=0,"      ","")&amp;"Прочий операционный доход"</f>
        <v xml:space="preserve">      Прочий операционный доход</v>
      </c>
      <c r="C455" s="1290"/>
      <c r="D455" s="1290"/>
    </row>
    <row r="456" spans="1:4" ht="12.75" customHeight="1" x14ac:dyDescent="0.35">
      <c r="A456" s="1290"/>
      <c r="B456" s="1290" t="s">
        <v>3702</v>
      </c>
      <c r="C456" s="1290"/>
      <c r="D456" s="1290"/>
    </row>
    <row r="457" spans="1:4" ht="12.75" customHeight="1" x14ac:dyDescent="0.35">
      <c r="A457" s="1290"/>
      <c r="B457" s="1290"/>
      <c r="C457" s="1290" t="s">
        <v>3703</v>
      </c>
      <c r="D457" s="1290"/>
    </row>
    <row r="458" spans="1:4" ht="12.75" customHeight="1" x14ac:dyDescent="0.35">
      <c r="A458" s="1290"/>
      <c r="B458" s="1290"/>
      <c r="C458" s="1290" t="s">
        <v>3704</v>
      </c>
      <c r="D458" s="1290"/>
    </row>
    <row r="459" spans="1:4" ht="12.75" customHeight="1" x14ac:dyDescent="0.35">
      <c r="A459" s="1290"/>
      <c r="B459" s="1290"/>
      <c r="C459" s="1290" t="s">
        <v>3705</v>
      </c>
      <c r="D459" s="1290"/>
    </row>
    <row r="460" spans="1:4" ht="12.75" customHeight="1" x14ac:dyDescent="0.35">
      <c r="A460" s="1290"/>
      <c r="B460" s="1290"/>
      <c r="C460" s="1290" t="s">
        <v>3706</v>
      </c>
      <c r="D460" s="1290"/>
    </row>
    <row r="461" spans="1:4" ht="12.75" customHeight="1" x14ac:dyDescent="0.35">
      <c r="A461" s="1290"/>
      <c r="B461" s="1290"/>
      <c r="C461" s="1290"/>
      <c r="D461" s="1290"/>
    </row>
    <row r="462" spans="1:4" ht="12.75" customHeight="1" x14ac:dyDescent="0.35">
      <c r="A462" s="1290"/>
      <c r="B462" s="1290"/>
      <c r="C462" s="1290"/>
      <c r="D462" s="1290"/>
    </row>
    <row r="463" spans="1:4" ht="12.75" customHeight="1" x14ac:dyDescent="0.35">
      <c r="A463" s="1290"/>
      <c r="B463" s="1290"/>
      <c r="C463" s="1290"/>
      <c r="D463" s="1290"/>
    </row>
    <row r="464" spans="1:4" ht="12.75" customHeight="1" x14ac:dyDescent="0.35">
      <c r="A464" s="1290"/>
      <c r="B464" s="1290"/>
      <c r="C464" s="1290"/>
      <c r="D464" s="1290"/>
    </row>
    <row r="465" spans="1:4" ht="12.75" customHeight="1" x14ac:dyDescent="0.35">
      <c r="A465" s="1290"/>
      <c r="B465" s="1290"/>
      <c r="C465" s="1290"/>
      <c r="D465" s="1290"/>
    </row>
    <row r="466" spans="1:4" ht="12.75" customHeight="1" x14ac:dyDescent="0.35">
      <c r="A466" s="1290"/>
      <c r="B466" s="1290"/>
      <c r="C466" s="1290"/>
      <c r="D466" s="1290"/>
    </row>
    <row r="467" spans="1:4" ht="12.75" customHeight="1" x14ac:dyDescent="0.35">
      <c r="A467" s="1290"/>
      <c r="B467" s="1290" t="s">
        <v>3707</v>
      </c>
      <c r="C467" s="1290"/>
      <c r="D467" s="1290"/>
    </row>
    <row r="468" spans="1:4" ht="12.75" customHeight="1" x14ac:dyDescent="0.35">
      <c r="A468" s="1290"/>
      <c r="B468" s="1290" t="s">
        <v>3701</v>
      </c>
      <c r="C468" s="1290"/>
      <c r="D468" s="1290"/>
    </row>
    <row r="469" spans="1:4" ht="12.75" customHeight="1" x14ac:dyDescent="0.35">
      <c r="A469" s="1290"/>
      <c r="B469" s="1290" t="s">
        <v>5305</v>
      </c>
      <c r="C469" s="1290"/>
      <c r="D469" s="1290"/>
    </row>
    <row r="470" spans="1:4" ht="12.75" customHeight="1" x14ac:dyDescent="0.35">
      <c r="A470" s="1290"/>
      <c r="B470" s="1290" t="s">
        <v>3708</v>
      </c>
      <c r="C470" s="1290"/>
      <c r="D470" s="1290"/>
    </row>
    <row r="471" spans="1:4" ht="12.75" customHeight="1" x14ac:dyDescent="0.35">
      <c r="A471" s="1290"/>
      <c r="B471" s="1290"/>
      <c r="C471" s="1290" t="s">
        <v>3705</v>
      </c>
      <c r="D471" s="1290"/>
    </row>
    <row r="472" spans="1:4" ht="12.75" customHeight="1" x14ac:dyDescent="0.35">
      <c r="A472" s="1290"/>
      <c r="B472" s="1290"/>
      <c r="C472" s="1290" t="s">
        <v>3709</v>
      </c>
      <c r="D472" s="1290"/>
    </row>
    <row r="473" spans="1:4" ht="12.75" customHeight="1" x14ac:dyDescent="0.35">
      <c r="A473" s="1290"/>
      <c r="B473" s="1290"/>
      <c r="C473" s="1290" t="s">
        <v>3710</v>
      </c>
      <c r="D473" s="1290"/>
    </row>
    <row r="474" spans="1:4" ht="12.75" customHeight="1" x14ac:dyDescent="0.35">
      <c r="A474" s="1290"/>
      <c r="B474" s="1290"/>
      <c r="C474" s="1290"/>
      <c r="D474" s="1290"/>
    </row>
    <row r="475" spans="1:4" ht="12.75" customHeight="1" x14ac:dyDescent="0.35">
      <c r="A475" s="1290"/>
      <c r="B475" s="1290"/>
      <c r="C475" s="1290"/>
      <c r="D475" s="1290"/>
    </row>
    <row r="476" spans="1:4" ht="12.75" customHeight="1" x14ac:dyDescent="0.35">
      <c r="A476" s="1290"/>
      <c r="B476" s="1290"/>
      <c r="C476" s="1290"/>
      <c r="D476" s="1290"/>
    </row>
    <row r="477" spans="1:4" ht="12.75" customHeight="1" x14ac:dyDescent="0.35">
      <c r="A477" s="1290"/>
      <c r="B477" s="1290"/>
      <c r="C477" s="1290"/>
      <c r="D477" s="1290"/>
    </row>
    <row r="478" spans="1:4" ht="12.75" customHeight="1" x14ac:dyDescent="0.35">
      <c r="A478" s="1290"/>
      <c r="B478" s="1290"/>
      <c r="C478" s="1290"/>
      <c r="D478" s="1290"/>
    </row>
    <row r="479" spans="1:4" ht="12.75" customHeight="1" x14ac:dyDescent="0.35">
      <c r="A479" s="1290"/>
      <c r="B479" s="1290"/>
      <c r="C479" s="1290"/>
      <c r="D479" s="1290"/>
    </row>
    <row r="480" spans="1:4" ht="12.75" customHeight="1" x14ac:dyDescent="0.35">
      <c r="A480" s="1290"/>
      <c r="B480" s="1290"/>
      <c r="C480" s="1290"/>
      <c r="D480" s="1290"/>
    </row>
    <row r="481" spans="1:4" ht="12.75" customHeight="1" x14ac:dyDescent="0.35">
      <c r="A481" s="1291"/>
      <c r="B481" s="1290" t="s">
        <v>3711</v>
      </c>
      <c r="C481" s="1290"/>
      <c r="D481" s="1290"/>
    </row>
    <row r="482" spans="1:4" ht="12.75" customHeight="1" x14ac:dyDescent="0.35">
      <c r="A482" s="1291"/>
      <c r="B482" s="1289" t="s">
        <v>5429</v>
      </c>
      <c r="C482" s="1290"/>
      <c r="D482" s="1290"/>
    </row>
    <row r="483" spans="1:4" ht="12.75" customHeight="1" x14ac:dyDescent="0.35">
      <c r="A483" s="1290"/>
      <c r="B483" s="1290" t="s">
        <v>3712</v>
      </c>
      <c r="C483" s="1290"/>
      <c r="D483" s="1290"/>
    </row>
    <row r="484" spans="1:4" ht="12.75" customHeight="1" x14ac:dyDescent="0.35">
      <c r="A484" s="1290"/>
      <c r="B484" s="1290" t="s">
        <v>3701</v>
      </c>
      <c r="C484" s="1290"/>
      <c r="D484" s="1290"/>
    </row>
    <row r="485" spans="1:4" ht="12.75" customHeight="1" x14ac:dyDescent="0.35">
      <c r="A485" s="1290"/>
      <c r="B485" s="1290" t="s">
        <v>5084</v>
      </c>
      <c r="C485" s="1290"/>
      <c r="D485" s="1290"/>
    </row>
    <row r="486" spans="1:4" ht="12.75" customHeight="1" x14ac:dyDescent="0.35">
      <c r="A486" s="1290"/>
      <c r="B486" s="1290" t="s">
        <v>2284</v>
      </c>
      <c r="C486" s="1290"/>
      <c r="D486" s="1290"/>
    </row>
    <row r="487" spans="1:4" ht="12.75" customHeight="1" x14ac:dyDescent="0.35">
      <c r="A487" s="1290"/>
      <c r="B487" s="1290"/>
      <c r="C487" s="1290" t="s">
        <v>3713</v>
      </c>
      <c r="D487" s="1290"/>
    </row>
    <row r="488" spans="1:4" ht="12.75" customHeight="1" x14ac:dyDescent="0.35">
      <c r="A488" s="1290"/>
      <c r="B488" s="1290"/>
      <c r="C488" s="1290" t="s">
        <v>3714</v>
      </c>
      <c r="D488" s="1290"/>
    </row>
    <row r="489" spans="1:4" ht="12.75" customHeight="1" x14ac:dyDescent="0.35">
      <c r="A489" s="1290"/>
      <c r="B489" s="1290" t="s">
        <v>3715</v>
      </c>
      <c r="C489" s="1290"/>
      <c r="D489" s="1290"/>
    </row>
    <row r="490" spans="1:4" ht="12.75" customHeight="1" x14ac:dyDescent="0.35">
      <c r="A490" s="1290"/>
      <c r="B490" s="1290" t="s">
        <v>3701</v>
      </c>
      <c r="C490" s="1290"/>
      <c r="D490" s="1290"/>
    </row>
    <row r="491" spans="1:4" ht="12.75" customHeight="1" x14ac:dyDescent="0.35">
      <c r="A491" s="1290"/>
      <c r="B491" s="1290" t="s">
        <v>5083</v>
      </c>
      <c r="C491" s="1290"/>
      <c r="D491" s="1290"/>
    </row>
    <row r="492" spans="1:4" ht="12.75" customHeight="1" x14ac:dyDescent="0.35">
      <c r="A492" s="1290"/>
      <c r="B492" s="1290" t="s">
        <v>3716</v>
      </c>
      <c r="C492" s="1290"/>
      <c r="D492" s="1290"/>
    </row>
    <row r="493" spans="1:4" ht="12.75" customHeight="1" x14ac:dyDescent="0.35">
      <c r="A493" s="1290"/>
      <c r="B493" s="1290"/>
      <c r="C493" s="1290" t="s">
        <v>3716</v>
      </c>
      <c r="D493" s="1290"/>
    </row>
    <row r="494" spans="1:4" ht="12.75" customHeight="1" x14ac:dyDescent="0.35">
      <c r="A494" s="1290"/>
      <c r="B494" s="1290"/>
      <c r="C494" s="1290" t="s">
        <v>3717</v>
      </c>
      <c r="D494" s="1290"/>
    </row>
    <row r="495" spans="1:4" ht="12.75" customHeight="1" x14ac:dyDescent="0.35">
      <c r="A495" s="1290"/>
      <c r="B495" s="1290" t="s">
        <v>3718</v>
      </c>
      <c r="C495" s="1290"/>
      <c r="D495" s="1290"/>
    </row>
    <row r="496" spans="1:4" ht="12.75" customHeight="1" x14ac:dyDescent="0.35">
      <c r="A496" s="1290"/>
      <c r="B496" s="1290" t="s">
        <v>3719</v>
      </c>
      <c r="C496" s="1290"/>
      <c r="D496" s="1290"/>
    </row>
    <row r="497" spans="1:4" ht="12.75" customHeight="1" x14ac:dyDescent="0.35">
      <c r="A497" s="1290"/>
      <c r="B497" s="1290"/>
      <c r="C497" s="1290" t="s">
        <v>3720</v>
      </c>
      <c r="D497" s="1290"/>
    </row>
    <row r="498" spans="1:4" ht="12.75" customHeight="1" x14ac:dyDescent="0.35">
      <c r="A498" s="1290"/>
      <c r="B498" s="1290"/>
      <c r="C498" s="1290" t="s">
        <v>3721</v>
      </c>
      <c r="D498" s="1290"/>
    </row>
    <row r="499" spans="1:4" ht="12.75" customHeight="1" x14ac:dyDescent="0.35">
      <c r="A499" s="1290"/>
      <c r="B499" s="1290" t="s">
        <v>3722</v>
      </c>
      <c r="C499" s="1290"/>
      <c r="D499" s="1290"/>
    </row>
    <row r="500" spans="1:4" ht="12.75" customHeight="1" x14ac:dyDescent="0.35">
      <c r="A500" s="1290"/>
      <c r="B500" s="1290" t="s">
        <v>3723</v>
      </c>
      <c r="C500" s="1290"/>
      <c r="D500" s="1290"/>
    </row>
    <row r="501" spans="1:4" ht="12.75" customHeight="1" x14ac:dyDescent="0.35">
      <c r="A501" s="1290"/>
      <c r="B501" s="1290"/>
      <c r="C501" s="1290" t="s">
        <v>3724</v>
      </c>
      <c r="D501" s="1290"/>
    </row>
    <row r="502" spans="1:4" ht="12.75" customHeight="1" x14ac:dyDescent="0.35">
      <c r="A502" s="1290"/>
      <c r="B502" s="1290"/>
      <c r="C502" s="1290" t="str">
        <f>IF(CalculatedDepreciation,"Другие а","A")&amp;"ссигнования, прирост (-) / снижение (+)"</f>
        <v>Aссигнования, прирост (-) / снижение (+)</v>
      </c>
      <c r="D502" s="1290"/>
    </row>
    <row r="503" spans="1:4" ht="12.75" customHeight="1" x14ac:dyDescent="0.35">
      <c r="A503" s="1290"/>
      <c r="B503" s="1290" t="s">
        <v>2336</v>
      </c>
      <c r="C503" s="1290"/>
      <c r="D503" s="1290"/>
    </row>
    <row r="504" spans="1:4" ht="12.75" customHeight="1" x14ac:dyDescent="0.35">
      <c r="A504" s="1291"/>
      <c r="B504" s="1290" t="s">
        <v>3725</v>
      </c>
      <c r="C504" s="1290"/>
      <c r="D504" s="1290"/>
    </row>
    <row r="505" spans="1:4" ht="12.75" customHeight="1" x14ac:dyDescent="0.35">
      <c r="A505" s="1290"/>
      <c r="B505" s="1290" t="s">
        <v>3726</v>
      </c>
      <c r="C505" s="1290"/>
      <c r="D505" s="1290"/>
    </row>
    <row r="506" spans="1:4" ht="12.75" customHeight="1" x14ac:dyDescent="0.35">
      <c r="A506" s="1290"/>
      <c r="B506" s="1290" t="s">
        <v>3727</v>
      </c>
      <c r="C506" s="1290"/>
      <c r="D506" s="1290"/>
    </row>
    <row r="507" spans="1:4" ht="12.75" customHeight="1" x14ac:dyDescent="0.35">
      <c r="A507" s="1290"/>
      <c r="B507" s="1290" t="s">
        <v>3701</v>
      </c>
      <c r="C507" s="1290"/>
      <c r="D507" s="1290"/>
    </row>
    <row r="508" spans="1:4" ht="12.75" customHeight="1" x14ac:dyDescent="0.35">
      <c r="A508" s="1290"/>
      <c r="B508" s="1290" t="s">
        <v>5306</v>
      </c>
      <c r="C508" s="1290"/>
      <c r="D508" s="1290"/>
    </row>
    <row r="509" spans="1:4" ht="12.75" customHeight="1" x14ac:dyDescent="0.35">
      <c r="A509" s="1290"/>
      <c r="B509" s="1290" t="s">
        <v>3728</v>
      </c>
      <c r="C509" s="1290"/>
      <c r="D509" s="1290"/>
    </row>
    <row r="510" spans="1:4" ht="12.75" customHeight="1" x14ac:dyDescent="0.35">
      <c r="A510" s="1290"/>
      <c r="B510" s="1290" t="s">
        <v>3729</v>
      </c>
      <c r="C510" s="1290"/>
      <c r="D510" s="1290"/>
    </row>
    <row r="511" spans="1:4" ht="12.75" customHeight="1" x14ac:dyDescent="0.35">
      <c r="A511" s="1290"/>
      <c r="B511" s="1290" t="s">
        <v>3730</v>
      </c>
      <c r="C511" s="1290"/>
      <c r="D511" s="1290"/>
    </row>
    <row r="512" spans="1:4" ht="12.75" customHeight="1" x14ac:dyDescent="0.35">
      <c r="A512" s="1290"/>
      <c r="B512" s="1290" t="s">
        <v>3731</v>
      </c>
      <c r="C512" s="1290"/>
      <c r="D512" s="1290"/>
    </row>
    <row r="513" spans="1:4" ht="12.75" customHeight="1" x14ac:dyDescent="0.35">
      <c r="A513" s="1290"/>
      <c r="B513" s="1290" t="s">
        <v>3732</v>
      </c>
      <c r="C513" s="1290"/>
      <c r="D513" s="1290"/>
    </row>
    <row r="514" spans="1:4" ht="12.75" customHeight="1" x14ac:dyDescent="0.35">
      <c r="A514" s="1290"/>
      <c r="B514" s="1290" t="s">
        <v>3733</v>
      </c>
      <c r="C514" s="1290"/>
      <c r="D514" s="1290"/>
    </row>
    <row r="515" spans="1:4" ht="12.75" customHeight="1" x14ac:dyDescent="0.35">
      <c r="A515" s="1290"/>
      <c r="B515" s="1290" t="s">
        <v>3734</v>
      </c>
      <c r="C515" s="1290"/>
      <c r="D515" s="1290"/>
    </row>
    <row r="516" spans="1:4" ht="12.75" customHeight="1" x14ac:dyDescent="0.35">
      <c r="A516" s="1290"/>
      <c r="B516" s="1290"/>
      <c r="C516" s="1290"/>
      <c r="D516" s="1290"/>
    </row>
    <row r="517" spans="1:4" ht="12.75" customHeight="1" x14ac:dyDescent="0.35">
      <c r="A517" s="1290"/>
      <c r="B517" s="1290"/>
      <c r="C517" s="1290"/>
      <c r="D517" s="1290"/>
    </row>
    <row r="518" spans="1:4" ht="12.75" customHeight="1" x14ac:dyDescent="0.35">
      <c r="A518" s="1290"/>
      <c r="B518" s="1290" t="s">
        <v>3735</v>
      </c>
      <c r="C518" s="1290"/>
      <c r="D518" s="1290"/>
    </row>
    <row r="519" spans="1:4" ht="12.75" customHeight="1" x14ac:dyDescent="0.35">
      <c r="A519" s="1290"/>
      <c r="B519" s="1290" t="s">
        <v>3736</v>
      </c>
      <c r="C519" s="1290"/>
      <c r="D519" s="1290"/>
    </row>
    <row r="520" spans="1:4" ht="12.75" customHeight="1" x14ac:dyDescent="0.35">
      <c r="A520" s="1290"/>
      <c r="B520" s="1290" t="s">
        <v>2284</v>
      </c>
      <c r="C520" s="1290"/>
      <c r="D520" s="1290"/>
    </row>
    <row r="521" spans="1:4" ht="12.75" customHeight="1" x14ac:dyDescent="0.35">
      <c r="A521" s="1290"/>
      <c r="B521" s="1290" t="s">
        <v>3737</v>
      </c>
      <c r="C521" s="1290"/>
      <c r="D521" s="1290"/>
    </row>
    <row r="522" spans="1:4" ht="12.75" customHeight="1" x14ac:dyDescent="0.35">
      <c r="A522" s="1290"/>
      <c r="B522" s="1290" t="s">
        <v>3738</v>
      </c>
      <c r="C522" s="1290"/>
      <c r="D522" s="1290"/>
    </row>
    <row r="523" spans="1:4" ht="12.75" customHeight="1" x14ac:dyDescent="0.35">
      <c r="A523" s="1290"/>
      <c r="B523" s="1290" t="s">
        <v>3739</v>
      </c>
      <c r="C523" s="1290"/>
      <c r="D523" s="1290"/>
    </row>
    <row r="524" spans="1:4" ht="12.75" customHeight="1" x14ac:dyDescent="0.35">
      <c r="A524" s="1290"/>
      <c r="B524" s="1290" t="s">
        <v>3726</v>
      </c>
      <c r="C524" s="1290"/>
      <c r="D524" s="1290"/>
    </row>
    <row r="525" spans="1:4" ht="12.75" customHeight="1" x14ac:dyDescent="0.35">
      <c r="A525" s="1290"/>
      <c r="B525" s="1290" t="s">
        <v>3740</v>
      </c>
      <c r="C525" s="1290"/>
      <c r="D525" s="1290"/>
    </row>
    <row r="526" spans="1:4" ht="12.75" customHeight="1" x14ac:dyDescent="0.35">
      <c r="A526" s="1290"/>
      <c r="B526" s="1290" t="s">
        <v>3741</v>
      </c>
      <c r="C526" s="1290"/>
      <c r="D526" s="1290"/>
    </row>
    <row r="527" spans="1:4" ht="12.75" customHeight="1" x14ac:dyDescent="0.35">
      <c r="A527" s="1290"/>
      <c r="B527" s="1290" t="s">
        <v>3742</v>
      </c>
      <c r="C527" s="1290"/>
      <c r="D527" s="1290"/>
    </row>
    <row r="528" spans="1:4" ht="12.75" customHeight="1" x14ac:dyDescent="0.35">
      <c r="A528" s="1290"/>
      <c r="B528" s="1290" t="s">
        <v>3743</v>
      </c>
      <c r="C528" s="1290"/>
      <c r="D528" s="1290"/>
    </row>
    <row r="529" spans="1:4" ht="12.75" customHeight="1" x14ac:dyDescent="0.35">
      <c r="A529" s="1290"/>
      <c r="B529" s="1290" t="s">
        <v>3744</v>
      </c>
      <c r="C529" s="1290"/>
      <c r="D529" s="1290"/>
    </row>
    <row r="530" spans="1:4" ht="12.75" customHeight="1" x14ac:dyDescent="0.35">
      <c r="A530" s="1290"/>
      <c r="B530" s="1290" t="s">
        <v>3745</v>
      </c>
      <c r="C530" s="1290"/>
      <c r="D530" s="1290"/>
    </row>
    <row r="531" spans="1:4" ht="12.75" customHeight="1" x14ac:dyDescent="0.35">
      <c r="A531" s="1290"/>
      <c r="B531" s="1290" t="s">
        <v>3746</v>
      </c>
      <c r="C531" s="1290"/>
      <c r="D531" s="1290"/>
    </row>
    <row r="532" spans="1:4" ht="12.75" customHeight="1" x14ac:dyDescent="0.35">
      <c r="A532" s="1290"/>
      <c r="B532" s="1290"/>
      <c r="C532" s="1290"/>
      <c r="D532" s="1290"/>
    </row>
    <row r="533" spans="1:4" ht="12.75" customHeight="1" x14ac:dyDescent="0.35">
      <c r="A533" s="1290"/>
      <c r="B533" s="1290"/>
      <c r="C533" s="1290"/>
      <c r="D533" s="1290"/>
    </row>
    <row r="534" spans="1:4" ht="12.75" customHeight="1" x14ac:dyDescent="0.35">
      <c r="A534" s="1290"/>
      <c r="B534" s="1290"/>
      <c r="C534" s="1290"/>
      <c r="D534" s="1290"/>
    </row>
    <row r="535" spans="1:4" ht="12.75" customHeight="1" x14ac:dyDescent="0.35">
      <c r="A535" s="1290"/>
      <c r="B535" s="1290"/>
      <c r="C535" s="1290"/>
      <c r="D535" s="1290"/>
    </row>
    <row r="536" spans="1:4" ht="12.75" customHeight="1" x14ac:dyDescent="0.35">
      <c r="A536" s="1290"/>
      <c r="B536" s="1290"/>
      <c r="C536" s="1290"/>
      <c r="D536" s="1290"/>
    </row>
    <row r="537" spans="1:4" ht="12.75" customHeight="1" x14ac:dyDescent="0.35">
      <c r="A537" s="1290"/>
      <c r="B537" s="1290" t="s">
        <v>3747</v>
      </c>
      <c r="C537" s="1290"/>
      <c r="D537" s="1290"/>
    </row>
    <row r="538" spans="1:4" ht="12.75" customHeight="1" x14ac:dyDescent="0.35">
      <c r="A538" s="1290"/>
      <c r="B538" s="1290"/>
      <c r="C538" s="1290"/>
      <c r="D538" s="1290"/>
    </row>
    <row r="539" spans="1:4" ht="12.75" customHeight="1" x14ac:dyDescent="0.35">
      <c r="A539" s="1290"/>
      <c r="B539" s="1290" t="s">
        <v>3653</v>
      </c>
      <c r="C539" s="1290"/>
      <c r="D539" s="1290"/>
    </row>
    <row r="540" spans="1:4" ht="12.75" customHeight="1" x14ac:dyDescent="0.35">
      <c r="A540" s="1290"/>
      <c r="B540" s="1290" t="s">
        <v>3748</v>
      </c>
      <c r="C540" s="1290"/>
      <c r="D540" s="1290"/>
    </row>
    <row r="541" spans="1:4" ht="12.75" customHeight="1" x14ac:dyDescent="0.35">
      <c r="A541" s="1290"/>
      <c r="B541" s="1290"/>
      <c r="C541" s="1292" t="s">
        <v>3749</v>
      </c>
      <c r="D541" s="1293"/>
    </row>
    <row r="542" spans="1:4" ht="12.75" customHeight="1" x14ac:dyDescent="0.35">
      <c r="A542" s="1290"/>
      <c r="B542" s="1290"/>
      <c r="C542" s="1292" t="s">
        <v>3750</v>
      </c>
      <c r="D542" s="1293"/>
    </row>
    <row r="543" spans="1:4" ht="12.75" customHeight="1" x14ac:dyDescent="0.35">
      <c r="A543" s="1290"/>
      <c r="B543" s="1290"/>
      <c r="C543" s="1292" t="s">
        <v>3751</v>
      </c>
      <c r="D543" s="1293"/>
    </row>
    <row r="544" spans="1:4" ht="12.75" customHeight="1" x14ac:dyDescent="0.35">
      <c r="A544" s="1290"/>
      <c r="B544" s="1290"/>
      <c r="C544" s="1292" t="s">
        <v>3752</v>
      </c>
      <c r="D544" s="1293"/>
    </row>
    <row r="545" spans="1:4" ht="12.75" customHeight="1" x14ac:dyDescent="0.35">
      <c r="A545" s="1290"/>
      <c r="B545" s="1290"/>
      <c r="C545" s="1292" t="s">
        <v>3749</v>
      </c>
      <c r="D545" s="1293"/>
    </row>
    <row r="546" spans="1:4" ht="12.75" customHeight="1" x14ac:dyDescent="0.35">
      <c r="A546" s="1290"/>
      <c r="B546" s="1290"/>
      <c r="C546" s="1292" t="s">
        <v>5188</v>
      </c>
      <c r="D546" s="1293"/>
    </row>
    <row r="547" spans="1:4" ht="12.75" customHeight="1" x14ac:dyDescent="0.35">
      <c r="A547" s="1290"/>
      <c r="B547" s="1290"/>
      <c r="C547" s="1292" t="s">
        <v>3751</v>
      </c>
      <c r="D547" s="1293"/>
    </row>
    <row r="548" spans="1:4" ht="12.75" customHeight="1" x14ac:dyDescent="0.35">
      <c r="A548" s="1290"/>
      <c r="B548" s="1290"/>
      <c r="C548" s="1292" t="s">
        <v>3752</v>
      </c>
      <c r="D548" s="1293"/>
    </row>
    <row r="549" spans="1:4" ht="12.75" customHeight="1" x14ac:dyDescent="0.35">
      <c r="A549" s="1290"/>
      <c r="B549" s="1290"/>
      <c r="C549" s="1292" t="s">
        <v>3749</v>
      </c>
      <c r="D549" s="1293"/>
    </row>
    <row r="550" spans="1:4" ht="12.75" customHeight="1" x14ac:dyDescent="0.35">
      <c r="A550" s="1290"/>
      <c r="B550" s="1290"/>
      <c r="C550" s="1292" t="s">
        <v>5189</v>
      </c>
      <c r="D550" s="1293"/>
    </row>
    <row r="551" spans="1:4" ht="12.75" customHeight="1" x14ac:dyDescent="0.35">
      <c r="A551" s="1290"/>
      <c r="B551" s="1290"/>
      <c r="C551" s="1292" t="s">
        <v>3751</v>
      </c>
      <c r="D551" s="1293"/>
    </row>
    <row r="552" spans="1:4" ht="12.75" customHeight="1" x14ac:dyDescent="0.35">
      <c r="A552" s="1290"/>
      <c r="B552" s="1290"/>
      <c r="C552" s="1292" t="s">
        <v>3752</v>
      </c>
      <c r="D552" s="1293"/>
    </row>
    <row r="553" spans="1:4" ht="12.75" customHeight="1" x14ac:dyDescent="0.35">
      <c r="A553" s="1290"/>
      <c r="B553" s="1290"/>
      <c r="C553" s="1292" t="s">
        <v>3749</v>
      </c>
      <c r="D553" s="1293"/>
    </row>
    <row r="554" spans="1:4" ht="12.75" customHeight="1" x14ac:dyDescent="0.35">
      <c r="A554" s="1290"/>
      <c r="B554" s="1290"/>
      <c r="C554" s="1292" t="s">
        <v>3750</v>
      </c>
      <c r="D554" s="1293"/>
    </row>
    <row r="555" spans="1:4" ht="12.75" customHeight="1" x14ac:dyDescent="0.35">
      <c r="A555" s="1290"/>
      <c r="B555" s="1290"/>
      <c r="C555" s="1292" t="s">
        <v>3751</v>
      </c>
      <c r="D555" s="1293"/>
    </row>
    <row r="556" spans="1:4" ht="12.75" customHeight="1" x14ac:dyDescent="0.35">
      <c r="A556" s="1290"/>
      <c r="B556" s="1290"/>
      <c r="C556" s="1292" t="s">
        <v>3752</v>
      </c>
      <c r="D556" s="1293"/>
    </row>
    <row r="557" spans="1:4" ht="12.75" customHeight="1" x14ac:dyDescent="0.35">
      <c r="A557" s="1290"/>
      <c r="B557" s="1290"/>
      <c r="C557" s="1292" t="s">
        <v>3749</v>
      </c>
      <c r="D557" s="1293"/>
    </row>
    <row r="558" spans="1:4" ht="12.75" customHeight="1" x14ac:dyDescent="0.35">
      <c r="A558" s="1290"/>
      <c r="B558" s="1290"/>
      <c r="C558" s="1292" t="s">
        <v>3750</v>
      </c>
      <c r="D558" s="1293"/>
    </row>
    <row r="559" spans="1:4" ht="12.75" customHeight="1" x14ac:dyDescent="0.35">
      <c r="A559" s="1290"/>
      <c r="B559" s="1290"/>
      <c r="C559" s="1292" t="s">
        <v>3751</v>
      </c>
      <c r="D559" s="1293"/>
    </row>
    <row r="560" spans="1:4" ht="12.75" customHeight="1" x14ac:dyDescent="0.35">
      <c r="A560" s="1290"/>
      <c r="B560" s="1290"/>
      <c r="C560" s="1292" t="s">
        <v>3752</v>
      </c>
      <c r="D560" s="1293"/>
    </row>
    <row r="561" spans="1:4" ht="12.75" customHeight="1" x14ac:dyDescent="0.35">
      <c r="A561" s="1290"/>
      <c r="B561" s="1290"/>
      <c r="C561" s="1289" t="s">
        <v>5430</v>
      </c>
      <c r="D561" s="1293"/>
    </row>
    <row r="562" spans="1:4" ht="12.75" customHeight="1" x14ac:dyDescent="0.35">
      <c r="A562" s="1290"/>
      <c r="B562" s="1290"/>
      <c r="C562" s="1289" t="s">
        <v>5437</v>
      </c>
      <c r="D562" s="1293"/>
    </row>
    <row r="563" spans="1:4" ht="12.75" customHeight="1" x14ac:dyDescent="0.35">
      <c r="A563" s="1290"/>
      <c r="B563" s="1290"/>
      <c r="C563" s="1290" t="s">
        <v>3753</v>
      </c>
      <c r="D563" s="1293"/>
    </row>
    <row r="564" spans="1:4" ht="12.75" customHeight="1" x14ac:dyDescent="0.35">
      <c r="A564" s="1290"/>
      <c r="B564" s="1290"/>
      <c r="C564" s="1290" t="s">
        <v>3754</v>
      </c>
      <c r="D564" s="1293"/>
    </row>
    <row r="565" spans="1:4" ht="12.75" customHeight="1" x14ac:dyDescent="0.35">
      <c r="A565" s="1290"/>
      <c r="B565" s="1290"/>
      <c r="C565" s="1289" t="s">
        <v>5431</v>
      </c>
      <c r="D565" s="1293"/>
    </row>
    <row r="566" spans="1:4" ht="12.75" customHeight="1" x14ac:dyDescent="0.35">
      <c r="A566" s="1290"/>
      <c r="B566" s="1290"/>
      <c r="C566" s="1289" t="s">
        <v>5440</v>
      </c>
      <c r="D566" s="1293"/>
    </row>
    <row r="567" spans="1:4" ht="12.75" customHeight="1" x14ac:dyDescent="0.35">
      <c r="A567" s="1290"/>
      <c r="B567" s="1290"/>
      <c r="C567" s="1290" t="s">
        <v>3755</v>
      </c>
      <c r="D567" s="1293"/>
    </row>
    <row r="568" spans="1:4" ht="12.75" customHeight="1" x14ac:dyDescent="0.35">
      <c r="A568" s="1290"/>
      <c r="B568" s="1290"/>
      <c r="C568" s="1290" t="s">
        <v>3756</v>
      </c>
      <c r="D568" s="1293"/>
    </row>
    <row r="569" spans="1:4" ht="12.75" customHeight="1" x14ac:dyDescent="0.35">
      <c r="A569" s="1290"/>
      <c r="B569" s="1290"/>
      <c r="C569" s="1290" t="s">
        <v>3757</v>
      </c>
      <c r="D569" s="1293"/>
    </row>
    <row r="570" spans="1:4" ht="12.75" customHeight="1" x14ac:dyDescent="0.35">
      <c r="A570" s="1290"/>
      <c r="B570" s="1290" t="s">
        <v>3758</v>
      </c>
      <c r="C570" s="1290"/>
      <c r="D570" s="1293"/>
    </row>
    <row r="571" spans="1:4" ht="12.75" customHeight="1" x14ac:dyDescent="0.35">
      <c r="A571" s="1290"/>
      <c r="B571" s="1290"/>
      <c r="C571" s="1290" t="s">
        <v>3760</v>
      </c>
      <c r="D571" s="1293"/>
    </row>
    <row r="572" spans="1:4" ht="12.75" customHeight="1" x14ac:dyDescent="0.35">
      <c r="A572" s="1290"/>
      <c r="B572" s="1290"/>
      <c r="C572" s="1290" t="s">
        <v>3758</v>
      </c>
      <c r="D572" s="1293"/>
    </row>
    <row r="573" spans="1:4" ht="12.75" customHeight="1" x14ac:dyDescent="0.35">
      <c r="A573" s="1290"/>
      <c r="B573" s="1290"/>
      <c r="C573" s="1292" t="s">
        <v>5250</v>
      </c>
      <c r="D573" s="1293"/>
    </row>
    <row r="574" spans="1:4" ht="12.75" customHeight="1" x14ac:dyDescent="0.35">
      <c r="A574" s="1290"/>
      <c r="B574" s="1290"/>
      <c r="C574" s="1290" t="s">
        <v>3759</v>
      </c>
      <c r="D574" s="1293"/>
    </row>
    <row r="575" spans="1:4" ht="12.75" customHeight="1" x14ac:dyDescent="0.35">
      <c r="A575" s="1290"/>
      <c r="B575" s="1290"/>
      <c r="C575" s="1290" t="s">
        <v>3760</v>
      </c>
      <c r="D575" s="1293"/>
    </row>
    <row r="576" spans="1:4" ht="12.75" customHeight="1" x14ac:dyDescent="0.35">
      <c r="A576" s="1290"/>
      <c r="B576" s="1290"/>
      <c r="C576" s="1290" t="s">
        <v>5246</v>
      </c>
      <c r="D576" s="1293"/>
    </row>
    <row r="577" spans="1:4" ht="12.75" customHeight="1" x14ac:dyDescent="0.35">
      <c r="A577" s="1290"/>
      <c r="B577" s="1290"/>
      <c r="C577" s="1292" t="s">
        <v>5250</v>
      </c>
      <c r="D577" s="1293"/>
    </row>
    <row r="578" spans="1:4" ht="12.75" customHeight="1" x14ac:dyDescent="0.35">
      <c r="A578" s="1290"/>
      <c r="B578" s="1290"/>
      <c r="C578" s="1290" t="s">
        <v>3759</v>
      </c>
      <c r="D578" s="1293"/>
    </row>
    <row r="579" spans="1:4" ht="12.75" customHeight="1" x14ac:dyDescent="0.35">
      <c r="A579" s="1290"/>
      <c r="B579" s="1290"/>
      <c r="C579" s="1290" t="s">
        <v>3760</v>
      </c>
      <c r="D579" s="1293"/>
    </row>
    <row r="580" spans="1:4" ht="12.75" customHeight="1" x14ac:dyDescent="0.35">
      <c r="A580" s="1290"/>
      <c r="B580" s="1290"/>
      <c r="C580" s="1290" t="s">
        <v>5247</v>
      </c>
      <c r="D580" s="1293"/>
    </row>
    <row r="581" spans="1:4" ht="12.75" customHeight="1" x14ac:dyDescent="0.35">
      <c r="A581" s="1290"/>
      <c r="B581" s="1290"/>
      <c r="C581" s="1292" t="s">
        <v>5250</v>
      </c>
      <c r="D581" s="1293"/>
    </row>
    <row r="582" spans="1:4" ht="12.75" customHeight="1" x14ac:dyDescent="0.35">
      <c r="A582" s="1290"/>
      <c r="B582" s="1290"/>
      <c r="C582" s="1290" t="s">
        <v>3759</v>
      </c>
      <c r="D582" s="1293"/>
    </row>
    <row r="583" spans="1:4" ht="12.75" customHeight="1" x14ac:dyDescent="0.35">
      <c r="A583" s="1290"/>
      <c r="B583" s="1290"/>
      <c r="C583" s="1290" t="s">
        <v>3760</v>
      </c>
      <c r="D583" s="1293"/>
    </row>
    <row r="584" spans="1:4" ht="12.75" customHeight="1" x14ac:dyDescent="0.35">
      <c r="A584" s="1290"/>
      <c r="B584" s="1290"/>
      <c r="C584" s="1290" t="s">
        <v>5248</v>
      </c>
      <c r="D584" s="1293"/>
    </row>
    <row r="585" spans="1:4" ht="12.75" customHeight="1" x14ac:dyDescent="0.35">
      <c r="A585" s="1290"/>
      <c r="B585" s="1290"/>
      <c r="C585" s="1292" t="s">
        <v>5250</v>
      </c>
      <c r="D585" s="1293"/>
    </row>
    <row r="586" spans="1:4" ht="12.75" customHeight="1" x14ac:dyDescent="0.35">
      <c r="A586" s="1290"/>
      <c r="B586" s="1290"/>
      <c r="C586" s="1290" t="s">
        <v>3759</v>
      </c>
      <c r="D586" s="1293"/>
    </row>
    <row r="587" spans="1:4" ht="12.75" customHeight="1" x14ac:dyDescent="0.35">
      <c r="A587" s="1290"/>
      <c r="B587" s="1290"/>
      <c r="C587" s="1290" t="s">
        <v>3760</v>
      </c>
      <c r="D587" s="1293"/>
    </row>
    <row r="588" spans="1:4" ht="12.75" customHeight="1" x14ac:dyDescent="0.35">
      <c r="A588" s="1290"/>
      <c r="B588" s="1290"/>
      <c r="C588" s="1290" t="s">
        <v>5249</v>
      </c>
      <c r="D588" s="1293"/>
    </row>
    <row r="589" spans="1:4" ht="12.75" customHeight="1" x14ac:dyDescent="0.35">
      <c r="A589" s="1290"/>
      <c r="B589" s="1290"/>
      <c r="C589" s="1292" t="s">
        <v>5250</v>
      </c>
      <c r="D589" s="1293"/>
    </row>
    <row r="590" spans="1:4" ht="12.75" customHeight="1" x14ac:dyDescent="0.35">
      <c r="A590" s="1290"/>
      <c r="B590" s="1290"/>
      <c r="C590" s="1290" t="s">
        <v>3761</v>
      </c>
      <c r="D590" s="1293"/>
    </row>
    <row r="591" spans="1:4" ht="12.75" customHeight="1" x14ac:dyDescent="0.35">
      <c r="A591" s="1290"/>
      <c r="B591" s="1290"/>
      <c r="C591" s="1290" t="s">
        <v>3761</v>
      </c>
      <c r="D591" s="1293"/>
    </row>
    <row r="592" spans="1:4" ht="12.75" customHeight="1" x14ac:dyDescent="0.35">
      <c r="A592" s="1290"/>
      <c r="B592" s="1290" t="s">
        <v>3762</v>
      </c>
      <c r="C592" s="1290"/>
      <c r="D592" s="1293"/>
    </row>
    <row r="593" spans="1:4" ht="12.75" customHeight="1" x14ac:dyDescent="0.35">
      <c r="A593" s="1290"/>
      <c r="B593" s="1290"/>
      <c r="C593" s="1290" t="s">
        <v>3763</v>
      </c>
      <c r="D593" s="1293"/>
    </row>
    <row r="594" spans="1:4" ht="12.75" customHeight="1" x14ac:dyDescent="0.35">
      <c r="A594" s="1290"/>
      <c r="B594" s="1290"/>
      <c r="C594" s="1292" t="s">
        <v>3764</v>
      </c>
      <c r="D594" s="1293"/>
    </row>
    <row r="595" spans="1:4" ht="12.75" customHeight="1" x14ac:dyDescent="0.35">
      <c r="A595" s="1290"/>
      <c r="B595" s="1290"/>
      <c r="C595" s="1290" t="s">
        <v>3765</v>
      </c>
      <c r="D595" s="1293"/>
    </row>
    <row r="596" spans="1:4" ht="12.75" customHeight="1" x14ac:dyDescent="0.35">
      <c r="A596" s="1290"/>
      <c r="B596" s="1290"/>
      <c r="C596" s="1290" t="s">
        <v>3766</v>
      </c>
      <c r="D596" s="1293"/>
    </row>
    <row r="597" spans="1:4" ht="12.75" customHeight="1" x14ac:dyDescent="0.35">
      <c r="A597" s="1290"/>
      <c r="B597" s="1290"/>
      <c r="C597" s="1290" t="s">
        <v>3763</v>
      </c>
      <c r="D597" s="1293"/>
    </row>
    <row r="598" spans="1:4" ht="12.75" customHeight="1" x14ac:dyDescent="0.35">
      <c r="A598" s="1290"/>
      <c r="B598" s="1290"/>
      <c r="C598" s="1292" t="s">
        <v>5184</v>
      </c>
      <c r="D598" s="1293"/>
    </row>
    <row r="599" spans="1:4" ht="12.75" customHeight="1" x14ac:dyDescent="0.35">
      <c r="A599" s="1290"/>
      <c r="B599" s="1290"/>
      <c r="C599" s="1290" t="s">
        <v>3765</v>
      </c>
      <c r="D599" s="1293"/>
    </row>
    <row r="600" spans="1:4" ht="12.75" customHeight="1" x14ac:dyDescent="0.35">
      <c r="A600" s="1290"/>
      <c r="B600" s="1290"/>
      <c r="C600" s="1290" t="s">
        <v>3766</v>
      </c>
      <c r="D600" s="1293"/>
    </row>
    <row r="601" spans="1:4" ht="12.75" customHeight="1" x14ac:dyDescent="0.35">
      <c r="A601" s="1290"/>
      <c r="B601" s="1290"/>
      <c r="C601" s="1290" t="s">
        <v>3763</v>
      </c>
      <c r="D601" s="1293"/>
    </row>
    <row r="602" spans="1:4" ht="12.75" customHeight="1" x14ac:dyDescent="0.35">
      <c r="A602" s="1290"/>
      <c r="B602" s="1290"/>
      <c r="C602" s="1292" t="s">
        <v>5185</v>
      </c>
      <c r="D602" s="1293"/>
    </row>
    <row r="603" spans="1:4" ht="12.75" customHeight="1" x14ac:dyDescent="0.35">
      <c r="A603" s="1290"/>
      <c r="B603" s="1290"/>
      <c r="C603" s="1290" t="s">
        <v>3765</v>
      </c>
      <c r="D603" s="1293"/>
    </row>
    <row r="604" spans="1:4" ht="12.75" customHeight="1" x14ac:dyDescent="0.35">
      <c r="A604" s="1290"/>
      <c r="B604" s="1290"/>
      <c r="C604" s="1290" t="s">
        <v>3766</v>
      </c>
      <c r="D604" s="1293"/>
    </row>
    <row r="605" spans="1:4" ht="12.75" customHeight="1" x14ac:dyDescent="0.35">
      <c r="A605" s="1290"/>
      <c r="B605" s="1290"/>
      <c r="C605" s="1290" t="s">
        <v>3763</v>
      </c>
      <c r="D605" s="1293"/>
    </row>
    <row r="606" spans="1:4" ht="12.75" customHeight="1" x14ac:dyDescent="0.35">
      <c r="A606" s="1290"/>
      <c r="B606" s="1290"/>
      <c r="C606" s="1292" t="s">
        <v>5186</v>
      </c>
      <c r="D606" s="1293"/>
    </row>
    <row r="607" spans="1:4" ht="12.75" customHeight="1" x14ac:dyDescent="0.35">
      <c r="A607" s="1290"/>
      <c r="B607" s="1290"/>
      <c r="C607" s="1290" t="s">
        <v>3765</v>
      </c>
      <c r="D607" s="1293"/>
    </row>
    <row r="608" spans="1:4" ht="12.75" customHeight="1" x14ac:dyDescent="0.35">
      <c r="A608" s="1290"/>
      <c r="B608" s="1290"/>
      <c r="C608" s="1290" t="s">
        <v>3766</v>
      </c>
      <c r="D608" s="1293"/>
    </row>
    <row r="609" spans="1:4" ht="12.75" customHeight="1" x14ac:dyDescent="0.35">
      <c r="A609" s="1290"/>
      <c r="B609" s="1290"/>
      <c r="C609" s="1290" t="s">
        <v>3763</v>
      </c>
      <c r="D609" s="1293"/>
    </row>
    <row r="610" spans="1:4" ht="12.75" customHeight="1" x14ac:dyDescent="0.35">
      <c r="A610" s="1290"/>
      <c r="B610" s="1290"/>
      <c r="C610" s="1292" t="s">
        <v>5187</v>
      </c>
      <c r="D610" s="1293"/>
    </row>
    <row r="611" spans="1:4" ht="12.75" customHeight="1" x14ac:dyDescent="0.35">
      <c r="A611" s="1290"/>
      <c r="B611" s="1290"/>
      <c r="C611" s="1290" t="s">
        <v>3765</v>
      </c>
      <c r="D611" s="1293"/>
    </row>
    <row r="612" spans="1:4" ht="12.75" customHeight="1" x14ac:dyDescent="0.35">
      <c r="A612" s="1290"/>
      <c r="B612" s="1290"/>
      <c r="C612" s="1290" t="s">
        <v>3766</v>
      </c>
      <c r="D612" s="1293"/>
    </row>
    <row r="613" spans="1:4" ht="12.75" customHeight="1" x14ac:dyDescent="0.35">
      <c r="A613" s="1290"/>
      <c r="B613" s="1290"/>
      <c r="C613" s="1289" t="s">
        <v>5432</v>
      </c>
      <c r="D613" s="1293"/>
    </row>
    <row r="614" spans="1:4" ht="12.75" customHeight="1" x14ac:dyDescent="0.35">
      <c r="A614" s="1290"/>
      <c r="B614" s="1290"/>
      <c r="C614" s="1289" t="s">
        <v>5438</v>
      </c>
      <c r="D614" s="1293"/>
    </row>
    <row r="615" spans="1:4" ht="12.75" customHeight="1" x14ac:dyDescent="0.35">
      <c r="A615" s="1290"/>
      <c r="B615" s="1290"/>
      <c r="C615" s="1290" t="s">
        <v>3767</v>
      </c>
      <c r="D615" s="1293"/>
    </row>
    <row r="616" spans="1:4" ht="12.75" customHeight="1" x14ac:dyDescent="0.35">
      <c r="A616" s="1290"/>
      <c r="B616" s="1290"/>
      <c r="C616" s="1290" t="s">
        <v>3768</v>
      </c>
      <c r="D616" s="1293"/>
    </row>
    <row r="617" spans="1:4" ht="12.75" customHeight="1" x14ac:dyDescent="0.35">
      <c r="A617" s="1290"/>
      <c r="B617" s="1290"/>
      <c r="C617" s="1289" t="s">
        <v>5433</v>
      </c>
      <c r="D617" s="1293"/>
    </row>
    <row r="618" spans="1:4" ht="12.75" customHeight="1" x14ac:dyDescent="0.35">
      <c r="A618" s="1290"/>
      <c r="B618" s="1290"/>
      <c r="C618" s="1289" t="s">
        <v>5436</v>
      </c>
      <c r="D618" s="1293"/>
    </row>
    <row r="619" spans="1:4" ht="12.75" customHeight="1" x14ac:dyDescent="0.35">
      <c r="A619" s="1290"/>
      <c r="B619" s="1290"/>
      <c r="C619" s="1290" t="s">
        <v>3769</v>
      </c>
      <c r="D619" s="1293"/>
    </row>
    <row r="620" spans="1:4" ht="12.75" customHeight="1" x14ac:dyDescent="0.35">
      <c r="A620" s="1290"/>
      <c r="B620" s="1290" t="s">
        <v>3770</v>
      </c>
      <c r="C620" s="1290"/>
      <c r="D620" s="1290"/>
    </row>
    <row r="621" spans="1:4" ht="12.75" customHeight="1" x14ac:dyDescent="0.35">
      <c r="A621" s="1290"/>
      <c r="B621" s="1290" t="s">
        <v>3771</v>
      </c>
      <c r="C621" s="1290"/>
      <c r="D621" s="1290"/>
    </row>
    <row r="622" spans="1:4" ht="12.75" customHeight="1" x14ac:dyDescent="0.35">
      <c r="A622" s="1290"/>
      <c r="B622" s="1290"/>
      <c r="C622" s="1290"/>
      <c r="D622" s="1290"/>
    </row>
    <row r="623" spans="1:4" ht="12.75" customHeight="1" x14ac:dyDescent="0.35">
      <c r="A623" s="1290"/>
      <c r="B623" s="1290"/>
      <c r="C623" s="1290"/>
      <c r="D623" s="1290"/>
    </row>
    <row r="624" spans="1:4" ht="12.75" customHeight="1" x14ac:dyDescent="0.35">
      <c r="A624" s="1290"/>
      <c r="B624" s="1290"/>
      <c r="C624" s="1290"/>
      <c r="D624" s="1290"/>
    </row>
    <row r="625" spans="1:4" ht="12.75" customHeight="1" x14ac:dyDescent="0.35">
      <c r="A625" s="1290"/>
      <c r="B625" s="1290" t="s">
        <v>3772</v>
      </c>
      <c r="C625" s="1290"/>
      <c r="D625" s="1290"/>
    </row>
    <row r="626" spans="1:4" ht="12.75" customHeight="1" x14ac:dyDescent="0.35">
      <c r="A626" s="1290"/>
      <c r="B626" s="1290"/>
      <c r="C626" s="1290"/>
      <c r="D626" s="1290"/>
    </row>
    <row r="627" spans="1:4" ht="12.75" customHeight="1" x14ac:dyDescent="0.35">
      <c r="A627" s="1290"/>
      <c r="B627" s="1290" t="s">
        <v>3653</v>
      </c>
      <c r="C627" s="1290"/>
      <c r="D627" s="1290"/>
    </row>
    <row r="628" spans="1:4" ht="12.75" customHeight="1" x14ac:dyDescent="0.35">
      <c r="A628" s="1290"/>
      <c r="B628" s="1290" t="s">
        <v>3773</v>
      </c>
      <c r="C628" s="1290"/>
      <c r="D628" s="1290"/>
    </row>
    <row r="629" spans="1:4" ht="12.75" customHeight="1" x14ac:dyDescent="0.35">
      <c r="A629" s="1290"/>
      <c r="B629" s="1290"/>
      <c r="C629" s="1290" t="s">
        <v>3774</v>
      </c>
      <c r="D629" s="1290"/>
    </row>
    <row r="630" spans="1:4" ht="12.75" customHeight="1" x14ac:dyDescent="0.35">
      <c r="A630" s="1290"/>
      <c r="B630" s="1290"/>
      <c r="C630" s="1290"/>
      <c r="D630" s="1290"/>
    </row>
    <row r="631" spans="1:4" ht="12.75" customHeight="1" x14ac:dyDescent="0.35">
      <c r="A631" s="1290"/>
      <c r="B631" s="1290"/>
      <c r="C631" s="1290"/>
      <c r="D631" s="1290"/>
    </row>
    <row r="632" spans="1:4" ht="12.75" customHeight="1" x14ac:dyDescent="0.35">
      <c r="A632" s="1290"/>
      <c r="B632" s="1290"/>
      <c r="C632" s="1290"/>
      <c r="D632" s="1290"/>
    </row>
    <row r="633" spans="1:4" ht="12.75" customHeight="1" x14ac:dyDescent="0.35">
      <c r="A633" s="1290"/>
      <c r="B633" s="1290"/>
      <c r="C633" s="1290"/>
      <c r="D633" s="1290"/>
    </row>
    <row r="634" spans="1:4" ht="12.75" customHeight="1" x14ac:dyDescent="0.35">
      <c r="A634" s="1290"/>
      <c r="B634" s="1290"/>
      <c r="C634" s="1290"/>
      <c r="D634" s="1290"/>
    </row>
    <row r="635" spans="1:4" ht="12.75" customHeight="1" x14ac:dyDescent="0.35">
      <c r="A635" s="1290"/>
      <c r="B635" s="1290"/>
      <c r="C635" s="1290"/>
      <c r="D635" s="1290"/>
    </row>
    <row r="636" spans="1:4" ht="12.75" customHeight="1" x14ac:dyDescent="0.35">
      <c r="A636" s="1290"/>
      <c r="B636" s="1290"/>
      <c r="C636" s="1290"/>
      <c r="D636" s="1290"/>
    </row>
    <row r="637" spans="1:4" ht="12.75" customHeight="1" x14ac:dyDescent="0.35">
      <c r="A637" s="1290"/>
      <c r="B637" s="1290"/>
      <c r="C637" s="1290"/>
      <c r="D637" s="1290"/>
    </row>
    <row r="638" spans="1:4" ht="12.75" customHeight="1" x14ac:dyDescent="0.35">
      <c r="A638" s="1290"/>
      <c r="B638" s="1290"/>
      <c r="C638" s="1290"/>
      <c r="D638" s="1290"/>
    </row>
    <row r="639" spans="1:4" ht="12.75" customHeight="1" x14ac:dyDescent="0.35">
      <c r="A639" s="1290"/>
      <c r="B639" s="1290"/>
      <c r="C639" s="1290"/>
      <c r="D639" s="1290"/>
    </row>
    <row r="640" spans="1:4" ht="12.75" customHeight="1" x14ac:dyDescent="0.35">
      <c r="A640" s="1290"/>
      <c r="B640" s="1290"/>
      <c r="C640" s="1290" t="s">
        <v>3702</v>
      </c>
      <c r="D640" s="1290"/>
    </row>
    <row r="641" spans="1:4" ht="12.75" customHeight="1" x14ac:dyDescent="0.35">
      <c r="A641" s="1290"/>
      <c r="B641" s="1290"/>
      <c r="C641" s="1290"/>
      <c r="D641" s="1290"/>
    </row>
    <row r="642" spans="1:4" ht="12.75" customHeight="1" x14ac:dyDescent="0.35">
      <c r="A642" s="1290"/>
      <c r="B642" s="1290"/>
      <c r="C642" s="1290"/>
      <c r="D642" s="1290"/>
    </row>
    <row r="643" spans="1:4" ht="12.75" customHeight="1" x14ac:dyDescent="0.35">
      <c r="A643" s="1290"/>
      <c r="B643" s="1290"/>
      <c r="C643" s="1290"/>
      <c r="D643" s="1290"/>
    </row>
    <row r="644" spans="1:4" ht="12.75" customHeight="1" x14ac:dyDescent="0.35">
      <c r="A644" s="1290"/>
      <c r="B644" s="1290"/>
      <c r="C644" s="1290"/>
      <c r="D644" s="1290"/>
    </row>
    <row r="645" spans="1:4" ht="12.75" customHeight="1" x14ac:dyDescent="0.35">
      <c r="A645" s="1290"/>
      <c r="B645" s="1290"/>
      <c r="C645" s="1290"/>
      <c r="D645" s="1290"/>
    </row>
    <row r="646" spans="1:4" ht="12.75" customHeight="1" x14ac:dyDescent="0.35">
      <c r="A646" s="1290"/>
      <c r="B646" s="1290"/>
      <c r="C646" s="1290"/>
      <c r="D646" s="1290"/>
    </row>
    <row r="647" spans="1:4" ht="12.75" customHeight="1" x14ac:dyDescent="0.35">
      <c r="A647" s="1290"/>
      <c r="B647" s="1290"/>
      <c r="C647" s="1290"/>
      <c r="D647" s="1290"/>
    </row>
    <row r="648" spans="1:4" ht="12.75" customHeight="1" x14ac:dyDescent="0.35">
      <c r="A648" s="1290"/>
      <c r="B648" s="1290"/>
      <c r="C648" s="1290"/>
      <c r="D648" s="1290"/>
    </row>
    <row r="649" spans="1:4" ht="12.75" customHeight="1" x14ac:dyDescent="0.35">
      <c r="A649" s="1290"/>
      <c r="B649" s="1290"/>
      <c r="C649" s="1290"/>
      <c r="D649" s="1290"/>
    </row>
    <row r="650" spans="1:4" ht="12.75" customHeight="1" x14ac:dyDescent="0.35">
      <c r="A650" s="1290"/>
      <c r="B650" s="1290"/>
      <c r="C650" s="1290"/>
      <c r="D650" s="1290"/>
    </row>
    <row r="651" spans="1:4" ht="12.75" customHeight="1" x14ac:dyDescent="0.35">
      <c r="A651" s="1290"/>
      <c r="B651" s="1290"/>
      <c r="C651" s="1290" t="s">
        <v>3708</v>
      </c>
      <c r="D651" s="1290"/>
    </row>
    <row r="652" spans="1:4" ht="12.75" customHeight="1" x14ac:dyDescent="0.35">
      <c r="A652" s="1290"/>
      <c r="B652" s="1290"/>
      <c r="C652" s="1290"/>
      <c r="D652" s="1290"/>
    </row>
    <row r="653" spans="1:4" ht="12.75" customHeight="1" x14ac:dyDescent="0.35">
      <c r="A653" s="1290"/>
      <c r="B653" s="1290"/>
      <c r="C653" s="1290"/>
      <c r="D653" s="1290"/>
    </row>
    <row r="654" spans="1:4" ht="12.75" customHeight="1" x14ac:dyDescent="0.35">
      <c r="A654" s="1290"/>
      <c r="B654" s="1290"/>
      <c r="C654" s="1290"/>
      <c r="D654" s="1290"/>
    </row>
    <row r="655" spans="1:4" ht="12.75" customHeight="1" x14ac:dyDescent="0.35">
      <c r="A655" s="1290"/>
      <c r="B655" s="1290"/>
      <c r="C655" s="1290"/>
      <c r="D655" s="1290"/>
    </row>
    <row r="656" spans="1:4" ht="12.75" customHeight="1" x14ac:dyDescent="0.35">
      <c r="A656" s="1290"/>
      <c r="B656" s="1290"/>
      <c r="C656" s="1290"/>
      <c r="D656" s="1290"/>
    </row>
    <row r="657" spans="1:4" ht="12.75" customHeight="1" x14ac:dyDescent="0.35">
      <c r="A657" s="1290"/>
      <c r="B657" s="1290"/>
      <c r="C657" s="1290"/>
      <c r="D657" s="1290"/>
    </row>
    <row r="658" spans="1:4" ht="12.75" customHeight="1" x14ac:dyDescent="0.35">
      <c r="A658" s="1290"/>
      <c r="B658" s="1290"/>
      <c r="C658" s="1290"/>
      <c r="D658" s="1290"/>
    </row>
    <row r="659" spans="1:4" ht="12.75" customHeight="1" x14ac:dyDescent="0.35">
      <c r="A659" s="1290"/>
      <c r="B659" s="1290"/>
      <c r="C659" s="1290"/>
      <c r="D659" s="1290"/>
    </row>
    <row r="660" spans="1:4" ht="12.75" customHeight="1" x14ac:dyDescent="0.35">
      <c r="A660" s="1290"/>
      <c r="B660" s="1290"/>
      <c r="C660" s="1290"/>
      <c r="D660" s="1290"/>
    </row>
    <row r="661" spans="1:4" ht="12.75" customHeight="1" x14ac:dyDescent="0.35">
      <c r="A661" s="1290"/>
      <c r="B661" s="1290"/>
      <c r="C661" s="1290"/>
      <c r="D661" s="1290"/>
    </row>
    <row r="662" spans="1:4" ht="12.75" customHeight="1" x14ac:dyDescent="0.35">
      <c r="A662" s="1290"/>
      <c r="B662" s="1290"/>
      <c r="C662" s="1290" t="s">
        <v>3719</v>
      </c>
      <c r="D662" s="1290"/>
    </row>
    <row r="663" spans="1:4" ht="12.75" customHeight="1" x14ac:dyDescent="0.35">
      <c r="A663" s="1290"/>
      <c r="B663" s="1290"/>
      <c r="C663" s="1290"/>
      <c r="D663" s="1290"/>
    </row>
    <row r="664" spans="1:4" ht="12.75" customHeight="1" x14ac:dyDescent="0.35">
      <c r="A664" s="1290"/>
      <c r="B664" s="1290"/>
      <c r="C664" s="1290" t="s">
        <v>3770</v>
      </c>
      <c r="D664" s="1290"/>
    </row>
    <row r="665" spans="1:4" ht="12.75" customHeight="1" x14ac:dyDescent="0.35">
      <c r="A665" s="1290"/>
      <c r="B665" s="1290"/>
      <c r="C665" s="1290"/>
      <c r="D665" s="1290"/>
    </row>
    <row r="666" spans="1:4" ht="12.75" customHeight="1" x14ac:dyDescent="0.35">
      <c r="A666" s="1290"/>
      <c r="B666" s="1290"/>
      <c r="C666" s="1290"/>
      <c r="D666" s="1290"/>
    </row>
    <row r="667" spans="1:4" ht="12.75" customHeight="1" x14ac:dyDescent="0.35">
      <c r="A667" s="1290"/>
      <c r="B667" s="1290"/>
      <c r="C667" s="1290"/>
      <c r="D667" s="1290"/>
    </row>
    <row r="668" spans="1:4" ht="12.75" customHeight="1" x14ac:dyDescent="0.35">
      <c r="A668" s="1290"/>
      <c r="B668" s="1290" t="s">
        <v>3773</v>
      </c>
      <c r="C668" s="1290"/>
      <c r="D668" s="1290"/>
    </row>
    <row r="669" spans="1:4" ht="12.75" customHeight="1" x14ac:dyDescent="0.35">
      <c r="A669" s="1290"/>
      <c r="B669" s="1290" t="s">
        <v>3775</v>
      </c>
      <c r="C669" s="1290"/>
      <c r="D669" s="1290"/>
    </row>
    <row r="670" spans="1:4" ht="12.75" customHeight="1" x14ac:dyDescent="0.35">
      <c r="A670" s="1290"/>
      <c r="B670" s="1290" t="s">
        <v>3776</v>
      </c>
      <c r="C670" s="1290"/>
      <c r="D670" s="1290"/>
    </row>
    <row r="671" spans="1:4" ht="12.75" customHeight="1" x14ac:dyDescent="0.35">
      <c r="A671" s="1290"/>
      <c r="B671" s="1290" t="s">
        <v>3777</v>
      </c>
      <c r="C671" s="1290"/>
      <c r="D671" s="1290"/>
    </row>
    <row r="672" spans="1:4" ht="12.75" customHeight="1" x14ac:dyDescent="0.35">
      <c r="A672" s="1290"/>
      <c r="B672" s="1290"/>
      <c r="C672" s="1290" t="s">
        <v>3778</v>
      </c>
      <c r="D672" s="1290"/>
    </row>
    <row r="673" spans="1:4" ht="12.75" customHeight="1" x14ac:dyDescent="0.35">
      <c r="A673" s="1290"/>
      <c r="B673" s="1290"/>
      <c r="C673" s="1290"/>
      <c r="D673" s="1290"/>
    </row>
    <row r="674" spans="1:4" ht="12.75" customHeight="1" x14ac:dyDescent="0.35">
      <c r="A674" s="1290"/>
      <c r="B674" s="1290"/>
      <c r="C674" s="1290" t="s">
        <v>3779</v>
      </c>
      <c r="D674" s="1290"/>
    </row>
    <row r="675" spans="1:4" ht="12.75" customHeight="1" x14ac:dyDescent="0.35">
      <c r="A675" s="1290"/>
      <c r="B675" s="1290" t="str">
        <f>"Свободный Денежный Поток "&amp;IF(FCFEinUse&lt;&gt;1,"(FCF)","для компании (FCFF)")</f>
        <v>Свободный Денежный Поток (FCF)</v>
      </c>
      <c r="C675" s="1290"/>
      <c r="D675" s="1290"/>
    </row>
    <row r="676" spans="1:4" ht="12.75" customHeight="1" x14ac:dyDescent="0.35">
      <c r="A676" s="1290"/>
      <c r="B676" s="1290" t="str">
        <f>"Дисконтированный Свободный Денежный Поток "&amp;IF(FCFEinUse&lt;&gt;1,"(DFCF)","для компании (DFCFF)")</f>
        <v>Дисконтированный Свободный Денежный Поток (DFCF)</v>
      </c>
      <c r="C676" s="1290"/>
      <c r="D676" s="1290"/>
    </row>
    <row r="677" spans="1:4" ht="12.75" customHeight="1" x14ac:dyDescent="0.35">
      <c r="A677" s="1290"/>
      <c r="B677" s="1290" t="str">
        <f>"Кумулятивный Дисконт. Свободный Денежный Поток"&amp;IF(FCFEinUse&lt;&gt;1,""," для компании")</f>
        <v>Кумулятивный Дисконт. Свободный Денежный Поток</v>
      </c>
      <c r="C677" s="1290"/>
      <c r="D677" s="1290"/>
    </row>
    <row r="678" spans="1:4" ht="12.75" customHeight="1" x14ac:dyDescent="0.35">
      <c r="A678" s="1290"/>
      <c r="B678" s="1290" t="s">
        <v>3780</v>
      </c>
      <c r="C678" s="1290"/>
      <c r="D678" s="1290"/>
    </row>
    <row r="679" spans="1:4" ht="12.75" customHeight="1" x14ac:dyDescent="0.35">
      <c r="A679" s="1290"/>
      <c r="B679" s="1290" t="s">
        <v>3781</v>
      </c>
      <c r="C679" s="1290"/>
      <c r="D679" s="1290"/>
    </row>
    <row r="680" spans="1:4" ht="12.75" customHeight="1" x14ac:dyDescent="0.35">
      <c r="A680" s="1290"/>
      <c r="B680" s="1290" t="s">
        <v>3782</v>
      </c>
      <c r="C680" s="1290"/>
      <c r="D680" s="1290"/>
    </row>
    <row r="681" spans="1:4" ht="12.75" customHeight="1" x14ac:dyDescent="0.35">
      <c r="A681" s="1290"/>
      <c r="B681" s="1290" t="s">
        <v>3783</v>
      </c>
      <c r="C681" s="1290"/>
      <c r="D681" s="1290"/>
    </row>
    <row r="682" spans="1:4" ht="12.75" customHeight="1" x14ac:dyDescent="0.35">
      <c r="A682" s="1290"/>
      <c r="B682" s="1290"/>
      <c r="C682" s="1290" t="s">
        <v>3716</v>
      </c>
      <c r="D682" s="1290"/>
    </row>
    <row r="683" spans="1:4" ht="12.75" customHeight="1" x14ac:dyDescent="0.35">
      <c r="A683" s="1290"/>
      <c r="B683" s="1290"/>
      <c r="C683" s="1290" t="s">
        <v>3784</v>
      </c>
      <c r="D683" s="1290"/>
    </row>
    <row r="684" spans="1:4" ht="12.75" customHeight="1" x14ac:dyDescent="0.35">
      <c r="A684" s="1290"/>
      <c r="B684" s="1290"/>
      <c r="C684" s="1290" t="s">
        <v>3785</v>
      </c>
      <c r="D684" s="1290"/>
    </row>
    <row r="685" spans="1:4" ht="12.75" customHeight="1" x14ac:dyDescent="0.35">
      <c r="A685" s="1290"/>
      <c r="B685" s="1290"/>
      <c r="C685" s="1290" t="s">
        <v>3786</v>
      </c>
      <c r="D685" s="1290"/>
    </row>
    <row r="686" spans="1:4" ht="12.75" customHeight="1" x14ac:dyDescent="0.35">
      <c r="A686" s="1290"/>
      <c r="B686" s="1290"/>
      <c r="C686" s="1290" t="str">
        <f>C684</f>
        <v>Долгосрочная задолж., увелич.(+) / уменьш.(-)</v>
      </c>
      <c r="D686" s="1290"/>
    </row>
    <row r="687" spans="1:4" ht="12.75" customHeight="1" x14ac:dyDescent="0.35">
      <c r="A687" s="1290"/>
      <c r="B687" s="1290"/>
      <c r="C687" s="1290" t="s">
        <v>3787</v>
      </c>
      <c r="D687" s="1290"/>
    </row>
    <row r="688" spans="1:4" ht="12.75" customHeight="1" x14ac:dyDescent="0.35">
      <c r="A688" s="1290"/>
      <c r="B688" s="1290"/>
      <c r="C688" s="1290" t="s">
        <v>3788</v>
      </c>
      <c r="D688" s="1290"/>
    </row>
    <row r="689" spans="1:4" ht="12.75" customHeight="1" x14ac:dyDescent="0.35">
      <c r="A689" s="1290"/>
      <c r="B689" s="1290"/>
      <c r="C689" s="1289" t="s">
        <v>5434</v>
      </c>
      <c r="D689" s="1290"/>
    </row>
    <row r="690" spans="1:4" ht="12.75" customHeight="1" x14ac:dyDescent="0.35">
      <c r="A690" s="1290"/>
      <c r="B690" s="1290"/>
      <c r="C690" s="1290" t="s">
        <v>3789</v>
      </c>
      <c r="D690" s="1290"/>
    </row>
    <row r="691" spans="1:4" ht="12.75" customHeight="1" x14ac:dyDescent="0.35">
      <c r="A691" s="1290"/>
      <c r="B691" s="1290"/>
      <c r="C691" s="1290" t="s">
        <v>3790</v>
      </c>
      <c r="D691" s="1290"/>
    </row>
    <row r="692" spans="1:4" ht="12.75" customHeight="1" x14ac:dyDescent="0.35">
      <c r="A692" s="1290"/>
      <c r="B692" s="1290" t="s">
        <v>3791</v>
      </c>
      <c r="C692" s="1290"/>
      <c r="D692" s="1290"/>
    </row>
    <row r="693" spans="1:4" ht="12.75" customHeight="1" x14ac:dyDescent="0.35">
      <c r="A693" s="1290"/>
      <c r="B693" s="1290" t="s">
        <v>3792</v>
      </c>
      <c r="C693" s="1290"/>
      <c r="D693" s="1290"/>
    </row>
    <row r="694" spans="1:4" ht="12.75" customHeight="1" x14ac:dyDescent="0.35">
      <c r="A694" s="1290"/>
      <c r="B694" s="1290" t="s">
        <v>3793</v>
      </c>
      <c r="C694" s="1290"/>
      <c r="D694" s="1290"/>
    </row>
    <row r="695" spans="1:4" ht="12.75" customHeight="1" x14ac:dyDescent="0.35">
      <c r="A695" s="1290"/>
      <c r="B695" s="1290" t="s">
        <v>3794</v>
      </c>
      <c r="C695" s="1290"/>
      <c r="D695" s="1290"/>
    </row>
    <row r="696" spans="1:4" ht="12.75" customHeight="1" x14ac:dyDescent="0.35">
      <c r="A696" s="1290"/>
      <c r="B696" s="1290"/>
      <c r="C696" s="1290" t="s">
        <v>3795</v>
      </c>
      <c r="D696" s="1290"/>
    </row>
    <row r="697" spans="1:4" ht="12.75" customHeight="1" x14ac:dyDescent="0.35">
      <c r="A697" s="1290"/>
      <c r="B697" s="1290"/>
      <c r="C697" s="1290" t="s">
        <v>3796</v>
      </c>
      <c r="D697" s="1290"/>
    </row>
    <row r="698" spans="1:4" ht="12.75" customHeight="1" x14ac:dyDescent="0.35">
      <c r="A698" s="1290"/>
      <c r="B698" s="1290"/>
      <c r="C698" s="1290" t="s">
        <v>3797</v>
      </c>
      <c r="D698" s="1290"/>
    </row>
    <row r="699" spans="1:4" ht="12.75" customHeight="1" x14ac:dyDescent="0.35">
      <c r="A699" s="1290"/>
      <c r="B699" s="1290"/>
      <c r="C699" s="1290" t="s">
        <v>3798</v>
      </c>
      <c r="D699" s="1290"/>
    </row>
    <row r="700" spans="1:4" ht="12.75" customHeight="1" x14ac:dyDescent="0.35">
      <c r="A700" s="1290"/>
      <c r="B700" s="1290"/>
      <c r="C700" s="1290" t="s">
        <v>3799</v>
      </c>
      <c r="D700" s="1290"/>
    </row>
    <row r="701" spans="1:4" ht="12.75" customHeight="1" x14ac:dyDescent="0.35">
      <c r="A701" s="1290"/>
      <c r="B701" s="1291"/>
      <c r="C701" s="1290" t="s">
        <v>3800</v>
      </c>
      <c r="D701" s="1290"/>
    </row>
    <row r="702" spans="1:4" ht="12.75" customHeight="1" x14ac:dyDescent="0.35">
      <c r="A702" s="1290"/>
      <c r="B702" s="1290" t="s">
        <v>3801</v>
      </c>
      <c r="C702" s="1290"/>
      <c r="D702" s="1290"/>
    </row>
    <row r="703" spans="1:4" ht="12.75" customHeight="1" x14ac:dyDescent="0.35">
      <c r="A703" s="1290"/>
      <c r="B703" s="1290" t="s">
        <v>3802</v>
      </c>
      <c r="C703" s="1290"/>
      <c r="D703" s="1290"/>
    </row>
    <row r="704" spans="1:4" ht="12.75" customHeight="1" x14ac:dyDescent="0.35">
      <c r="A704" s="1290"/>
      <c r="B704" s="1290"/>
      <c r="C704" s="1290"/>
      <c r="D704" s="1290"/>
    </row>
    <row r="705" spans="1:4" ht="12.75" customHeight="1" x14ac:dyDescent="0.35">
      <c r="A705" s="1290"/>
      <c r="B705" s="1290"/>
      <c r="C705" s="1290"/>
      <c r="D705" s="1290"/>
    </row>
    <row r="706" spans="1:4" ht="12.75" customHeight="1" x14ac:dyDescent="0.35">
      <c r="A706" s="1290"/>
      <c r="B706" s="1290"/>
      <c r="C706" s="1290"/>
      <c r="D706" s="1290"/>
    </row>
    <row r="707" spans="1:4" ht="12.75" customHeight="1" x14ac:dyDescent="0.35">
      <c r="A707" s="1290"/>
      <c r="B707" s="1290" t="s">
        <v>3803</v>
      </c>
      <c r="C707" s="1290"/>
      <c r="D707" s="1290"/>
    </row>
    <row r="708" spans="1:4" ht="12.75" customHeight="1" x14ac:dyDescent="0.35">
      <c r="A708" s="1290"/>
      <c r="B708" s="1290"/>
      <c r="C708" s="1290"/>
      <c r="D708" s="1290"/>
    </row>
    <row r="709" spans="1:4" ht="12.75" customHeight="1" x14ac:dyDescent="0.35">
      <c r="A709" s="1290"/>
      <c r="B709" s="1290" t="s">
        <v>3653</v>
      </c>
      <c r="C709" s="1290"/>
      <c r="D709" s="1290"/>
    </row>
    <row r="710" spans="1:4" ht="12.75" customHeight="1" x14ac:dyDescent="0.35">
      <c r="A710" s="1290"/>
      <c r="B710" s="1290" t="s">
        <v>3804</v>
      </c>
      <c r="C710" s="1290"/>
      <c r="D710" s="1290" t="s">
        <v>3805</v>
      </c>
    </row>
    <row r="711" spans="1:4" ht="12.75" customHeight="1" x14ac:dyDescent="0.35">
      <c r="A711" s="1290"/>
      <c r="B711" s="1290" t="s">
        <v>3806</v>
      </c>
      <c r="C711" s="1290"/>
      <c r="D711" s="1290"/>
    </row>
    <row r="712" spans="1:4" ht="12.75" customHeight="1" x14ac:dyDescent="0.35">
      <c r="A712" s="1290"/>
      <c r="B712" s="1290"/>
      <c r="C712" s="1290" t="s">
        <v>3807</v>
      </c>
      <c r="D712" s="1290"/>
    </row>
    <row r="713" spans="1:4" ht="12.75" customHeight="1" x14ac:dyDescent="0.35">
      <c r="A713" s="1290"/>
      <c r="B713" s="1290"/>
      <c r="C713" s="1290" t="s">
        <v>3808</v>
      </c>
      <c r="D713" s="1290"/>
    </row>
    <row r="714" spans="1:4" ht="12.75" customHeight="1" x14ac:dyDescent="0.35">
      <c r="A714" s="1290"/>
      <c r="B714" s="1290"/>
      <c r="C714" s="1290" t="s">
        <v>3809</v>
      </c>
      <c r="D714" s="1290"/>
    </row>
    <row r="715" spans="1:4" ht="12.75" customHeight="1" x14ac:dyDescent="0.35">
      <c r="A715" s="1290"/>
      <c r="B715" s="1290"/>
      <c r="C715" s="1290" t="s">
        <v>3808</v>
      </c>
      <c r="D715" s="1290"/>
    </row>
    <row r="716" spans="1:4" ht="12.75" customHeight="1" x14ac:dyDescent="0.35">
      <c r="A716" s="1290"/>
      <c r="B716" s="1290"/>
      <c r="C716" s="1290" t="s">
        <v>3810</v>
      </c>
      <c r="D716" s="1290"/>
    </row>
    <row r="717" spans="1:4" ht="12.75" customHeight="1" x14ac:dyDescent="0.35">
      <c r="A717" s="1290"/>
      <c r="B717" s="1290"/>
      <c r="C717" s="1290" t="s">
        <v>3811</v>
      </c>
      <c r="D717" s="1290"/>
    </row>
    <row r="718" spans="1:4" ht="12.75" customHeight="1" x14ac:dyDescent="0.35">
      <c r="A718" s="1290"/>
      <c r="B718" s="1290"/>
      <c r="C718" s="1290" t="s">
        <v>3812</v>
      </c>
      <c r="D718" s="1290"/>
    </row>
    <row r="719" spans="1:4" ht="12.75" customHeight="1" x14ac:dyDescent="0.35">
      <c r="A719" s="1290"/>
      <c r="B719" s="1290"/>
      <c r="C719" s="1290" t="s">
        <v>3813</v>
      </c>
      <c r="D719" s="1290"/>
    </row>
    <row r="720" spans="1:4" ht="12.75" customHeight="1" x14ac:dyDescent="0.35">
      <c r="A720" s="1290"/>
      <c r="B720" s="1290"/>
      <c r="C720" s="1290" t="s">
        <v>3810</v>
      </c>
      <c r="D720" s="1290"/>
    </row>
    <row r="721" spans="1:4" ht="12.75" customHeight="1" x14ac:dyDescent="0.35">
      <c r="A721" s="1290"/>
      <c r="B721" s="1290"/>
      <c r="C721" s="1290" t="s">
        <v>3689</v>
      </c>
      <c r="D721" s="1290"/>
    </row>
    <row r="722" spans="1:4" ht="12.75" customHeight="1" x14ac:dyDescent="0.35">
      <c r="A722" s="1290"/>
      <c r="B722" s="1290"/>
      <c r="C722" s="1290" t="s">
        <v>3814</v>
      </c>
      <c r="D722" s="1290"/>
    </row>
    <row r="723" spans="1:4" ht="12.75" customHeight="1" x14ac:dyDescent="0.35">
      <c r="A723" s="1290"/>
      <c r="B723" s="1290"/>
      <c r="C723" s="1290" t="s">
        <v>3689</v>
      </c>
      <c r="D723" s="1290"/>
    </row>
    <row r="724" spans="1:4" ht="12.75" customHeight="1" x14ac:dyDescent="0.35">
      <c r="A724" s="1290"/>
      <c r="B724" s="1290"/>
      <c r="C724" s="1290" t="s">
        <v>3810</v>
      </c>
      <c r="D724" s="1290"/>
    </row>
    <row r="725" spans="1:4" ht="12.75" customHeight="1" x14ac:dyDescent="0.35">
      <c r="A725" s="1290"/>
      <c r="B725" s="1290"/>
      <c r="C725" s="1290" t="s">
        <v>3815</v>
      </c>
      <c r="D725" s="1290"/>
    </row>
    <row r="726" spans="1:4" ht="12.75" customHeight="1" x14ac:dyDescent="0.35">
      <c r="A726" s="1290"/>
      <c r="B726" s="1290"/>
      <c r="C726" s="1290" t="s">
        <v>3816</v>
      </c>
      <c r="D726" s="1290"/>
    </row>
    <row r="727" spans="1:4" ht="12.75" customHeight="1" x14ac:dyDescent="0.35">
      <c r="A727" s="1290"/>
      <c r="B727" s="1290"/>
      <c r="C727" s="1290" t="s">
        <v>3815</v>
      </c>
      <c r="D727" s="1290"/>
    </row>
    <row r="728" spans="1:4" ht="12.75" customHeight="1" x14ac:dyDescent="0.35">
      <c r="A728" s="1290"/>
      <c r="B728" s="1290"/>
      <c r="C728" s="1290" t="s">
        <v>3810</v>
      </c>
      <c r="D728" s="1290"/>
    </row>
    <row r="729" spans="1:4" ht="12.75" customHeight="1" x14ac:dyDescent="0.35">
      <c r="A729" s="1290"/>
      <c r="B729" s="1290"/>
      <c r="C729" s="1290" t="s">
        <v>3817</v>
      </c>
      <c r="D729" s="1290"/>
    </row>
    <row r="730" spans="1:4" ht="12.75" customHeight="1" x14ac:dyDescent="0.35">
      <c r="A730" s="1290"/>
      <c r="B730" s="1290"/>
      <c r="C730" s="1290" t="s">
        <v>3818</v>
      </c>
      <c r="D730" s="1290"/>
    </row>
    <row r="731" spans="1:4" ht="12.75" customHeight="1" x14ac:dyDescent="0.35">
      <c r="A731" s="1290"/>
      <c r="B731" s="1290"/>
      <c r="C731" s="1290" t="s">
        <v>3819</v>
      </c>
      <c r="D731" s="1290"/>
    </row>
    <row r="732" spans="1:4" ht="12.75" customHeight="1" x14ac:dyDescent="0.35">
      <c r="A732" s="1290"/>
      <c r="B732" s="1290"/>
      <c r="C732" s="1290" t="s">
        <v>3818</v>
      </c>
      <c r="D732" s="1290"/>
    </row>
    <row r="733" spans="1:4" ht="12.75" customHeight="1" x14ac:dyDescent="0.35">
      <c r="A733" s="1290"/>
      <c r="B733" s="1290"/>
      <c r="C733" s="1290" t="s">
        <v>3810</v>
      </c>
      <c r="D733" s="1290"/>
    </row>
    <row r="734" spans="1:4" ht="12.75" customHeight="1" x14ac:dyDescent="0.35">
      <c r="A734" s="1290"/>
      <c r="B734" s="1290"/>
      <c r="C734" s="1290" t="s">
        <v>3820</v>
      </c>
      <c r="D734" s="1290"/>
    </row>
    <row r="735" spans="1:4" ht="12.75" customHeight="1" x14ac:dyDescent="0.35">
      <c r="A735" s="1290"/>
      <c r="B735" s="1290"/>
      <c r="C735" s="1290" t="s">
        <v>3821</v>
      </c>
      <c r="D735" s="1290"/>
    </row>
    <row r="736" spans="1:4" ht="12.75" customHeight="1" x14ac:dyDescent="0.35">
      <c r="A736" s="1290"/>
      <c r="B736" s="1290"/>
      <c r="C736" s="1290" t="s">
        <v>3820</v>
      </c>
      <c r="D736" s="1290"/>
    </row>
    <row r="737" spans="1:4" ht="12.75" customHeight="1" x14ac:dyDescent="0.35">
      <c r="A737" s="1290"/>
      <c r="B737" s="1290"/>
      <c r="C737" s="1290" t="s">
        <v>3810</v>
      </c>
      <c r="D737" s="1290"/>
    </row>
    <row r="738" spans="1:4" ht="12.75" customHeight="1" x14ac:dyDescent="0.35">
      <c r="A738" s="1290"/>
      <c r="B738" s="1290"/>
      <c r="C738" s="1290" t="s">
        <v>3822</v>
      </c>
      <c r="D738" s="1290"/>
    </row>
    <row r="739" spans="1:4" ht="12.75" customHeight="1" x14ac:dyDescent="0.35">
      <c r="A739" s="1290"/>
      <c r="B739" s="1290"/>
      <c r="C739" s="1290" t="s">
        <v>3823</v>
      </c>
      <c r="D739" s="1290"/>
    </row>
    <row r="740" spans="1:4" ht="12.75" customHeight="1" x14ac:dyDescent="0.35">
      <c r="A740" s="1290"/>
      <c r="B740" s="1290"/>
      <c r="C740" s="1290" t="s">
        <v>3822</v>
      </c>
      <c r="D740" s="1290"/>
    </row>
    <row r="741" spans="1:4" ht="12.75" customHeight="1" x14ac:dyDescent="0.35">
      <c r="A741" s="1290"/>
      <c r="B741" s="1290"/>
      <c r="C741" s="1290" t="s">
        <v>3810</v>
      </c>
      <c r="D741" s="1290"/>
    </row>
    <row r="742" spans="1:4" ht="12.75" customHeight="1" x14ac:dyDescent="0.35">
      <c r="A742" s="1290"/>
      <c r="B742" s="1294"/>
      <c r="C742" s="1290" t="s">
        <v>3824</v>
      </c>
      <c r="D742" s="1290"/>
    </row>
    <row r="743" spans="1:4" ht="12.75" customHeight="1" x14ac:dyDescent="0.35">
      <c r="A743" s="1290"/>
      <c r="B743" s="1294"/>
      <c r="C743" s="1290" t="s">
        <v>3825</v>
      </c>
      <c r="D743" s="1290"/>
    </row>
    <row r="744" spans="1:4" ht="12.75" customHeight="1" x14ac:dyDescent="0.35">
      <c r="A744" s="1290"/>
      <c r="B744" s="1294"/>
      <c r="C744" s="1290" t="s">
        <v>3824</v>
      </c>
      <c r="D744" s="1290"/>
    </row>
    <row r="745" spans="1:4" ht="12.75" customHeight="1" x14ac:dyDescent="0.35">
      <c r="A745" s="1290"/>
      <c r="B745" s="1291"/>
      <c r="C745" s="1290" t="s">
        <v>3810</v>
      </c>
      <c r="D745" s="1290"/>
    </row>
    <row r="746" spans="1:4" ht="12.75" customHeight="1" x14ac:dyDescent="0.35">
      <c r="A746" s="1290"/>
      <c r="B746" s="1290"/>
      <c r="C746" s="1290" t="s">
        <v>3826</v>
      </c>
      <c r="D746" s="1290"/>
    </row>
    <row r="747" spans="1:4" ht="12.75" customHeight="1" x14ac:dyDescent="0.35">
      <c r="A747" s="1290"/>
      <c r="B747" s="1290"/>
      <c r="C747" s="1290" t="s">
        <v>3827</v>
      </c>
      <c r="D747" s="1290"/>
    </row>
    <row r="748" spans="1:4" ht="12.75" customHeight="1" x14ac:dyDescent="0.35">
      <c r="A748" s="1290"/>
      <c r="B748" s="1290"/>
      <c r="C748" s="1290" t="s">
        <v>3826</v>
      </c>
      <c r="D748" s="1290"/>
    </row>
    <row r="749" spans="1:4" ht="12.75" customHeight="1" x14ac:dyDescent="0.35">
      <c r="A749" s="1290"/>
      <c r="B749" s="1290"/>
      <c r="C749" s="1290" t="s">
        <v>3810</v>
      </c>
      <c r="D749" s="1290"/>
    </row>
    <row r="750" spans="1:4" ht="12.75" customHeight="1" x14ac:dyDescent="0.35">
      <c r="A750" s="1290"/>
      <c r="B750" s="1290"/>
      <c r="C750" s="1290" t="s">
        <v>3661</v>
      </c>
      <c r="D750" s="1290"/>
    </row>
    <row r="751" spans="1:4" ht="12.75" customHeight="1" x14ac:dyDescent="0.35">
      <c r="A751" s="1290"/>
      <c r="B751" s="1290"/>
      <c r="C751" s="1290" t="s">
        <v>3828</v>
      </c>
      <c r="D751" s="1290"/>
    </row>
    <row r="752" spans="1:4" ht="12.75" customHeight="1" x14ac:dyDescent="0.35">
      <c r="A752" s="1290"/>
      <c r="B752" s="1290"/>
      <c r="C752" s="1290" t="s">
        <v>3829</v>
      </c>
      <c r="D752" s="1290"/>
    </row>
    <row r="753" spans="1:4" ht="12.75" customHeight="1" x14ac:dyDescent="0.35">
      <c r="A753" s="1290"/>
      <c r="B753" s="1290"/>
      <c r="C753" s="1290" t="s">
        <v>3828</v>
      </c>
      <c r="D753" s="1290"/>
    </row>
    <row r="754" spans="1:4" ht="12.75" customHeight="1" x14ac:dyDescent="0.35">
      <c r="A754" s="1290"/>
      <c r="B754" s="1290"/>
      <c r="C754" s="1290" t="s">
        <v>3810</v>
      </c>
      <c r="D754" s="1290"/>
    </row>
    <row r="755" spans="1:4" ht="12.75" customHeight="1" x14ac:dyDescent="0.35">
      <c r="A755" s="1290"/>
      <c r="B755" s="1290"/>
      <c r="C755" s="1290" t="s">
        <v>3830</v>
      </c>
      <c r="D755" s="1290"/>
    </row>
    <row r="756" spans="1:4" ht="12.75" customHeight="1" x14ac:dyDescent="0.35">
      <c r="A756" s="1290"/>
      <c r="B756" s="1290"/>
      <c r="C756" s="1290" t="s">
        <v>3831</v>
      </c>
      <c r="D756" s="1290"/>
    </row>
    <row r="757" spans="1:4" ht="12.75" customHeight="1" x14ac:dyDescent="0.35">
      <c r="A757" s="1290"/>
      <c r="B757" s="1290"/>
      <c r="C757" s="1290" t="s">
        <v>3830</v>
      </c>
      <c r="D757" s="1290"/>
    </row>
    <row r="758" spans="1:4" ht="12.75" customHeight="1" x14ac:dyDescent="0.35">
      <c r="A758" s="1290"/>
      <c r="B758" s="1290"/>
      <c r="C758" s="1290" t="s">
        <v>3810</v>
      </c>
      <c r="D758" s="1290"/>
    </row>
    <row r="759" spans="1:4" ht="12.75" customHeight="1" x14ac:dyDescent="0.35">
      <c r="A759" s="1290"/>
      <c r="B759" s="1290"/>
      <c r="C759" s="1290" t="s">
        <v>3832</v>
      </c>
      <c r="D759" s="1290"/>
    </row>
    <row r="760" spans="1:4" ht="12.75" customHeight="1" x14ac:dyDescent="0.35">
      <c r="A760" s="1290"/>
      <c r="B760" s="1290"/>
      <c r="C760" s="1290" t="s">
        <v>3833</v>
      </c>
      <c r="D760" s="1290"/>
    </row>
    <row r="761" spans="1:4" ht="12.75" customHeight="1" x14ac:dyDescent="0.35">
      <c r="A761" s="1290"/>
      <c r="B761" s="1290"/>
      <c r="C761" s="1290" t="s">
        <v>3832</v>
      </c>
      <c r="D761" s="1290"/>
    </row>
    <row r="762" spans="1:4" ht="12.75" customHeight="1" x14ac:dyDescent="0.35">
      <c r="A762" s="1290"/>
      <c r="B762" s="1290"/>
      <c r="C762" s="1290" t="s">
        <v>3810</v>
      </c>
      <c r="D762" s="1290"/>
    </row>
    <row r="763" spans="1:4" ht="12.75" customHeight="1" x14ac:dyDescent="0.35">
      <c r="A763" s="1290"/>
      <c r="B763" s="1290"/>
      <c r="C763" s="1290" t="s">
        <v>3834</v>
      </c>
      <c r="D763" s="1290"/>
    </row>
    <row r="764" spans="1:4" ht="12.75" customHeight="1" x14ac:dyDescent="0.35">
      <c r="A764" s="1290"/>
      <c r="B764" s="1290"/>
      <c r="C764" s="1290" t="s">
        <v>3835</v>
      </c>
      <c r="D764" s="1290"/>
    </row>
    <row r="765" spans="1:4" ht="12.75" customHeight="1" x14ac:dyDescent="0.35">
      <c r="A765" s="1290"/>
      <c r="B765" s="1290"/>
      <c r="C765" s="1290" t="s">
        <v>3834</v>
      </c>
      <c r="D765" s="1290"/>
    </row>
    <row r="766" spans="1:4" ht="12.75" customHeight="1" x14ac:dyDescent="0.35">
      <c r="A766" s="1290"/>
      <c r="B766" s="1290"/>
      <c r="C766" s="1290" t="s">
        <v>3810</v>
      </c>
      <c r="D766" s="1290"/>
    </row>
    <row r="767" spans="1:4" ht="12.75" customHeight="1" x14ac:dyDescent="0.35">
      <c r="A767" s="1290"/>
      <c r="B767" s="1290"/>
      <c r="C767" s="1290" t="s">
        <v>3836</v>
      </c>
      <c r="D767" s="1290"/>
    </row>
    <row r="768" spans="1:4" ht="12.75" customHeight="1" x14ac:dyDescent="0.35">
      <c r="A768" s="1290"/>
      <c r="B768" s="1290" t="s">
        <v>3837</v>
      </c>
      <c r="C768" s="1290"/>
      <c r="D768" s="1290"/>
    </row>
    <row r="769" spans="1:4" ht="12.75" customHeight="1" x14ac:dyDescent="0.35">
      <c r="A769" s="1290"/>
      <c r="B769" s="1290"/>
      <c r="C769" s="1290" t="s">
        <v>3838</v>
      </c>
      <c r="D769" s="1290"/>
    </row>
    <row r="770" spans="1:4" ht="12.75" customHeight="1" x14ac:dyDescent="0.35">
      <c r="A770" s="1290"/>
      <c r="B770" s="1290"/>
      <c r="C770" s="1290" t="s">
        <v>3750</v>
      </c>
      <c r="D770" s="1290"/>
    </row>
    <row r="771" spans="1:4" ht="12.75" customHeight="1" x14ac:dyDescent="0.35">
      <c r="A771" s="1290"/>
      <c r="B771" s="1290"/>
      <c r="C771" s="1289" t="s">
        <v>5430</v>
      </c>
      <c r="D771" s="1290"/>
    </row>
    <row r="772" spans="1:4" ht="12.75" customHeight="1" x14ac:dyDescent="0.35">
      <c r="A772" s="1290"/>
      <c r="B772" s="1290"/>
      <c r="C772" s="1290" t="s">
        <v>3753</v>
      </c>
      <c r="D772" s="1290"/>
    </row>
    <row r="773" spans="1:4" ht="12.75" customHeight="1" x14ac:dyDescent="0.35">
      <c r="A773" s="1290"/>
      <c r="B773" s="1290"/>
      <c r="C773" s="1289" t="s">
        <v>5431</v>
      </c>
      <c r="D773" s="1290"/>
    </row>
    <row r="774" spans="1:4" ht="12.75" customHeight="1" x14ac:dyDescent="0.35">
      <c r="A774" s="1290"/>
      <c r="B774" s="1290"/>
      <c r="C774" s="1290" t="s">
        <v>3839</v>
      </c>
      <c r="D774" s="1290"/>
    </row>
    <row r="775" spans="1:4" ht="12.75" customHeight="1" x14ac:dyDescent="0.35">
      <c r="A775" s="1290"/>
      <c r="B775" s="1290"/>
      <c r="C775" s="1290" t="s">
        <v>3840</v>
      </c>
      <c r="D775" s="1290"/>
    </row>
    <row r="776" spans="1:4" ht="12.75" customHeight="1" x14ac:dyDescent="0.35">
      <c r="A776" s="1290"/>
      <c r="B776" s="1290" t="s">
        <v>3804</v>
      </c>
      <c r="C776" s="1290"/>
      <c r="D776" s="1290"/>
    </row>
    <row r="777" spans="1:4" ht="12.75" customHeight="1" x14ac:dyDescent="0.35">
      <c r="A777" s="1290"/>
      <c r="B777" s="1290"/>
      <c r="C777" s="1290"/>
      <c r="D777" s="1290"/>
    </row>
    <row r="778" spans="1:4" ht="12.75" customHeight="1" x14ac:dyDescent="0.35">
      <c r="A778" s="1290"/>
      <c r="B778" s="1290"/>
      <c r="C778" s="1290"/>
      <c r="D778" s="1290"/>
    </row>
    <row r="779" spans="1:4" ht="12.75" customHeight="1" x14ac:dyDescent="0.35">
      <c r="A779" s="1290"/>
      <c r="B779" s="1290"/>
      <c r="C779" s="1290"/>
      <c r="D779" s="1290"/>
    </row>
    <row r="780" spans="1:4" ht="12.75" customHeight="1" x14ac:dyDescent="0.35">
      <c r="A780" s="1290"/>
      <c r="B780" s="1290"/>
      <c r="C780" s="1290"/>
      <c r="D780" s="1290"/>
    </row>
    <row r="781" spans="1:4" ht="12.75" customHeight="1" x14ac:dyDescent="0.35">
      <c r="A781" s="1290"/>
      <c r="B781" s="1290"/>
      <c r="C781" s="1290"/>
      <c r="D781" s="1290"/>
    </row>
    <row r="782" spans="1:4" ht="12.75" customHeight="1" x14ac:dyDescent="0.35">
      <c r="A782" s="1290"/>
      <c r="B782" s="1290"/>
      <c r="C782" s="1290"/>
      <c r="D782" s="1290"/>
    </row>
    <row r="783" spans="1:4" ht="12.75" customHeight="1" x14ac:dyDescent="0.35">
      <c r="A783" s="1290"/>
      <c r="B783" s="1290"/>
      <c r="C783" s="1290"/>
      <c r="D783" s="1290"/>
    </row>
    <row r="784" spans="1:4" ht="12.75" customHeight="1" x14ac:dyDescent="0.35">
      <c r="A784" s="1290"/>
      <c r="B784" s="1290"/>
      <c r="C784" s="1290"/>
      <c r="D784" s="1290"/>
    </row>
    <row r="785" spans="1:4" ht="12.75" customHeight="1" x14ac:dyDescent="0.35">
      <c r="A785" s="1290"/>
      <c r="B785" s="1290"/>
      <c r="C785" s="1290"/>
      <c r="D785" s="1290"/>
    </row>
    <row r="786" spans="1:4" ht="12.75" customHeight="1" x14ac:dyDescent="0.35">
      <c r="A786" s="1290"/>
      <c r="B786" s="1290"/>
      <c r="C786" s="1290"/>
      <c r="D786" s="1290"/>
    </row>
    <row r="787" spans="1:4" ht="12.75" customHeight="1" x14ac:dyDescent="0.35">
      <c r="A787" s="1290"/>
      <c r="B787" s="1290"/>
      <c r="C787" s="1290"/>
      <c r="D787" s="1290"/>
    </row>
    <row r="788" spans="1:4" ht="12.75" customHeight="1" x14ac:dyDescent="0.35">
      <c r="A788" s="1290"/>
      <c r="B788" s="1290"/>
      <c r="C788" s="1290"/>
      <c r="D788" s="1290"/>
    </row>
    <row r="789" spans="1:4" ht="12.75" customHeight="1" x14ac:dyDescent="0.35">
      <c r="A789" s="1290"/>
      <c r="B789" s="1290" t="s">
        <v>3841</v>
      </c>
      <c r="C789" s="1290"/>
      <c r="D789" s="1290"/>
    </row>
    <row r="790" spans="1:4" ht="12.75" customHeight="1" x14ac:dyDescent="0.35">
      <c r="A790" s="1290"/>
      <c r="B790" s="1290" t="s">
        <v>3842</v>
      </c>
      <c r="C790" s="1290"/>
      <c r="D790" s="1290"/>
    </row>
    <row r="791" spans="1:4" ht="12.75" customHeight="1" x14ac:dyDescent="0.35">
      <c r="A791" s="1290"/>
      <c r="B791" s="1290" t="s">
        <v>3843</v>
      </c>
      <c r="C791" s="1290"/>
      <c r="D791" s="1290"/>
    </row>
    <row r="792" spans="1:4" ht="12.75" customHeight="1" x14ac:dyDescent="0.35">
      <c r="A792" s="1290"/>
      <c r="B792" s="1290"/>
      <c r="C792" s="1290"/>
      <c r="D792" s="1290"/>
    </row>
    <row r="793" spans="1:4" ht="12.75" customHeight="1" x14ac:dyDescent="0.35">
      <c r="A793" s="1290"/>
      <c r="B793" s="1290" t="s">
        <v>3844</v>
      </c>
      <c r="C793" s="1290"/>
      <c r="D793" s="1290"/>
    </row>
    <row r="794" spans="1:4" ht="12.75" customHeight="1" x14ac:dyDescent="0.35">
      <c r="A794" s="1290"/>
      <c r="B794" s="1290" t="s">
        <v>3845</v>
      </c>
      <c r="C794" s="1290"/>
      <c r="D794" s="1290"/>
    </row>
    <row r="795" spans="1:4" ht="12.75" customHeight="1" x14ac:dyDescent="0.35">
      <c r="A795" s="1290"/>
      <c r="B795" s="1290"/>
      <c r="C795" s="1290" t="s">
        <v>3675</v>
      </c>
      <c r="D795" s="1290"/>
    </row>
    <row r="796" spans="1:4" ht="12.75" customHeight="1" x14ac:dyDescent="0.35">
      <c r="A796" s="1290"/>
      <c r="B796" s="1290"/>
      <c r="C796" s="1290" t="s">
        <v>3676</v>
      </c>
      <c r="D796" s="1290"/>
    </row>
    <row r="797" spans="1:4" ht="12.75" customHeight="1" x14ac:dyDescent="0.35">
      <c r="A797" s="1290"/>
      <c r="B797" s="1290"/>
      <c r="C797" s="1290" t="s">
        <v>3846</v>
      </c>
      <c r="D797" s="1290"/>
    </row>
    <row r="798" spans="1:4" ht="12.75" customHeight="1" x14ac:dyDescent="0.35">
      <c r="A798" s="1290"/>
      <c r="B798" s="1290"/>
      <c r="C798" s="1290" t="s">
        <v>3678</v>
      </c>
      <c r="D798" s="1290"/>
    </row>
    <row r="799" spans="1:4" ht="12.75" customHeight="1" x14ac:dyDescent="0.35">
      <c r="A799" s="1290"/>
      <c r="B799" s="1290"/>
      <c r="C799" s="1290" t="s">
        <v>3679</v>
      </c>
      <c r="D799" s="1290"/>
    </row>
    <row r="800" spans="1:4" ht="12.75" customHeight="1" x14ac:dyDescent="0.35">
      <c r="A800" s="1290"/>
      <c r="B800" s="1290"/>
      <c r="C800" s="1290" t="s">
        <v>3847</v>
      </c>
      <c r="D800" s="1290"/>
    </row>
    <row r="801" spans="1:4" ht="12.75" customHeight="1" x14ac:dyDescent="0.35">
      <c r="A801" s="1290"/>
      <c r="B801" s="1290" t="s">
        <v>3848</v>
      </c>
      <c r="C801" s="1290"/>
      <c r="D801" s="1290"/>
    </row>
    <row r="802" spans="1:4" ht="12.75" customHeight="1" x14ac:dyDescent="0.35">
      <c r="A802" s="1291"/>
      <c r="B802" s="1290" t="s">
        <v>3849</v>
      </c>
      <c r="C802" s="1290"/>
      <c r="D802" s="1290"/>
    </row>
    <row r="803" spans="1:4" ht="12.75" customHeight="1" x14ac:dyDescent="0.35">
      <c r="A803" s="1290"/>
      <c r="B803" s="1290" t="s">
        <v>3726</v>
      </c>
      <c r="C803" s="1290"/>
      <c r="D803" s="1290"/>
    </row>
    <row r="804" spans="1:4" ht="12.75" customHeight="1" x14ac:dyDescent="0.35">
      <c r="A804" s="1290"/>
      <c r="B804" s="1290" t="s">
        <v>3850</v>
      </c>
      <c r="C804" s="1290"/>
      <c r="D804" s="1290"/>
    </row>
    <row r="805" spans="1:4" ht="12.75" customHeight="1" x14ac:dyDescent="0.35">
      <c r="A805" s="1290"/>
      <c r="B805" s="1290"/>
      <c r="C805" s="1290" t="s">
        <v>3851</v>
      </c>
      <c r="D805" s="1290"/>
    </row>
    <row r="806" spans="1:4" ht="12.75" customHeight="1" x14ac:dyDescent="0.35">
      <c r="A806" s="1290"/>
      <c r="B806" s="1290"/>
      <c r="C806" s="1290" t="s">
        <v>3695</v>
      </c>
      <c r="D806" s="1290"/>
    </row>
    <row r="807" spans="1:4" ht="12.75" customHeight="1" x14ac:dyDescent="0.35">
      <c r="A807" s="1290"/>
      <c r="B807" s="1290"/>
      <c r="C807" s="1289" t="s">
        <v>5435</v>
      </c>
      <c r="D807" s="1290"/>
    </row>
    <row r="808" spans="1:4" ht="12.75" customHeight="1" x14ac:dyDescent="0.35">
      <c r="A808" s="1290"/>
      <c r="B808" s="1290"/>
      <c r="C808" s="1290" t="s">
        <v>3852</v>
      </c>
      <c r="D808" s="1290"/>
    </row>
    <row r="809" spans="1:4" ht="12.75" customHeight="1" x14ac:dyDescent="0.35">
      <c r="A809" s="1290"/>
      <c r="B809" s="1291"/>
      <c r="C809" s="1290" t="s">
        <v>3682</v>
      </c>
      <c r="D809" s="1290"/>
    </row>
    <row r="810" spans="1:4" ht="12.75" customHeight="1" x14ac:dyDescent="0.35">
      <c r="A810" s="1290"/>
      <c r="B810" s="1290"/>
      <c r="C810" s="1290" t="s">
        <v>3775</v>
      </c>
      <c r="D810" s="1290"/>
    </row>
    <row r="811" spans="1:4" ht="12.75" customHeight="1" x14ac:dyDescent="0.35">
      <c r="A811" s="1290"/>
      <c r="B811" s="1290"/>
      <c r="C811" s="1290" t="s">
        <v>3853</v>
      </c>
      <c r="D811" s="1290"/>
    </row>
    <row r="812" spans="1:4" ht="12.75" customHeight="1" x14ac:dyDescent="0.35">
      <c r="A812" s="1290"/>
      <c r="B812" s="1290"/>
      <c r="C812" s="1290" t="s">
        <v>3854</v>
      </c>
      <c r="D812" s="1290"/>
    </row>
    <row r="813" spans="1:4" ht="12.75" customHeight="1" x14ac:dyDescent="0.35">
      <c r="A813" s="1290"/>
      <c r="B813" s="1290"/>
      <c r="C813" s="1290" t="s">
        <v>3855</v>
      </c>
      <c r="D813" s="1290"/>
    </row>
    <row r="814" spans="1:4" ht="12.75" customHeight="1" x14ac:dyDescent="0.35">
      <c r="A814" s="1290"/>
      <c r="B814" s="1290"/>
      <c r="C814" s="1290" t="s">
        <v>3856</v>
      </c>
      <c r="D814" s="1290"/>
    </row>
    <row r="815" spans="1:4" ht="12.75" customHeight="1" x14ac:dyDescent="0.35">
      <c r="A815" s="1290"/>
      <c r="B815" s="1290"/>
      <c r="C815" s="1290" t="s">
        <v>3857</v>
      </c>
      <c r="D815" s="1290"/>
    </row>
    <row r="816" spans="1:4" ht="12.75" customHeight="1" x14ac:dyDescent="0.35">
      <c r="A816" s="1290"/>
      <c r="B816" s="1290"/>
      <c r="C816" s="1290" t="s">
        <v>3764</v>
      </c>
      <c r="D816" s="1290"/>
    </row>
    <row r="817" spans="1:4" ht="12.75" customHeight="1" x14ac:dyDescent="0.35">
      <c r="A817" s="1290"/>
      <c r="B817" s="1290"/>
      <c r="C817" s="1289" t="s">
        <v>5432</v>
      </c>
      <c r="D817" s="1290"/>
    </row>
    <row r="818" spans="1:4" ht="12.75" customHeight="1" x14ac:dyDescent="0.35">
      <c r="A818" s="1290"/>
      <c r="B818" s="1290"/>
      <c r="C818" s="1290" t="s">
        <v>3858</v>
      </c>
      <c r="D818" s="1290"/>
    </row>
    <row r="819" spans="1:4" ht="12.75" customHeight="1" x14ac:dyDescent="0.35">
      <c r="A819" s="1290"/>
      <c r="B819" s="1290"/>
      <c r="C819" s="1289" t="s">
        <v>5439</v>
      </c>
      <c r="D819" s="1290"/>
    </row>
    <row r="820" spans="1:4" ht="12.75" customHeight="1" x14ac:dyDescent="0.35">
      <c r="A820" s="1290"/>
      <c r="B820" s="1290"/>
      <c r="C820" s="1290" t="s">
        <v>3859</v>
      </c>
      <c r="D820" s="1290"/>
    </row>
    <row r="821" spans="1:4" ht="12.75" customHeight="1" x14ac:dyDescent="0.35">
      <c r="A821" s="1290"/>
      <c r="B821" s="1290"/>
      <c r="C821" s="1290" t="s">
        <v>3860</v>
      </c>
      <c r="D821" s="1290"/>
    </row>
    <row r="822" spans="1:4" ht="12.75" customHeight="1" x14ac:dyDescent="0.35">
      <c r="A822" s="1290"/>
      <c r="B822" s="1290"/>
      <c r="C822" s="1290" t="s">
        <v>3861</v>
      </c>
      <c r="D822" s="1290"/>
    </row>
    <row r="823" spans="1:4" ht="12.75" customHeight="1" x14ac:dyDescent="0.35">
      <c r="A823" s="1290"/>
      <c r="B823" s="1290" t="s">
        <v>3862</v>
      </c>
      <c r="C823" s="1290"/>
      <c r="D823" s="1290"/>
    </row>
    <row r="824" spans="1:4" ht="12.75" customHeight="1" x14ac:dyDescent="0.35">
      <c r="A824" s="1290"/>
      <c r="B824" s="1290" t="s">
        <v>3863</v>
      </c>
      <c r="C824" s="1290"/>
      <c r="D824" s="1290"/>
    </row>
    <row r="825" spans="1:4" ht="12.75" customHeight="1" x14ac:dyDescent="0.35">
      <c r="A825" s="1290"/>
      <c r="B825" s="1290" t="s">
        <v>3864</v>
      </c>
      <c r="C825" s="1290"/>
      <c r="D825" s="1290"/>
    </row>
    <row r="826" spans="1:4" ht="12.75" customHeight="1" x14ac:dyDescent="0.35">
      <c r="A826" s="1290"/>
      <c r="B826" s="1290" t="s">
        <v>3726</v>
      </c>
      <c r="C826" s="1290"/>
      <c r="D826" s="1290"/>
    </row>
    <row r="827" spans="1:4" ht="12.75" customHeight="1" x14ac:dyDescent="0.35">
      <c r="A827" s="1290"/>
      <c r="B827" s="1290" t="s">
        <v>3865</v>
      </c>
      <c r="C827" s="1290"/>
      <c r="D827" s="1290"/>
    </row>
    <row r="828" spans="1:4" ht="12.75" customHeight="1" x14ac:dyDescent="0.35">
      <c r="A828" s="1290"/>
      <c r="B828" s="1290" t="s">
        <v>3695</v>
      </c>
      <c r="C828" s="1290"/>
      <c r="D828" s="1290"/>
    </row>
    <row r="829" spans="1:4" ht="12.75" customHeight="1" x14ac:dyDescent="0.35">
      <c r="A829" s="1290"/>
      <c r="B829" s="1290" t="s">
        <v>3854</v>
      </c>
      <c r="C829" s="1290"/>
      <c r="D829" s="1290"/>
    </row>
    <row r="830" spans="1:4" ht="12.75" customHeight="1" x14ac:dyDescent="0.35">
      <c r="A830" s="1290"/>
      <c r="B830" s="1290" t="s">
        <v>3866</v>
      </c>
      <c r="C830" s="1290"/>
      <c r="D830" s="1290"/>
    </row>
    <row r="831" spans="1:4" ht="12.75" customHeight="1" x14ac:dyDescent="0.35">
      <c r="A831" s="1290"/>
      <c r="B831" s="1290" t="s">
        <v>3867</v>
      </c>
      <c r="C831" s="1290"/>
      <c r="D831" s="1290"/>
    </row>
    <row r="832" spans="1:4" ht="12.75" customHeight="1" x14ac:dyDescent="0.35">
      <c r="A832" s="1290"/>
      <c r="B832" s="1290"/>
      <c r="C832" s="1290"/>
      <c r="D832" s="1290"/>
    </row>
    <row r="833" spans="1:4" ht="12.75" customHeight="1" x14ac:dyDescent="0.35">
      <c r="A833" s="1290"/>
      <c r="B833" s="1290" t="s">
        <v>3868</v>
      </c>
      <c r="C833" s="1290"/>
      <c r="D833" s="1290"/>
    </row>
    <row r="834" spans="1:4" ht="12.75" customHeight="1" x14ac:dyDescent="0.35">
      <c r="A834" s="1290"/>
      <c r="B834" s="1290" t="s">
        <v>3869</v>
      </c>
      <c r="C834" s="1290"/>
      <c r="D834" s="1290"/>
    </row>
    <row r="835" spans="1:4" ht="12.75" customHeight="1" x14ac:dyDescent="0.35">
      <c r="A835" s="1290"/>
      <c r="B835" s="1290" t="s">
        <v>3782</v>
      </c>
      <c r="C835" s="1290"/>
      <c r="D835" s="1290"/>
    </row>
    <row r="836" spans="1:4" ht="12.75" customHeight="1" x14ac:dyDescent="0.35">
      <c r="A836" s="1290"/>
      <c r="B836" s="1290" t="s">
        <v>3870</v>
      </c>
      <c r="C836" s="1290"/>
      <c r="D836" s="1290"/>
    </row>
    <row r="837" spans="1:4" ht="12.75" customHeight="1" x14ac:dyDescent="0.35">
      <c r="A837" s="1290"/>
      <c r="B837" s="1290"/>
      <c r="C837" s="1290"/>
      <c r="D837" s="1290"/>
    </row>
    <row r="838" spans="1:4" ht="12.75" customHeight="1" x14ac:dyDescent="0.35">
      <c r="A838" s="1290"/>
      <c r="B838" s="1290"/>
      <c r="C838" s="1290"/>
      <c r="D838" s="1290"/>
    </row>
    <row r="839" spans="1:4" ht="12.75" customHeight="1" x14ac:dyDescent="0.35">
      <c r="A839" s="1290"/>
      <c r="B839" s="1290"/>
      <c r="C839" s="1290"/>
      <c r="D839" s="1290"/>
    </row>
    <row r="840" spans="1:4" ht="12.75" customHeight="1" x14ac:dyDescent="0.35">
      <c r="A840" s="1290"/>
      <c r="B840" s="1290" t="s">
        <v>3871</v>
      </c>
      <c r="C840" s="1290"/>
      <c r="D840" s="1290"/>
    </row>
    <row r="841" spans="1:4" ht="12.75" customHeight="1" x14ac:dyDescent="0.35">
      <c r="A841" s="1290"/>
      <c r="B841" s="1290"/>
      <c r="C841" s="1290"/>
      <c r="D841" s="1290"/>
    </row>
    <row r="842" spans="1:4" ht="12.75" customHeight="1" x14ac:dyDescent="0.35">
      <c r="A842" s="1290"/>
      <c r="B842" s="1290" t="s">
        <v>3653</v>
      </c>
      <c r="C842" s="1290"/>
      <c r="D842" s="1290"/>
    </row>
  </sheetData>
  <printOptions gridLines="1"/>
  <pageMargins left="0.75" right="0.75" top="1" bottom="1" header="0.5" footer="0.5"/>
  <pageSetup paperSize="9" orientation="portrait" r:id="rId1"/>
  <headerFooter>
    <oddHeader>&amp;C&amp;A</oddHeader>
    <oddFooter>&amp;CPage &amp;P</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6"/>
  <dimension ref="A1:Q22"/>
  <sheetViews>
    <sheetView showGridLines="0" showRowColHeaders="0" zoomScaleNormal="100" workbookViewId="0">
      <pane xSplit="8" ySplit="4" topLeftCell="I5" activePane="bottomRight" state="frozen"/>
      <selection pane="topRight" activeCell="F1" sqref="F1"/>
      <selection pane="bottomLeft" activeCell="A5" sqref="A5"/>
      <selection pane="bottomRight" activeCell="C5" sqref="C5"/>
    </sheetView>
  </sheetViews>
  <sheetFormatPr defaultColWidth="9.1796875" defaultRowHeight="14.25" customHeight="1" x14ac:dyDescent="0.2"/>
  <cols>
    <col min="1" max="6" width="8.7265625" style="147" hidden="1" customWidth="1"/>
    <col min="7" max="7" width="36.1796875" style="147" customWidth="1"/>
    <col min="8" max="8" width="11.81640625" style="146" hidden="1" customWidth="1"/>
    <col min="9" max="10" width="14.7265625" style="148" hidden="1" customWidth="1"/>
    <col min="11" max="17" width="14.7265625" style="148" customWidth="1"/>
    <col min="18" max="16384" width="9.1796875" style="148"/>
  </cols>
  <sheetData>
    <row r="1" spans="1:17" s="146" customFormat="1" ht="13" customHeight="1" x14ac:dyDescent="0.3">
      <c r="A1" s="623" t="s">
        <v>4885</v>
      </c>
      <c r="B1" s="623"/>
      <c r="C1" s="623"/>
      <c r="D1" s="624"/>
      <c r="E1" s="624"/>
      <c r="F1" s="624"/>
      <c r="G1" s="625"/>
      <c r="H1" s="625"/>
      <c r="I1" s="625">
        <v>1</v>
      </c>
      <c r="J1" s="625">
        <v>2</v>
      </c>
      <c r="K1" s="625">
        <v>3</v>
      </c>
      <c r="L1" s="625">
        <v>4</v>
      </c>
      <c r="M1" s="625">
        <v>5</v>
      </c>
      <c r="N1" s="625">
        <v>6</v>
      </c>
      <c r="O1" s="625">
        <v>7</v>
      </c>
      <c r="P1" s="625">
        <v>8</v>
      </c>
      <c r="Q1" s="625">
        <v>9</v>
      </c>
    </row>
    <row r="2" spans="1:17" s="146" customFormat="1" ht="13" customHeight="1" x14ac:dyDescent="0.3">
      <c r="A2" s="623"/>
      <c r="B2" s="623"/>
      <c r="C2" s="623"/>
      <c r="D2" s="624"/>
      <c r="E2" s="624"/>
      <c r="F2" s="624"/>
      <c r="G2" s="625"/>
      <c r="H2" s="625"/>
      <c r="I2" s="626" t="s">
        <v>6267</v>
      </c>
      <c r="J2" s="626" t="s">
        <v>6269</v>
      </c>
      <c r="K2" s="626" t="s">
        <v>6271</v>
      </c>
      <c r="L2" s="626" t="s">
        <v>6273</v>
      </c>
      <c r="M2" s="626" t="s">
        <v>6275</v>
      </c>
      <c r="N2" s="626" t="s">
        <v>6277</v>
      </c>
      <c r="O2" s="626" t="s">
        <v>6279</v>
      </c>
      <c r="P2" s="626" t="s">
        <v>6281</v>
      </c>
      <c r="Q2" s="626" t="s">
        <v>6281</v>
      </c>
    </row>
    <row r="3" spans="1:17" s="147" customFormat="1" ht="14.25" customHeight="1" x14ac:dyDescent="0.3">
      <c r="A3" s="627" t="s">
        <v>4886</v>
      </c>
      <c r="B3" s="628" t="s">
        <v>4887</v>
      </c>
      <c r="C3" s="628" t="s">
        <v>4888</v>
      </c>
      <c r="D3" s="629"/>
      <c r="E3" s="629"/>
      <c r="F3" s="630"/>
      <c r="G3" s="781" t="str">
        <f ca="1">UPPER(ElimTxt)</f>
        <v>ELIMINATION</v>
      </c>
      <c r="H3" s="1188" t="s">
        <v>4889</v>
      </c>
      <c r="I3" s="343" t="str">
        <f ca="1">""&amp;OFFSET(Calculations!$E$16,0,I1)</f>
        <v>8/2019</v>
      </c>
      <c r="J3" s="344" t="str">
        <f ca="1">""&amp;OFFSET(Calculations!$E$16,0,J1)</f>
        <v>9/2019</v>
      </c>
      <c r="K3" s="345" t="str">
        <f ca="1">""&amp;OFFSET(Calculations!$E$16,0,K1)</f>
        <v>12/2019</v>
      </c>
      <c r="L3" s="345" t="str">
        <f ca="1">""&amp;OFFSET(Calculations!$E$16,0,L1)</f>
        <v>12/2020</v>
      </c>
      <c r="M3" s="345" t="str">
        <f ca="1">""&amp;OFFSET(Calculations!$E$16,0,M1)</f>
        <v>12/2021</v>
      </c>
      <c r="N3" s="345" t="str">
        <f ca="1">""&amp;OFFSET(Calculations!$E$16,0,N1)</f>
        <v>12/2022</v>
      </c>
      <c r="O3" s="345" t="str">
        <f ca="1">""&amp;OFFSET(Calculations!$E$16,0,O1)</f>
        <v>12/2023</v>
      </c>
      <c r="P3" s="345" t="str">
        <f ca="1">""&amp;OFFSET(Calculations!$E$16,0,P1)</f>
        <v>12/2024</v>
      </c>
      <c r="Q3" s="344" t="str">
        <f ca="1">SpecsTxt!$F$12</f>
        <v>Residual</v>
      </c>
    </row>
    <row r="4" spans="1:17" s="147" customFormat="1" ht="14.25" customHeight="1" x14ac:dyDescent="0.3">
      <c r="A4" s="631"/>
      <c r="B4" s="629"/>
      <c r="C4" s="629"/>
      <c r="D4" s="629"/>
      <c r="E4" s="629"/>
      <c r="F4" s="632" t="str">
        <f ca="1">GroupTxt</f>
        <v>Group</v>
      </c>
      <c r="G4" s="633" t="str">
        <f>Calculations!$B$17</f>
        <v>Months per interval</v>
      </c>
      <c r="H4" s="646" t="s">
        <v>4890</v>
      </c>
      <c r="I4" s="634" t="str">
        <f ca="1">""&amp;OFFSET(Calculations!$E$17,0,I1)</f>
        <v>12</v>
      </c>
      <c r="J4" s="634" t="str">
        <f ca="1">""&amp;OFFSET(Calculations!$E$17,0,J1)</f>
        <v/>
      </c>
      <c r="K4" s="634" t="str">
        <f ca="1">""&amp;OFFSET(Calculations!$E$17,0,K1)</f>
        <v>4</v>
      </c>
      <c r="L4" s="634" t="str">
        <f ca="1">""&amp;OFFSET(Calculations!$E$17,0,L1)</f>
        <v>12</v>
      </c>
      <c r="M4" s="634" t="str">
        <f ca="1">""&amp;OFFSET(Calculations!$E$17,0,M1)</f>
        <v>12</v>
      </c>
      <c r="N4" s="634" t="str">
        <f ca="1">""&amp;OFFSET(Calculations!$E$17,0,N1)</f>
        <v>12</v>
      </c>
      <c r="O4" s="634" t="str">
        <f ca="1">""&amp;OFFSET(Calculations!$E$17,0,O1)</f>
        <v>12</v>
      </c>
      <c r="P4" s="634" t="str">
        <f ca="1">""&amp;OFFSET(Calculations!$E$17,0,P1)</f>
        <v>12</v>
      </c>
      <c r="Q4" s="634" t="str">
        <f ca="1">""&amp;OFFSET(Calculations!$E$17,0,Q1)</f>
        <v>(12/2024)</v>
      </c>
    </row>
    <row r="5" spans="1:17" ht="14.25" hidden="1" customHeight="1" x14ac:dyDescent="0.35">
      <c r="A5" s="635"/>
      <c r="B5" s="635"/>
      <c r="C5" s="635"/>
      <c r="D5" s="635"/>
      <c r="E5" s="635"/>
      <c r="F5" s="636"/>
      <c r="G5" s="637"/>
      <c r="H5" s="638"/>
      <c r="I5" s="639"/>
      <c r="J5" s="640"/>
      <c r="K5" s="640"/>
      <c r="L5" s="640"/>
      <c r="M5" s="640"/>
      <c r="N5" s="640"/>
      <c r="O5" s="640"/>
      <c r="P5" s="640"/>
      <c r="Q5" s="640"/>
    </row>
    <row r="6" spans="1:17" ht="14.25" hidden="1" customHeight="1" x14ac:dyDescent="0.35">
      <c r="A6" s="635"/>
      <c r="B6" s="635"/>
      <c r="C6" s="635"/>
      <c r="D6" s="635"/>
      <c r="E6" s="635"/>
      <c r="F6" s="641"/>
      <c r="G6" s="642" t="str">
        <f ca="1">ElimTxt</f>
        <v>Elimination</v>
      </c>
      <c r="H6" s="643"/>
      <c r="I6" s="642"/>
      <c r="J6" s="642"/>
      <c r="K6" s="644"/>
      <c r="L6" s="644"/>
      <c r="M6" s="644"/>
      <c r="N6" s="642"/>
      <c r="O6" s="642"/>
      <c r="P6" s="642"/>
      <c r="Q6" s="642"/>
    </row>
    <row r="7" spans="1:17" ht="14.25" hidden="1" customHeight="1" x14ac:dyDescent="0.35">
      <c r="A7" s="635"/>
      <c r="B7" s="635"/>
      <c r="C7" s="635"/>
      <c r="D7" s="635"/>
      <c r="E7" s="635"/>
      <c r="F7" s="645"/>
      <c r="G7" s="646" t="str">
        <f ca="1">ConsTxt&amp;" "&amp;G5</f>
        <v xml:space="preserve">Consolidated </v>
      </c>
      <c r="H7" s="646"/>
      <c r="I7" s="647"/>
      <c r="J7" s="647"/>
      <c r="K7" s="647"/>
      <c r="L7" s="647"/>
      <c r="M7" s="647"/>
      <c r="N7" s="647"/>
      <c r="O7" s="647"/>
      <c r="P7" s="647"/>
      <c r="Q7" s="647"/>
    </row>
    <row r="8" spans="1:17" ht="14.25" customHeight="1" x14ac:dyDescent="0.35">
      <c r="A8" s="648"/>
      <c r="B8" s="648"/>
      <c r="C8" s="648"/>
      <c r="D8" s="648"/>
      <c r="E8" s="648"/>
      <c r="F8" s="648"/>
      <c r="G8" s="648"/>
      <c r="H8" s="648"/>
      <c r="I8" s="648"/>
      <c r="J8" s="648"/>
      <c r="K8" s="648"/>
      <c r="L8" s="648"/>
      <c r="M8" s="648"/>
      <c r="N8" s="648"/>
      <c r="O8" s="648"/>
      <c r="P8" s="648"/>
      <c r="Q8" s="648"/>
    </row>
    <row r="9" spans="1:17" ht="14.25" customHeight="1" x14ac:dyDescent="0.35">
      <c r="A9" s="648"/>
      <c r="B9" s="648"/>
      <c r="C9" s="648"/>
      <c r="D9" s="648"/>
      <c r="E9" s="648"/>
      <c r="F9" s="648"/>
      <c r="G9" s="648"/>
      <c r="H9" s="648"/>
      <c r="I9" s="648"/>
      <c r="J9" s="648"/>
      <c r="K9" s="648"/>
      <c r="L9" s="648"/>
      <c r="M9" s="648"/>
      <c r="N9" s="648"/>
      <c r="O9" s="648"/>
      <c r="P9" s="648"/>
      <c r="Q9" s="648"/>
    </row>
    <row r="10" spans="1:17" ht="14.25" customHeight="1" x14ac:dyDescent="0.35">
      <c r="A10" s="648"/>
      <c r="B10" s="648"/>
      <c r="C10" s="648"/>
      <c r="D10" s="648"/>
      <c r="E10" s="648"/>
      <c r="F10" s="648"/>
      <c r="G10" s="648"/>
      <c r="H10" s="648"/>
      <c r="I10" s="648"/>
      <c r="J10" s="648"/>
      <c r="K10" s="648"/>
      <c r="L10" s="648"/>
      <c r="M10" s="648"/>
      <c r="N10" s="648"/>
      <c r="O10" s="648"/>
      <c r="P10" s="648"/>
      <c r="Q10" s="648"/>
    </row>
    <row r="11" spans="1:17" ht="14.25" customHeight="1" x14ac:dyDescent="0.35">
      <c r="A11" s="648"/>
      <c r="B11" s="648"/>
      <c r="C11" s="648"/>
      <c r="D11" s="648"/>
      <c r="E11" s="648"/>
      <c r="F11" s="648"/>
      <c r="G11" s="648"/>
      <c r="H11" s="648"/>
      <c r="I11" s="648"/>
      <c r="J11" s="648"/>
      <c r="K11" s="648"/>
      <c r="L11" s="648"/>
      <c r="M11" s="648"/>
      <c r="N11" s="648"/>
      <c r="O11" s="648"/>
      <c r="P11" s="648"/>
      <c r="Q11" s="648"/>
    </row>
    <row r="12" spans="1:17" ht="14.25" customHeight="1" x14ac:dyDescent="0.35">
      <c r="A12" s="648"/>
      <c r="B12" s="648"/>
      <c r="C12" s="648"/>
      <c r="D12" s="648"/>
      <c r="E12" s="648"/>
      <c r="F12" s="648"/>
      <c r="G12" s="648"/>
      <c r="H12" s="648"/>
      <c r="I12" s="648"/>
      <c r="J12" s="648"/>
      <c r="K12" s="648"/>
      <c r="L12" s="648"/>
      <c r="M12" s="648"/>
      <c r="N12" s="648"/>
      <c r="O12" s="648"/>
      <c r="P12" s="648"/>
      <c r="Q12" s="648"/>
    </row>
    <row r="13" spans="1:17" ht="14.25" customHeight="1" x14ac:dyDescent="0.35">
      <c r="A13" s="648"/>
      <c r="B13" s="648"/>
      <c r="C13" s="648"/>
      <c r="D13" s="648"/>
      <c r="E13" s="648"/>
      <c r="F13" s="648"/>
      <c r="G13" s="648"/>
      <c r="H13" s="648"/>
      <c r="I13" s="648"/>
      <c r="J13" s="648"/>
      <c r="K13" s="648"/>
      <c r="L13" s="648"/>
      <c r="M13" s="648"/>
      <c r="N13" s="648"/>
      <c r="O13" s="648"/>
      <c r="P13" s="648"/>
      <c r="Q13" s="648"/>
    </row>
    <row r="14" spans="1:17" ht="14.25" customHeight="1" x14ac:dyDescent="0.35">
      <c r="A14" s="648"/>
      <c r="B14" s="648"/>
      <c r="C14" s="648"/>
      <c r="D14" s="648"/>
      <c r="E14" s="648"/>
      <c r="F14" s="648"/>
      <c r="G14" s="648"/>
      <c r="H14" s="648"/>
      <c r="I14" s="648"/>
      <c r="J14" s="648"/>
      <c r="K14" s="648"/>
      <c r="L14" s="648"/>
      <c r="M14" s="648"/>
      <c r="N14" s="648"/>
      <c r="O14" s="648"/>
      <c r="P14" s="648"/>
      <c r="Q14" s="648"/>
    </row>
    <row r="15" spans="1:17" ht="14.25" customHeight="1" x14ac:dyDescent="0.35">
      <c r="A15" s="648"/>
      <c r="B15" s="648"/>
      <c r="C15" s="648"/>
      <c r="D15" s="648"/>
      <c r="E15" s="648"/>
      <c r="F15" s="648"/>
      <c r="G15" s="648"/>
      <c r="H15" s="648"/>
      <c r="I15" s="648"/>
      <c r="J15" s="648"/>
      <c r="K15" s="648"/>
      <c r="L15" s="648"/>
      <c r="M15" s="648"/>
      <c r="N15" s="648"/>
      <c r="O15" s="648"/>
      <c r="P15" s="648"/>
      <c r="Q15" s="648"/>
    </row>
    <row r="16" spans="1:17" ht="14.25" customHeight="1" x14ac:dyDescent="0.35">
      <c r="A16" s="648"/>
      <c r="B16" s="648"/>
      <c r="C16" s="648"/>
      <c r="D16" s="648"/>
      <c r="E16" s="648"/>
      <c r="F16" s="648"/>
      <c r="G16" s="648"/>
      <c r="H16" s="648"/>
      <c r="I16" s="648"/>
      <c r="J16" s="648"/>
      <c r="K16" s="648"/>
      <c r="L16" s="648"/>
      <c r="M16" s="648"/>
      <c r="N16" s="648"/>
      <c r="O16" s="648"/>
      <c r="P16" s="648"/>
      <c r="Q16" s="648"/>
    </row>
    <row r="17" spans="1:17" ht="14.25" customHeight="1" x14ac:dyDescent="0.35">
      <c r="A17" s="648"/>
      <c r="B17" s="648"/>
      <c r="C17" s="648"/>
      <c r="D17" s="648"/>
      <c r="E17" s="648"/>
      <c r="F17" s="648"/>
      <c r="G17" s="648"/>
      <c r="H17" s="648"/>
      <c r="I17" s="648"/>
      <c r="J17" s="648"/>
      <c r="K17" s="648"/>
      <c r="L17" s="648"/>
      <c r="M17" s="648"/>
      <c r="N17" s="648"/>
      <c r="O17" s="648"/>
      <c r="P17" s="648"/>
      <c r="Q17" s="648"/>
    </row>
    <row r="18" spans="1:17" ht="14.25" customHeight="1" x14ac:dyDescent="0.35">
      <c r="A18" s="648"/>
      <c r="B18" s="648"/>
      <c r="C18" s="648"/>
      <c r="D18" s="648"/>
      <c r="E18" s="648"/>
      <c r="F18" s="648"/>
      <c r="G18" s="648"/>
      <c r="H18" s="648"/>
      <c r="I18" s="648"/>
      <c r="J18" s="648"/>
      <c r="K18" s="648"/>
      <c r="L18" s="648"/>
      <c r="M18" s="648"/>
      <c r="N18" s="648"/>
      <c r="O18" s="648"/>
      <c r="P18" s="648"/>
      <c r="Q18" s="648"/>
    </row>
    <row r="19" spans="1:17" ht="14.25" customHeight="1" x14ac:dyDescent="0.35">
      <c r="A19" s="648"/>
      <c r="B19" s="648"/>
      <c r="C19" s="648"/>
      <c r="D19" s="648"/>
      <c r="E19" s="648"/>
      <c r="F19" s="648"/>
      <c r="G19" s="648"/>
      <c r="H19" s="648"/>
      <c r="I19" s="648"/>
      <c r="J19" s="648"/>
      <c r="K19" s="648"/>
      <c r="L19" s="648"/>
      <c r="M19" s="648"/>
      <c r="N19" s="648"/>
      <c r="O19" s="648"/>
      <c r="P19" s="648"/>
      <c r="Q19" s="648"/>
    </row>
    <row r="20" spans="1:17" ht="14.25" customHeight="1" x14ac:dyDescent="0.35">
      <c r="A20" s="648"/>
      <c r="B20" s="648"/>
      <c r="C20" s="648"/>
      <c r="D20" s="648"/>
      <c r="E20" s="648"/>
      <c r="F20" s="648"/>
      <c r="G20" s="648"/>
      <c r="H20" s="648"/>
      <c r="I20" s="648"/>
      <c r="J20" s="648"/>
      <c r="K20" s="648"/>
      <c r="L20" s="648"/>
      <c r="M20" s="648"/>
      <c r="N20" s="648"/>
      <c r="O20" s="648"/>
      <c r="P20" s="648"/>
      <c r="Q20" s="648"/>
    </row>
    <row r="21" spans="1:17" ht="14.25" customHeight="1" x14ac:dyDescent="0.35">
      <c r="A21" s="648"/>
      <c r="B21" s="648"/>
      <c r="C21" s="648"/>
      <c r="D21" s="648"/>
      <c r="E21" s="648"/>
      <c r="F21" s="648"/>
      <c r="G21" s="648"/>
      <c r="H21" s="648"/>
      <c r="I21" s="648"/>
      <c r="J21" s="648"/>
      <c r="K21" s="648"/>
      <c r="L21" s="648"/>
      <c r="M21" s="648"/>
      <c r="N21" s="648"/>
      <c r="O21" s="648"/>
      <c r="P21" s="648"/>
      <c r="Q21" s="648"/>
    </row>
    <row r="22" spans="1:17" ht="14.25" customHeight="1" x14ac:dyDescent="0.35">
      <c r="A22" s="648"/>
      <c r="B22" s="648"/>
      <c r="C22" s="648"/>
      <c r="D22" s="648"/>
      <c r="E22" s="648"/>
      <c r="F22" s="648"/>
      <c r="G22" s="648"/>
      <c r="H22" s="648"/>
      <c r="I22" s="648"/>
      <c r="J22" s="648"/>
      <c r="K22" s="648"/>
      <c r="L22" s="648"/>
      <c r="M22" s="648"/>
      <c r="N22" s="648"/>
      <c r="O22" s="648"/>
      <c r="P22" s="648"/>
      <c r="Q22" s="648"/>
    </row>
  </sheetData>
  <sheetProtection algorithmName="SHA-512" hashValue="hp3hH86e2GtQM0ENiWZYPRpoq1UuOpfbfmd7rXtU6+WBNIcEQdhsdfUbihVV2hxIbxV3wwDrLI9N5T2sxowNRA==" saltValue="OHwkSqFX8swa9E0YMM0cCA==" spinCount="100000" sheet="1" objects="1" scenarios="1" formatCells="0"/>
  <dataValidations disablePrompts="1" count="1">
    <dataValidation type="list" allowBlank="1" showErrorMessage="1" sqref="F8 F17 F5 F20" xr:uid="{00000000-0002-0000-0200-000000000000}">
      <formula1>ElimGroups</formula1>
    </dataValidation>
  </dataValidations>
  <pageMargins left="0.31496062992125984" right="0.31496062992125984" top="0.43307086614173229" bottom="0.39370078740157483" header="0.31496062992125984" footer="0.31496062992125984"/>
  <pageSetup paperSize="143" scale="65"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kElimGroups">
              <controlPr defaultSize="0" print="0" autoFill="0" autoLine="0" autoPict="0" macro="[0]!ElimToggleGroups">
                <anchor moveWithCells="1">
                  <from>
                    <xdr:col>6</xdr:col>
                    <xdr:colOff>1543050</xdr:colOff>
                    <xdr:row>0</xdr:row>
                    <xdr:rowOff>12700</xdr:rowOff>
                  </from>
                  <to>
                    <xdr:col>11</xdr:col>
                    <xdr:colOff>781050</xdr:colOff>
                    <xdr:row>1</xdr:row>
                    <xdr:rowOff>88900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9">
    <tabColor rgb="FF92D050"/>
    <pageSetUpPr autoPageBreaks="0"/>
  </sheetPr>
  <dimension ref="A1:D842"/>
  <sheetViews>
    <sheetView topLeftCell="A458" workbookViewId="0">
      <selection activeCell="A458" sqref="A458"/>
    </sheetView>
  </sheetViews>
  <sheetFormatPr defaultColWidth="9.1796875" defaultRowHeight="14.5" x14ac:dyDescent="0.35"/>
  <cols>
    <col min="1" max="1" width="0.81640625" style="1295" customWidth="1"/>
    <col min="2" max="16384" width="9.1796875" style="1295"/>
  </cols>
  <sheetData>
    <row r="1" spans="1:4" ht="12.75" hidden="1" customHeight="1" x14ac:dyDescent="0.35">
      <c r="B1" s="1295" t="s">
        <v>3646</v>
      </c>
    </row>
    <row r="2" spans="1:4" ht="12.75" hidden="1" customHeight="1" x14ac:dyDescent="0.35">
      <c r="B2" s="1295" t="s">
        <v>3647</v>
      </c>
    </row>
    <row r="3" spans="1:4" ht="12.75" hidden="1" customHeight="1" x14ac:dyDescent="0.35">
      <c r="B3" s="1295" t="s">
        <v>3648</v>
      </c>
    </row>
    <row r="4" spans="1:4" ht="12.75" hidden="1" customHeight="1" x14ac:dyDescent="0.35">
      <c r="B4" s="1295" t="s">
        <v>3649</v>
      </c>
    </row>
    <row r="5" spans="1:4" ht="12.75" hidden="1" customHeight="1" x14ac:dyDescent="0.35">
      <c r="B5" s="1295" t="s">
        <v>3650</v>
      </c>
    </row>
    <row r="6" spans="1:4" ht="12.75" hidden="1" customHeight="1" x14ac:dyDescent="0.35">
      <c r="B6" s="1295" t="s">
        <v>3651</v>
      </c>
    </row>
    <row r="7" spans="1:4" ht="12.75" hidden="1" customHeight="1" x14ac:dyDescent="0.35"/>
    <row r="8" spans="1:4" ht="12.75" hidden="1" customHeight="1" x14ac:dyDescent="0.35"/>
    <row r="9" spans="1:4" ht="12.75" hidden="1" customHeight="1" x14ac:dyDescent="0.35"/>
    <row r="10" spans="1:4" ht="12.75" customHeight="1" x14ac:dyDescent="0.35">
      <c r="A10" s="97"/>
      <c r="B10" s="97"/>
      <c r="C10" s="97"/>
      <c r="D10" s="97"/>
    </row>
    <row r="11" spans="1:4" ht="12.75" customHeight="1" x14ac:dyDescent="0.35">
      <c r="A11" s="97"/>
      <c r="B11" s="97" t="s">
        <v>5469</v>
      </c>
      <c r="C11" s="97"/>
      <c r="D11" s="97"/>
    </row>
    <row r="12" spans="1:4" ht="12.75" customHeight="1" x14ac:dyDescent="0.35">
      <c r="A12" s="97"/>
      <c r="B12" s="97" t="s">
        <v>5470</v>
      </c>
      <c r="C12" s="97"/>
      <c r="D12" s="97"/>
    </row>
    <row r="13" spans="1:4" ht="12.75" customHeight="1" x14ac:dyDescent="0.35">
      <c r="A13" s="97"/>
      <c r="B13" s="97" t="s">
        <v>5471</v>
      </c>
      <c r="C13" s="97"/>
      <c r="D13" s="97"/>
    </row>
    <row r="14" spans="1:4" ht="12.75" customHeight="1" x14ac:dyDescent="0.35">
      <c r="A14" s="97"/>
      <c r="B14" s="97"/>
      <c r="C14" s="97"/>
      <c r="D14" s="97"/>
    </row>
    <row r="15" spans="1:4" ht="12.75" customHeight="1" x14ac:dyDescent="0.35">
      <c r="A15" s="97"/>
      <c r="B15" s="97" t="s">
        <v>5472</v>
      </c>
      <c r="C15" s="97"/>
      <c r="D15" s="97"/>
    </row>
    <row r="16" spans="1:4" ht="12.75" customHeight="1" x14ac:dyDescent="0.35">
      <c r="A16" s="97"/>
      <c r="B16" s="97"/>
      <c r="C16" s="97"/>
      <c r="D16" s="97"/>
    </row>
    <row r="17" spans="1:4" ht="12.75" customHeight="1" x14ac:dyDescent="0.35">
      <c r="A17" s="97"/>
      <c r="B17" s="97" t="s">
        <v>5470</v>
      </c>
      <c r="C17" s="97"/>
      <c r="D17" s="97" t="s">
        <v>3657</v>
      </c>
    </row>
    <row r="18" spans="1:4" ht="12.75" customHeight="1" x14ac:dyDescent="0.35">
      <c r="A18" s="97"/>
      <c r="B18" s="97"/>
      <c r="C18" s="97"/>
      <c r="D18" s="97"/>
    </row>
    <row r="19" spans="1:4" ht="12.75" customHeight="1" x14ac:dyDescent="0.35">
      <c r="A19" s="97"/>
      <c r="B19" s="97"/>
      <c r="C19" s="97"/>
      <c r="D19" s="97"/>
    </row>
    <row r="20" spans="1:4" ht="12.75" customHeight="1" x14ac:dyDescent="0.35">
      <c r="A20" s="97"/>
      <c r="B20" s="97"/>
      <c r="C20" s="97"/>
      <c r="D20" s="97"/>
    </row>
    <row r="21" spans="1:4" ht="12.75" customHeight="1" x14ac:dyDescent="0.35">
      <c r="A21" s="97"/>
      <c r="B21" s="97"/>
      <c r="C21" s="97" t="s">
        <v>5475</v>
      </c>
      <c r="D21" s="97"/>
    </row>
    <row r="22" spans="1:4" ht="12.75" customHeight="1" x14ac:dyDescent="0.35">
      <c r="A22" s="97"/>
      <c r="B22" s="97"/>
      <c r="C22" s="97"/>
      <c r="D22" s="97"/>
    </row>
    <row r="23" spans="1:4" ht="12.75" customHeight="1" x14ac:dyDescent="0.35">
      <c r="A23" s="97"/>
      <c r="B23" s="97"/>
      <c r="C23" s="97"/>
      <c r="D23" s="97"/>
    </row>
    <row r="24" spans="1:4" ht="12.75" customHeight="1" x14ac:dyDescent="0.35">
      <c r="A24" s="97"/>
      <c r="B24" s="97"/>
      <c r="C24" s="97"/>
      <c r="D24" s="97"/>
    </row>
    <row r="25" spans="1:4" ht="12.75" customHeight="1" x14ac:dyDescent="0.35">
      <c r="A25" s="97"/>
      <c r="B25" s="97"/>
      <c r="C25" s="97" t="s">
        <v>5476</v>
      </c>
      <c r="D25" s="97"/>
    </row>
    <row r="26" spans="1:4" ht="12.75" customHeight="1" x14ac:dyDescent="0.35">
      <c r="A26" s="97"/>
      <c r="B26" s="97"/>
      <c r="C26" s="97"/>
      <c r="D26" s="97"/>
    </row>
    <row r="27" spans="1:4" ht="12.75" customHeight="1" x14ac:dyDescent="0.35">
      <c r="A27" s="97"/>
      <c r="B27" s="97"/>
      <c r="C27" s="97"/>
      <c r="D27" s="97"/>
    </row>
    <row r="28" spans="1:4" ht="12.75" customHeight="1" x14ac:dyDescent="0.35">
      <c r="A28" s="97"/>
      <c r="B28" s="97"/>
      <c r="C28" s="97"/>
      <c r="D28" s="97"/>
    </row>
    <row r="29" spans="1:4" ht="12.75" customHeight="1" x14ac:dyDescent="0.35">
      <c r="A29" s="97"/>
      <c r="B29" s="97"/>
      <c r="C29" s="97"/>
      <c r="D29" s="97"/>
    </row>
    <row r="30" spans="1:4" ht="12.75" customHeight="1" x14ac:dyDescent="0.35">
      <c r="A30" s="97"/>
      <c r="B30" s="97"/>
      <c r="C30" s="97"/>
      <c r="D30" s="97"/>
    </row>
    <row r="31" spans="1:4" ht="12.75" customHeight="1" x14ac:dyDescent="0.35">
      <c r="A31" s="97"/>
      <c r="B31" s="97"/>
      <c r="C31" s="97" t="s">
        <v>5475</v>
      </c>
      <c r="D31" s="97"/>
    </row>
    <row r="32" spans="1:4" ht="12.75" customHeight="1" x14ac:dyDescent="0.35">
      <c r="A32" s="97"/>
      <c r="B32" s="97"/>
      <c r="C32" s="97"/>
      <c r="D32" s="97"/>
    </row>
    <row r="33" spans="1:4" ht="12.75" customHeight="1" x14ac:dyDescent="0.35">
      <c r="A33" s="97"/>
      <c r="B33" s="97"/>
      <c r="C33" s="97"/>
      <c r="D33" s="97"/>
    </row>
    <row r="34" spans="1:4" ht="12.75" customHeight="1" x14ac:dyDescent="0.35">
      <c r="A34" s="97"/>
      <c r="B34" s="97"/>
      <c r="C34" s="97"/>
      <c r="D34" s="97"/>
    </row>
    <row r="35" spans="1:4" ht="12.75" customHeight="1" x14ac:dyDescent="0.35">
      <c r="A35" s="97"/>
      <c r="B35" s="97"/>
      <c r="C35" s="97" t="s">
        <v>5476</v>
      </c>
      <c r="D35" s="97"/>
    </row>
    <row r="36" spans="1:4" ht="12.75" customHeight="1" x14ac:dyDescent="0.35">
      <c r="A36" s="97"/>
      <c r="B36" s="97"/>
      <c r="C36" s="97"/>
      <c r="D36" s="97"/>
    </row>
    <row r="37" spans="1:4" ht="12.75" customHeight="1" x14ac:dyDescent="0.35">
      <c r="A37" s="97"/>
      <c r="B37" s="97"/>
      <c r="C37" s="97"/>
      <c r="D37" s="97"/>
    </row>
    <row r="38" spans="1:4" ht="12.75" customHeight="1" x14ac:dyDescent="0.35">
      <c r="A38" s="97"/>
      <c r="B38" s="97"/>
      <c r="C38" s="97"/>
      <c r="D38" s="97"/>
    </row>
    <row r="39" spans="1:4" ht="12.75" customHeight="1" x14ac:dyDescent="0.35">
      <c r="A39" s="97"/>
      <c r="B39" s="97"/>
      <c r="C39" s="97"/>
      <c r="D39" s="97"/>
    </row>
    <row r="40" spans="1:4" ht="12.75" customHeight="1" x14ac:dyDescent="0.35">
      <c r="A40" s="97"/>
      <c r="B40" s="97"/>
      <c r="C40" s="97"/>
      <c r="D40" s="97"/>
    </row>
    <row r="41" spans="1:4" ht="12.75" customHeight="1" x14ac:dyDescent="0.35">
      <c r="A41" s="97"/>
      <c r="B41" s="97"/>
      <c r="C41" s="97" t="s">
        <v>5475</v>
      </c>
      <c r="D41" s="97"/>
    </row>
    <row r="42" spans="1:4" ht="12.75" customHeight="1" x14ac:dyDescent="0.35">
      <c r="A42" s="97"/>
      <c r="B42" s="97"/>
      <c r="C42" s="97"/>
      <c r="D42" s="97"/>
    </row>
    <row r="43" spans="1:4" ht="12.75" customHeight="1" x14ac:dyDescent="0.35">
      <c r="A43" s="97"/>
      <c r="B43" s="97"/>
      <c r="C43" s="97"/>
      <c r="D43" s="97"/>
    </row>
    <row r="44" spans="1:4" ht="12.75" customHeight="1" x14ac:dyDescent="0.35">
      <c r="A44" s="97"/>
      <c r="B44" s="97"/>
      <c r="C44" s="97"/>
      <c r="D44" s="97"/>
    </row>
    <row r="45" spans="1:4" ht="12.75" customHeight="1" x14ac:dyDescent="0.35">
      <c r="A45" s="97"/>
      <c r="B45" s="97"/>
      <c r="C45" s="97" t="s">
        <v>5476</v>
      </c>
      <c r="D45" s="97"/>
    </row>
    <row r="46" spans="1:4" ht="12.75" customHeight="1" x14ac:dyDescent="0.35">
      <c r="A46" s="97"/>
      <c r="B46" s="97"/>
      <c r="C46" s="97"/>
      <c r="D46" s="97"/>
    </row>
    <row r="47" spans="1:4" ht="12.75" customHeight="1" x14ac:dyDescent="0.35">
      <c r="A47" s="97"/>
      <c r="B47" s="97"/>
      <c r="C47" s="97"/>
      <c r="D47" s="97"/>
    </row>
    <row r="48" spans="1:4" ht="12.75" customHeight="1" x14ac:dyDescent="0.35">
      <c r="A48" s="97"/>
      <c r="B48" s="97"/>
      <c r="C48" s="97"/>
      <c r="D48" s="97"/>
    </row>
    <row r="49" spans="1:4" ht="12.75" customHeight="1" x14ac:dyDescent="0.35">
      <c r="A49" s="97"/>
      <c r="B49" s="97"/>
      <c r="C49" s="97"/>
      <c r="D49" s="97"/>
    </row>
    <row r="50" spans="1:4" ht="12.75" customHeight="1" x14ac:dyDescent="0.35">
      <c r="A50" s="97"/>
      <c r="B50" s="97"/>
      <c r="C50" s="97"/>
      <c r="D50" s="97"/>
    </row>
    <row r="51" spans="1:4" ht="12.75" customHeight="1" x14ac:dyDescent="0.35">
      <c r="A51" s="97"/>
      <c r="B51" s="97"/>
      <c r="C51" s="97" t="s">
        <v>5475</v>
      </c>
      <c r="D51" s="97"/>
    </row>
    <row r="52" spans="1:4" ht="12.75" customHeight="1" x14ac:dyDescent="0.35">
      <c r="A52" s="97"/>
      <c r="B52" s="97"/>
      <c r="C52" s="97"/>
      <c r="D52" s="97"/>
    </row>
    <row r="53" spans="1:4" ht="12.75" customHeight="1" x14ac:dyDescent="0.35">
      <c r="A53" s="97"/>
      <c r="B53" s="97"/>
      <c r="C53" s="97"/>
      <c r="D53" s="97"/>
    </row>
    <row r="54" spans="1:4" ht="12.75" customHeight="1" x14ac:dyDescent="0.35">
      <c r="A54" s="97"/>
      <c r="B54" s="97"/>
      <c r="C54" s="97"/>
      <c r="D54" s="97"/>
    </row>
    <row r="55" spans="1:4" ht="12.75" customHeight="1" x14ac:dyDescent="0.35">
      <c r="A55" s="97"/>
      <c r="B55" s="97"/>
      <c r="C55" s="97" t="s">
        <v>5476</v>
      </c>
      <c r="D55" s="97"/>
    </row>
    <row r="56" spans="1:4" ht="12.75" customHeight="1" x14ac:dyDescent="0.35">
      <c r="A56" s="97"/>
      <c r="B56" s="97"/>
      <c r="C56" s="97"/>
      <c r="D56" s="97"/>
    </row>
    <row r="57" spans="1:4" ht="12.75" customHeight="1" x14ac:dyDescent="0.35">
      <c r="A57" s="97"/>
      <c r="B57" s="97"/>
      <c r="C57" s="97"/>
      <c r="D57" s="97"/>
    </row>
    <row r="58" spans="1:4" ht="12.75" customHeight="1" x14ac:dyDescent="0.35">
      <c r="A58" s="97"/>
      <c r="B58" s="97"/>
      <c r="C58" s="97"/>
      <c r="D58" s="97"/>
    </row>
    <row r="59" spans="1:4" ht="12.75" customHeight="1" x14ac:dyDescent="0.35">
      <c r="A59" s="97"/>
      <c r="B59" s="97"/>
      <c r="C59" s="97"/>
      <c r="D59" s="97"/>
    </row>
    <row r="60" spans="1:4" ht="12.75" customHeight="1" x14ac:dyDescent="0.35">
      <c r="A60" s="97"/>
      <c r="B60" s="97"/>
      <c r="C60" s="97"/>
      <c r="D60" s="97"/>
    </row>
    <row r="61" spans="1:4" ht="12.75" customHeight="1" x14ac:dyDescent="0.35">
      <c r="A61" s="97"/>
      <c r="B61" s="97"/>
      <c r="C61" s="97" t="s">
        <v>5475</v>
      </c>
      <c r="D61" s="97"/>
    </row>
    <row r="62" spans="1:4" ht="12.75" customHeight="1" x14ac:dyDescent="0.35">
      <c r="A62" s="97"/>
      <c r="B62" s="97"/>
      <c r="C62" s="97"/>
      <c r="D62" s="97"/>
    </row>
    <row r="63" spans="1:4" ht="12.75" customHeight="1" x14ac:dyDescent="0.35">
      <c r="A63" s="97"/>
      <c r="B63" s="97"/>
      <c r="C63" s="97"/>
      <c r="D63" s="97"/>
    </row>
    <row r="64" spans="1:4" ht="12.75" customHeight="1" x14ac:dyDescent="0.35">
      <c r="A64" s="97"/>
      <c r="B64" s="97"/>
      <c r="C64" s="97"/>
      <c r="D64" s="97"/>
    </row>
    <row r="65" spans="1:4" ht="12.75" customHeight="1" x14ac:dyDescent="0.35">
      <c r="A65" s="97"/>
      <c r="B65" s="97"/>
      <c r="C65" s="97" t="s">
        <v>5476</v>
      </c>
      <c r="D65" s="97"/>
    </row>
    <row r="66" spans="1:4" ht="12.75" customHeight="1" x14ac:dyDescent="0.35">
      <c r="A66" s="97"/>
      <c r="B66" s="97"/>
      <c r="C66" s="97"/>
      <c r="D66" s="97"/>
    </row>
    <row r="67" spans="1:4" ht="12.75" customHeight="1" x14ac:dyDescent="0.35">
      <c r="A67" s="97"/>
      <c r="B67" s="97"/>
      <c r="C67" s="97"/>
      <c r="D67" s="97"/>
    </row>
    <row r="68" spans="1:4" ht="12.75" customHeight="1" x14ac:dyDescent="0.35">
      <c r="A68" s="97"/>
      <c r="B68" s="97"/>
      <c r="C68" s="97"/>
      <c r="D68" s="97"/>
    </row>
    <row r="69" spans="1:4" ht="12.75" customHeight="1" x14ac:dyDescent="0.35">
      <c r="A69" s="97"/>
      <c r="B69" s="97"/>
      <c r="C69" s="97"/>
      <c r="D69" s="97"/>
    </row>
    <row r="70" spans="1:4" ht="12.75" customHeight="1" x14ac:dyDescent="0.35">
      <c r="A70" s="97"/>
      <c r="B70" s="97"/>
      <c r="C70" s="97"/>
      <c r="D70" s="97"/>
    </row>
    <row r="71" spans="1:4" ht="12.75" customHeight="1" x14ac:dyDescent="0.35">
      <c r="A71" s="97"/>
      <c r="B71" s="97"/>
      <c r="C71" s="97" t="s">
        <v>5475</v>
      </c>
      <c r="D71" s="97"/>
    </row>
    <row r="72" spans="1:4" ht="12.75" customHeight="1" x14ac:dyDescent="0.35">
      <c r="A72" s="97"/>
      <c r="B72" s="97"/>
      <c r="C72" s="97"/>
      <c r="D72" s="97"/>
    </row>
    <row r="73" spans="1:4" ht="12.75" customHeight="1" x14ac:dyDescent="0.35">
      <c r="A73" s="97"/>
      <c r="B73" s="97"/>
      <c r="C73" s="97"/>
      <c r="D73" s="97"/>
    </row>
    <row r="74" spans="1:4" ht="12.75" customHeight="1" x14ac:dyDescent="0.35">
      <c r="A74" s="97"/>
      <c r="B74" s="97"/>
      <c r="C74" s="97"/>
      <c r="D74" s="97"/>
    </row>
    <row r="75" spans="1:4" ht="12.75" customHeight="1" x14ac:dyDescent="0.35">
      <c r="A75" s="97"/>
      <c r="B75" s="97"/>
      <c r="C75" s="97" t="s">
        <v>5476</v>
      </c>
      <c r="D75" s="97"/>
    </row>
    <row r="76" spans="1:4" ht="12.75" customHeight="1" x14ac:dyDescent="0.35">
      <c r="A76" s="97"/>
      <c r="B76" s="97"/>
      <c r="C76" s="97"/>
      <c r="D76" s="97"/>
    </row>
    <row r="77" spans="1:4" ht="12.75" customHeight="1" x14ac:dyDescent="0.35">
      <c r="A77" s="97"/>
      <c r="B77" s="97"/>
      <c r="C77" s="97"/>
      <c r="D77" s="97"/>
    </row>
    <row r="78" spans="1:4" ht="12.75" customHeight="1" x14ac:dyDescent="0.35">
      <c r="A78" s="97"/>
      <c r="B78" s="97"/>
      <c r="C78" s="97"/>
      <c r="D78" s="97"/>
    </row>
    <row r="79" spans="1:4" ht="12.75" customHeight="1" x14ac:dyDescent="0.35">
      <c r="A79" s="97"/>
      <c r="B79" s="97"/>
      <c r="C79" s="97"/>
      <c r="D79" s="97"/>
    </row>
    <row r="80" spans="1:4" ht="12.75" customHeight="1" x14ac:dyDescent="0.35">
      <c r="A80" s="97"/>
      <c r="B80" s="97"/>
      <c r="C80" s="97"/>
      <c r="D80" s="97"/>
    </row>
    <row r="81" spans="1:4" ht="12.75" customHeight="1" x14ac:dyDescent="0.35">
      <c r="A81" s="97"/>
      <c r="B81" s="97"/>
      <c r="C81" s="97" t="s">
        <v>5475</v>
      </c>
      <c r="D81" s="97"/>
    </row>
    <row r="82" spans="1:4" ht="12.75" customHeight="1" x14ac:dyDescent="0.35">
      <c r="A82" s="97"/>
      <c r="B82" s="97"/>
      <c r="C82" s="97"/>
      <c r="D82" s="97"/>
    </row>
    <row r="83" spans="1:4" ht="12.75" customHeight="1" x14ac:dyDescent="0.35">
      <c r="A83" s="97"/>
      <c r="B83" s="97"/>
      <c r="C83" s="97"/>
      <c r="D83" s="97"/>
    </row>
    <row r="84" spans="1:4" ht="12.75" customHeight="1" x14ac:dyDescent="0.35">
      <c r="A84" s="97"/>
      <c r="B84" s="97"/>
      <c r="C84" s="97"/>
      <c r="D84" s="97"/>
    </row>
    <row r="85" spans="1:4" ht="12.75" customHeight="1" x14ac:dyDescent="0.35">
      <c r="A85" s="97"/>
      <c r="B85" s="97"/>
      <c r="C85" s="97" t="s">
        <v>5476</v>
      </c>
      <c r="D85" s="97"/>
    </row>
    <row r="86" spans="1:4" ht="12.75" customHeight="1" x14ac:dyDescent="0.35">
      <c r="A86" s="97"/>
      <c r="B86" s="97"/>
      <c r="C86" s="97"/>
      <c r="D86" s="97"/>
    </row>
    <row r="87" spans="1:4" ht="12.75" customHeight="1" x14ac:dyDescent="0.35">
      <c r="A87" s="97"/>
      <c r="B87" s="97"/>
      <c r="C87" s="97"/>
      <c r="D87" s="97"/>
    </row>
    <row r="88" spans="1:4" ht="12.75" customHeight="1" x14ac:dyDescent="0.35">
      <c r="A88" s="97"/>
      <c r="B88" s="97"/>
      <c r="C88" s="97"/>
      <c r="D88" s="97"/>
    </row>
    <row r="89" spans="1:4" ht="12.75" customHeight="1" x14ac:dyDescent="0.35">
      <c r="A89" s="97"/>
      <c r="B89" s="97"/>
      <c r="C89" s="97"/>
      <c r="D89" s="97"/>
    </row>
    <row r="90" spans="1:4" ht="12.75" customHeight="1" x14ac:dyDescent="0.35">
      <c r="A90" s="97"/>
      <c r="B90" s="97"/>
      <c r="C90" s="97"/>
      <c r="D90" s="97"/>
    </row>
    <row r="91" spans="1:4" ht="12.75" customHeight="1" x14ac:dyDescent="0.35">
      <c r="A91" s="97"/>
      <c r="B91" s="97"/>
      <c r="C91" s="97" t="s">
        <v>5475</v>
      </c>
      <c r="D91" s="97"/>
    </row>
    <row r="92" spans="1:4" ht="12.75" customHeight="1" x14ac:dyDescent="0.35">
      <c r="A92" s="97"/>
      <c r="B92" s="97"/>
      <c r="C92" s="97"/>
      <c r="D92" s="97"/>
    </row>
    <row r="93" spans="1:4" ht="12.75" customHeight="1" x14ac:dyDescent="0.35">
      <c r="A93" s="97"/>
      <c r="B93" s="97"/>
      <c r="C93" s="97"/>
      <c r="D93" s="97"/>
    </row>
    <row r="94" spans="1:4" ht="12.75" customHeight="1" x14ac:dyDescent="0.35">
      <c r="A94" s="97"/>
      <c r="B94" s="97"/>
      <c r="C94" s="97"/>
      <c r="D94" s="97"/>
    </row>
    <row r="95" spans="1:4" ht="12.75" customHeight="1" x14ac:dyDescent="0.35">
      <c r="A95" s="97"/>
      <c r="B95" s="97"/>
      <c r="C95" s="97" t="s">
        <v>5476</v>
      </c>
      <c r="D95" s="97"/>
    </row>
    <row r="96" spans="1:4" ht="12.75" customHeight="1" x14ac:dyDescent="0.35">
      <c r="A96" s="97"/>
      <c r="B96" s="97"/>
      <c r="C96" s="97"/>
      <c r="D96" s="97"/>
    </row>
    <row r="97" spans="1:4" ht="12.75" customHeight="1" x14ac:dyDescent="0.35">
      <c r="A97" s="97"/>
      <c r="B97" s="97"/>
      <c r="C97" s="97"/>
      <c r="D97" s="97"/>
    </row>
    <row r="98" spans="1:4" ht="12.75" customHeight="1" x14ac:dyDescent="0.35">
      <c r="A98" s="97"/>
      <c r="B98" s="97"/>
      <c r="C98" s="97"/>
      <c r="D98" s="97"/>
    </row>
    <row r="99" spans="1:4" ht="12.75" customHeight="1" x14ac:dyDescent="0.35">
      <c r="A99" s="97"/>
      <c r="B99" s="97"/>
      <c r="C99" s="97"/>
      <c r="D99" s="97"/>
    </row>
    <row r="100" spans="1:4" ht="12.75" customHeight="1" x14ac:dyDescent="0.35">
      <c r="A100" s="97"/>
      <c r="B100" s="97"/>
      <c r="C100" s="97"/>
      <c r="D100" s="97"/>
    </row>
    <row r="101" spans="1:4" ht="12.75" customHeight="1" x14ac:dyDescent="0.35">
      <c r="A101" s="97"/>
      <c r="B101" s="97"/>
      <c r="C101" s="97" t="s">
        <v>5475</v>
      </c>
      <c r="D101" s="97"/>
    </row>
    <row r="102" spans="1:4" ht="12.75" customHeight="1" x14ac:dyDescent="0.35">
      <c r="A102" s="97"/>
      <c r="B102" s="97"/>
      <c r="C102" s="97"/>
      <c r="D102" s="97"/>
    </row>
    <row r="103" spans="1:4" ht="12.75" customHeight="1" x14ac:dyDescent="0.35">
      <c r="A103" s="97"/>
      <c r="B103" s="97"/>
      <c r="C103" s="97"/>
      <c r="D103" s="97"/>
    </row>
    <row r="104" spans="1:4" ht="12.75" customHeight="1" x14ac:dyDescent="0.35">
      <c r="A104" s="97"/>
      <c r="B104" s="97"/>
      <c r="C104" s="97"/>
      <c r="D104" s="97"/>
    </row>
    <row r="105" spans="1:4" ht="12.75" customHeight="1" x14ac:dyDescent="0.35">
      <c r="A105" s="97"/>
      <c r="B105" s="97"/>
      <c r="C105" s="97" t="s">
        <v>5476</v>
      </c>
      <c r="D105" s="97"/>
    </row>
    <row r="106" spans="1:4" ht="12.75" customHeight="1" x14ac:dyDescent="0.35">
      <c r="A106" s="97"/>
      <c r="B106" s="97"/>
      <c r="C106" s="97"/>
      <c r="D106" s="97"/>
    </row>
    <row r="107" spans="1:4" ht="12.75" customHeight="1" x14ac:dyDescent="0.35">
      <c r="A107" s="97"/>
      <c r="B107" s="97"/>
      <c r="C107" s="97"/>
      <c r="D107" s="97"/>
    </row>
    <row r="108" spans="1:4" ht="12.75" customHeight="1" x14ac:dyDescent="0.35">
      <c r="A108" s="97"/>
      <c r="B108" s="97"/>
      <c r="C108" s="97"/>
      <c r="D108" s="97"/>
    </row>
    <row r="109" spans="1:4" ht="12.75" customHeight="1" x14ac:dyDescent="0.35">
      <c r="A109" s="97"/>
      <c r="B109" s="97"/>
      <c r="C109" s="97"/>
      <c r="D109" s="97"/>
    </row>
    <row r="110" spans="1:4" ht="12.75" customHeight="1" x14ac:dyDescent="0.35">
      <c r="A110" s="97"/>
      <c r="B110" s="97"/>
      <c r="C110" s="97"/>
      <c r="D110" s="97"/>
    </row>
    <row r="111" spans="1:4" ht="12.75" customHeight="1" x14ac:dyDescent="0.35">
      <c r="A111" s="97"/>
      <c r="B111" s="97"/>
      <c r="C111" s="97" t="s">
        <v>5475</v>
      </c>
      <c r="D111" s="97"/>
    </row>
    <row r="112" spans="1:4" ht="12.75" customHeight="1" x14ac:dyDescent="0.35">
      <c r="A112" s="97"/>
      <c r="B112" s="97"/>
      <c r="C112" s="97"/>
      <c r="D112" s="97"/>
    </row>
    <row r="113" spans="1:4" ht="12.75" customHeight="1" x14ac:dyDescent="0.35">
      <c r="A113" s="97"/>
      <c r="B113" s="97"/>
      <c r="C113" s="97"/>
      <c r="D113" s="97"/>
    </row>
    <row r="114" spans="1:4" ht="12.75" customHeight="1" x14ac:dyDescent="0.35">
      <c r="A114" s="97"/>
      <c r="B114" s="97"/>
      <c r="C114" s="97"/>
      <c r="D114" s="97"/>
    </row>
    <row r="115" spans="1:4" ht="12.75" customHeight="1" x14ac:dyDescent="0.35">
      <c r="A115" s="97"/>
      <c r="B115" s="97"/>
      <c r="C115" s="97" t="s">
        <v>5476</v>
      </c>
      <c r="D115" s="97"/>
    </row>
    <row r="116" spans="1:4" ht="12.75" customHeight="1" x14ac:dyDescent="0.35">
      <c r="A116" s="97"/>
      <c r="B116" s="97"/>
      <c r="C116" s="97"/>
      <c r="D116" s="97"/>
    </row>
    <row r="117" spans="1:4" ht="12.75" customHeight="1" x14ac:dyDescent="0.35">
      <c r="A117" s="97"/>
      <c r="B117" s="97"/>
      <c r="C117" s="97"/>
      <c r="D117" s="97"/>
    </row>
    <row r="118" spans="1:4" ht="12.75" customHeight="1" x14ac:dyDescent="0.35">
      <c r="A118" s="97"/>
      <c r="B118" s="97"/>
      <c r="C118" s="97"/>
      <c r="D118" s="97"/>
    </row>
    <row r="119" spans="1:4" ht="12.75" customHeight="1" x14ac:dyDescent="0.35">
      <c r="A119" s="97"/>
      <c r="B119" s="97"/>
      <c r="C119" s="97"/>
      <c r="D119" s="97"/>
    </row>
    <row r="120" spans="1:4" ht="12.75" customHeight="1" x14ac:dyDescent="0.35">
      <c r="A120" s="97"/>
      <c r="B120" s="97"/>
      <c r="C120" s="97"/>
      <c r="D120" s="97"/>
    </row>
    <row r="121" spans="1:4" ht="12.75" customHeight="1" x14ac:dyDescent="0.35">
      <c r="A121" s="97"/>
      <c r="B121" s="97"/>
      <c r="C121" s="97" t="s">
        <v>5475</v>
      </c>
      <c r="D121" s="97"/>
    </row>
    <row r="122" spans="1:4" ht="12.75" customHeight="1" x14ac:dyDescent="0.35">
      <c r="A122" s="97"/>
      <c r="B122" s="97"/>
      <c r="C122" s="97"/>
      <c r="D122" s="97"/>
    </row>
    <row r="123" spans="1:4" ht="12.75" customHeight="1" x14ac:dyDescent="0.35">
      <c r="A123" s="97"/>
      <c r="B123" s="97"/>
      <c r="C123" s="97"/>
      <c r="D123" s="97"/>
    </row>
    <row r="124" spans="1:4" ht="12.75" customHeight="1" x14ac:dyDescent="0.35">
      <c r="A124" s="97"/>
      <c r="B124" s="97"/>
      <c r="C124" s="97"/>
      <c r="D124" s="97"/>
    </row>
    <row r="125" spans="1:4" ht="12.75" customHeight="1" x14ac:dyDescent="0.35">
      <c r="A125" s="97"/>
      <c r="B125" s="97"/>
      <c r="C125" s="97" t="s">
        <v>5476</v>
      </c>
      <c r="D125" s="97"/>
    </row>
    <row r="126" spans="1:4" ht="12.75" customHeight="1" x14ac:dyDescent="0.35">
      <c r="A126" s="97"/>
      <c r="B126" s="97"/>
      <c r="C126" s="97"/>
      <c r="D126" s="97"/>
    </row>
    <row r="127" spans="1:4" ht="12.75" customHeight="1" x14ac:dyDescent="0.35">
      <c r="A127" s="97"/>
      <c r="B127" s="97"/>
      <c r="C127" s="97"/>
      <c r="D127" s="97"/>
    </row>
    <row r="128" spans="1:4" ht="12.75" customHeight="1" x14ac:dyDescent="0.35">
      <c r="A128" s="97"/>
      <c r="B128" s="97"/>
      <c r="C128" s="97"/>
      <c r="D128" s="97"/>
    </row>
    <row r="129" spans="1:4" ht="12.75" customHeight="1" x14ac:dyDescent="0.35">
      <c r="A129" s="97"/>
      <c r="B129" s="97"/>
      <c r="C129" s="97"/>
      <c r="D129" s="97"/>
    </row>
    <row r="130" spans="1:4" ht="12.75" customHeight="1" x14ac:dyDescent="0.35">
      <c r="A130" s="97"/>
      <c r="B130" s="97"/>
      <c r="C130" s="97"/>
      <c r="D130" s="97"/>
    </row>
    <row r="131" spans="1:4" ht="12.75" customHeight="1" x14ac:dyDescent="0.35">
      <c r="A131" s="97"/>
      <c r="B131" s="97"/>
      <c r="C131" s="97" t="s">
        <v>5475</v>
      </c>
      <c r="D131" s="97"/>
    </row>
    <row r="132" spans="1:4" ht="12.75" customHeight="1" x14ac:dyDescent="0.35">
      <c r="A132" s="97"/>
      <c r="B132" s="97"/>
      <c r="C132" s="97"/>
      <c r="D132" s="97"/>
    </row>
    <row r="133" spans="1:4" ht="12.75" customHeight="1" x14ac:dyDescent="0.35">
      <c r="A133" s="97"/>
      <c r="B133" s="97"/>
      <c r="C133" s="97"/>
      <c r="D133" s="97"/>
    </row>
    <row r="134" spans="1:4" ht="12.75" customHeight="1" x14ac:dyDescent="0.35">
      <c r="A134" s="97"/>
      <c r="B134" s="97"/>
      <c r="C134" s="97"/>
      <c r="D134" s="97"/>
    </row>
    <row r="135" spans="1:4" ht="12.75" customHeight="1" x14ac:dyDescent="0.35">
      <c r="A135" s="97"/>
      <c r="B135" s="97"/>
      <c r="C135" s="97" t="s">
        <v>5476</v>
      </c>
      <c r="D135" s="97"/>
    </row>
    <row r="136" spans="1:4" ht="12.75" customHeight="1" x14ac:dyDescent="0.35">
      <c r="A136" s="97"/>
      <c r="B136" s="97"/>
      <c r="C136" s="97"/>
      <c r="D136" s="97"/>
    </row>
    <row r="137" spans="1:4" ht="12.75" customHeight="1" x14ac:dyDescent="0.35">
      <c r="A137" s="97"/>
      <c r="B137" s="97"/>
      <c r="C137" s="97"/>
      <c r="D137" s="97"/>
    </row>
    <row r="138" spans="1:4" ht="12.75" customHeight="1" x14ac:dyDescent="0.35">
      <c r="A138" s="97"/>
      <c r="B138" s="97"/>
      <c r="C138" s="97"/>
      <c r="D138" s="97"/>
    </row>
    <row r="139" spans="1:4" ht="12.75" customHeight="1" x14ac:dyDescent="0.35">
      <c r="A139" s="97"/>
      <c r="B139" s="97"/>
      <c r="C139" s="97"/>
      <c r="D139" s="97"/>
    </row>
    <row r="140" spans="1:4" ht="12.75" customHeight="1" x14ac:dyDescent="0.35">
      <c r="A140" s="97"/>
      <c r="B140" s="97"/>
      <c r="C140" s="97"/>
      <c r="D140" s="97"/>
    </row>
    <row r="141" spans="1:4" ht="12.75" customHeight="1" x14ac:dyDescent="0.35">
      <c r="A141" s="97"/>
      <c r="B141" s="97"/>
      <c r="C141" s="97" t="s">
        <v>5475</v>
      </c>
      <c r="D141" s="97"/>
    </row>
    <row r="142" spans="1:4" ht="12.75" customHeight="1" x14ac:dyDescent="0.35">
      <c r="A142" s="97"/>
      <c r="B142" s="97"/>
      <c r="C142" s="97"/>
      <c r="D142" s="97"/>
    </row>
    <row r="143" spans="1:4" ht="12.75" customHeight="1" x14ac:dyDescent="0.35">
      <c r="A143" s="97"/>
      <c r="B143" s="97"/>
      <c r="C143" s="97"/>
      <c r="D143" s="97"/>
    </row>
    <row r="144" spans="1:4" ht="12.75" customHeight="1" x14ac:dyDescent="0.35">
      <c r="A144" s="97"/>
      <c r="B144" s="97"/>
      <c r="C144" s="97"/>
      <c r="D144" s="97"/>
    </row>
    <row r="145" spans="1:4" ht="12.75" customHeight="1" x14ac:dyDescent="0.35">
      <c r="A145" s="97"/>
      <c r="B145" s="97"/>
      <c r="C145" s="97" t="s">
        <v>5476</v>
      </c>
      <c r="D145" s="97"/>
    </row>
    <row r="146" spans="1:4" ht="12.75" customHeight="1" x14ac:dyDescent="0.35">
      <c r="A146" s="97"/>
      <c r="B146" s="97"/>
      <c r="C146" s="97"/>
      <c r="D146" s="97"/>
    </row>
    <row r="147" spans="1:4" ht="12.75" customHeight="1" x14ac:dyDescent="0.35">
      <c r="A147" s="97"/>
      <c r="B147" s="97"/>
      <c r="C147" s="97"/>
      <c r="D147" s="97"/>
    </row>
    <row r="148" spans="1:4" ht="12.75" customHeight="1" x14ac:dyDescent="0.35">
      <c r="A148" s="97"/>
      <c r="B148" s="97"/>
      <c r="C148" s="97"/>
      <c r="D148" s="97"/>
    </row>
    <row r="149" spans="1:4" ht="12.75" customHeight="1" x14ac:dyDescent="0.35">
      <c r="A149" s="97"/>
      <c r="B149" s="97"/>
      <c r="C149" s="97"/>
      <c r="D149" s="97"/>
    </row>
    <row r="150" spans="1:4" ht="12.75" customHeight="1" x14ac:dyDescent="0.35">
      <c r="A150" s="97"/>
      <c r="B150" s="97" t="s">
        <v>5474</v>
      </c>
      <c r="C150" s="97"/>
      <c r="D150" s="97"/>
    </row>
    <row r="151" spans="1:4" ht="12.75" customHeight="1" x14ac:dyDescent="0.35">
      <c r="A151" s="97"/>
      <c r="B151" s="97"/>
      <c r="C151" s="97" t="s">
        <v>5475</v>
      </c>
      <c r="D151" s="97"/>
    </row>
    <row r="152" spans="1:4" ht="12.75" customHeight="1" x14ac:dyDescent="0.35">
      <c r="A152" s="97"/>
      <c r="B152" s="97"/>
      <c r="C152" s="97"/>
      <c r="D152" s="97"/>
    </row>
    <row r="153" spans="1:4" ht="12.75" customHeight="1" x14ac:dyDescent="0.35">
      <c r="A153" s="97"/>
      <c r="B153" s="97"/>
      <c r="C153" s="97"/>
      <c r="D153" s="97"/>
    </row>
    <row r="154" spans="1:4" ht="12.75" customHeight="1" x14ac:dyDescent="0.35">
      <c r="A154" s="97"/>
      <c r="B154" s="97" t="s">
        <v>5474</v>
      </c>
      <c r="C154" s="97"/>
      <c r="D154" s="97"/>
    </row>
    <row r="155" spans="1:4" ht="12.75" customHeight="1" x14ac:dyDescent="0.35">
      <c r="A155" s="97"/>
      <c r="B155" s="97"/>
      <c r="C155" s="97" t="s">
        <v>5476</v>
      </c>
      <c r="D155" s="97"/>
    </row>
    <row r="156" spans="1:4" ht="12.75" customHeight="1" x14ac:dyDescent="0.35">
      <c r="A156" s="97"/>
      <c r="B156" s="97"/>
      <c r="C156" s="97"/>
      <c r="D156" s="97"/>
    </row>
    <row r="157" spans="1:4" ht="12.75" customHeight="1" x14ac:dyDescent="0.35">
      <c r="A157" s="97"/>
      <c r="B157" s="97"/>
      <c r="C157" s="97"/>
      <c r="D157" s="97"/>
    </row>
    <row r="158" spans="1:4" ht="12.75" customHeight="1" x14ac:dyDescent="0.35">
      <c r="A158" s="97"/>
      <c r="B158" s="97"/>
      <c r="C158" s="97"/>
      <c r="D158" s="97"/>
    </row>
    <row r="159" spans="1:4" ht="12.75" customHeight="1" x14ac:dyDescent="0.35">
      <c r="A159" s="97"/>
      <c r="B159" s="97"/>
      <c r="C159" s="97"/>
      <c r="D159" s="97"/>
    </row>
    <row r="160" spans="1:4" ht="12.75" customHeight="1" x14ac:dyDescent="0.35">
      <c r="A160" s="97"/>
      <c r="B160" s="97" t="s">
        <v>5474</v>
      </c>
      <c r="C160" s="97"/>
      <c r="D160" s="97"/>
    </row>
    <row r="161" spans="1:4" ht="12.75" customHeight="1" x14ac:dyDescent="0.35">
      <c r="A161" s="97"/>
      <c r="B161" s="97"/>
      <c r="C161" s="97" t="s">
        <v>5475</v>
      </c>
      <c r="D161" s="97"/>
    </row>
    <row r="162" spans="1:4" ht="12.75" customHeight="1" x14ac:dyDescent="0.35">
      <c r="A162" s="97"/>
      <c r="B162" s="97"/>
      <c r="C162" s="97"/>
      <c r="D162" s="97"/>
    </row>
    <row r="163" spans="1:4" ht="12.75" customHeight="1" x14ac:dyDescent="0.35">
      <c r="A163" s="97"/>
      <c r="B163" s="97"/>
      <c r="C163" s="97"/>
      <c r="D163" s="97"/>
    </row>
    <row r="164" spans="1:4" ht="12.75" customHeight="1" x14ac:dyDescent="0.35">
      <c r="A164" s="97"/>
      <c r="B164" s="97" t="s">
        <v>5474</v>
      </c>
      <c r="C164" s="97"/>
      <c r="D164" s="97"/>
    </row>
    <row r="165" spans="1:4" ht="12.75" customHeight="1" x14ac:dyDescent="0.35">
      <c r="A165" s="97"/>
      <c r="B165" s="97"/>
      <c r="C165" s="97" t="s">
        <v>5476</v>
      </c>
      <c r="D165" s="97"/>
    </row>
    <row r="166" spans="1:4" ht="12.75" customHeight="1" x14ac:dyDescent="0.35">
      <c r="A166" s="97"/>
      <c r="B166" s="97"/>
      <c r="C166" s="97"/>
      <c r="D166" s="97"/>
    </row>
    <row r="167" spans="1:4" ht="12.75" customHeight="1" x14ac:dyDescent="0.35">
      <c r="A167" s="97"/>
      <c r="B167" s="97"/>
      <c r="C167" s="97"/>
      <c r="D167" s="97"/>
    </row>
    <row r="168" spans="1:4" ht="12.75" customHeight="1" x14ac:dyDescent="0.35">
      <c r="A168" s="97"/>
      <c r="B168" s="97"/>
      <c r="C168" s="97"/>
      <c r="D168" s="97"/>
    </row>
    <row r="169" spans="1:4" ht="12.75" customHeight="1" x14ac:dyDescent="0.35">
      <c r="A169" s="97"/>
      <c r="B169" s="97"/>
      <c r="C169" s="97"/>
      <c r="D169" s="97"/>
    </row>
    <row r="170" spans="1:4" ht="12.75" customHeight="1" x14ac:dyDescent="0.35">
      <c r="A170" s="97"/>
      <c r="B170" s="97" t="s">
        <v>5474</v>
      </c>
      <c r="C170" s="97"/>
      <c r="D170" s="97"/>
    </row>
    <row r="171" spans="1:4" ht="12.75" customHeight="1" x14ac:dyDescent="0.35">
      <c r="A171" s="97"/>
      <c r="B171" s="97"/>
      <c r="C171" s="97" t="s">
        <v>5475</v>
      </c>
      <c r="D171" s="97"/>
    </row>
    <row r="172" spans="1:4" ht="12.75" customHeight="1" x14ac:dyDescent="0.35">
      <c r="A172" s="97"/>
      <c r="B172" s="97"/>
      <c r="C172" s="97"/>
      <c r="D172" s="97"/>
    </row>
    <row r="173" spans="1:4" ht="12.75" customHeight="1" x14ac:dyDescent="0.35">
      <c r="A173" s="97"/>
      <c r="B173" s="97"/>
      <c r="C173" s="97"/>
      <c r="D173" s="97"/>
    </row>
    <row r="174" spans="1:4" ht="12.75" customHeight="1" x14ac:dyDescent="0.35">
      <c r="A174" s="97"/>
      <c r="B174" s="97" t="s">
        <v>5474</v>
      </c>
      <c r="C174" s="97"/>
      <c r="D174" s="97"/>
    </row>
    <row r="175" spans="1:4" ht="12.75" customHeight="1" x14ac:dyDescent="0.35">
      <c r="A175" s="97"/>
      <c r="B175" s="97"/>
      <c r="C175" s="97" t="s">
        <v>5476</v>
      </c>
      <c r="D175" s="97"/>
    </row>
    <row r="176" spans="1:4" ht="12.75" customHeight="1" x14ac:dyDescent="0.35">
      <c r="A176" s="97"/>
      <c r="B176" s="97"/>
      <c r="C176" s="97"/>
      <c r="D176" s="97"/>
    </row>
    <row r="177" spans="1:4" ht="12.75" customHeight="1" x14ac:dyDescent="0.35">
      <c r="A177" s="97"/>
      <c r="B177" s="97"/>
      <c r="C177" s="97"/>
      <c r="D177" s="97"/>
    </row>
    <row r="178" spans="1:4" ht="12.75" customHeight="1" x14ac:dyDescent="0.35">
      <c r="A178" s="97"/>
      <c r="B178" s="97"/>
      <c r="C178" s="97"/>
      <c r="D178" s="97"/>
    </row>
    <row r="179" spans="1:4" ht="12.75" customHeight="1" x14ac:dyDescent="0.35">
      <c r="A179" s="97"/>
      <c r="B179" s="97"/>
      <c r="C179" s="97"/>
      <c r="D179" s="97"/>
    </row>
    <row r="180" spans="1:4" ht="12.75" customHeight="1" x14ac:dyDescent="0.35">
      <c r="A180" s="97"/>
      <c r="B180" s="97" t="s">
        <v>5474</v>
      </c>
      <c r="C180" s="97"/>
      <c r="D180" s="97"/>
    </row>
    <row r="181" spans="1:4" ht="12.75" customHeight="1" x14ac:dyDescent="0.35">
      <c r="A181" s="97"/>
      <c r="B181" s="97"/>
      <c r="C181" s="97" t="s">
        <v>5475</v>
      </c>
      <c r="D181" s="97"/>
    </row>
    <row r="182" spans="1:4" ht="12.75" customHeight="1" x14ac:dyDescent="0.35">
      <c r="A182" s="97"/>
      <c r="B182" s="97"/>
      <c r="C182" s="97"/>
      <c r="D182" s="97"/>
    </row>
    <row r="183" spans="1:4" ht="12.75" customHeight="1" x14ac:dyDescent="0.35">
      <c r="A183" s="97"/>
      <c r="B183" s="97"/>
      <c r="C183" s="97"/>
      <c r="D183" s="97"/>
    </row>
    <row r="184" spans="1:4" ht="12.75" customHeight="1" x14ac:dyDescent="0.35">
      <c r="A184" s="97"/>
      <c r="B184" s="97" t="s">
        <v>5474</v>
      </c>
      <c r="C184" s="97"/>
      <c r="D184" s="97"/>
    </row>
    <row r="185" spans="1:4" ht="12.75" customHeight="1" x14ac:dyDescent="0.35">
      <c r="A185" s="97"/>
      <c r="B185" s="97"/>
      <c r="C185" s="97" t="s">
        <v>5476</v>
      </c>
      <c r="D185" s="97"/>
    </row>
    <row r="186" spans="1:4" ht="12.75" customHeight="1" x14ac:dyDescent="0.35">
      <c r="A186" s="97"/>
      <c r="B186" s="97"/>
      <c r="C186" s="97"/>
      <c r="D186" s="97"/>
    </row>
    <row r="187" spans="1:4" ht="12.75" customHeight="1" x14ac:dyDescent="0.35">
      <c r="A187" s="97"/>
      <c r="B187" s="97"/>
      <c r="C187" s="97"/>
      <c r="D187" s="97"/>
    </row>
    <row r="188" spans="1:4" ht="12.75" customHeight="1" x14ac:dyDescent="0.35">
      <c r="A188" s="97"/>
      <c r="B188" s="97"/>
      <c r="C188" s="97"/>
      <c r="D188" s="97"/>
    </row>
    <row r="189" spans="1:4" ht="12.75" customHeight="1" x14ac:dyDescent="0.35">
      <c r="A189" s="97"/>
      <c r="B189" s="97"/>
      <c r="C189" s="97"/>
      <c r="D189" s="97"/>
    </row>
    <row r="190" spans="1:4" ht="12.75" customHeight="1" x14ac:dyDescent="0.35">
      <c r="A190" s="97"/>
      <c r="B190" s="97" t="s">
        <v>5474</v>
      </c>
      <c r="C190" s="97"/>
      <c r="D190" s="97"/>
    </row>
    <row r="191" spans="1:4" ht="12.75" customHeight="1" x14ac:dyDescent="0.35">
      <c r="A191" s="97"/>
      <c r="B191" s="97"/>
      <c r="C191" s="97" t="s">
        <v>5475</v>
      </c>
      <c r="D191" s="97"/>
    </row>
    <row r="192" spans="1:4" ht="12.75" customHeight="1" x14ac:dyDescent="0.35">
      <c r="A192" s="97"/>
      <c r="B192" s="97"/>
      <c r="C192" s="97"/>
      <c r="D192" s="97"/>
    </row>
    <row r="193" spans="1:4" ht="12.75" customHeight="1" x14ac:dyDescent="0.35">
      <c r="A193" s="97"/>
      <c r="B193" s="97"/>
      <c r="C193" s="97"/>
      <c r="D193" s="97"/>
    </row>
    <row r="194" spans="1:4" ht="12.75" customHeight="1" x14ac:dyDescent="0.35">
      <c r="A194" s="97"/>
      <c r="B194" s="97" t="s">
        <v>5474</v>
      </c>
      <c r="C194" s="97"/>
      <c r="D194" s="97"/>
    </row>
    <row r="195" spans="1:4" ht="12.75" customHeight="1" x14ac:dyDescent="0.35">
      <c r="A195" s="97"/>
      <c r="B195" s="97"/>
      <c r="C195" s="97" t="s">
        <v>5476</v>
      </c>
      <c r="D195" s="97"/>
    </row>
    <row r="196" spans="1:4" ht="12.75" customHeight="1" x14ac:dyDescent="0.35">
      <c r="A196" s="97"/>
      <c r="B196" s="97"/>
      <c r="C196" s="97"/>
      <c r="D196" s="97"/>
    </row>
    <row r="197" spans="1:4" ht="12.75" customHeight="1" x14ac:dyDescent="0.35">
      <c r="A197" s="97"/>
      <c r="B197" s="97"/>
      <c r="C197" s="97"/>
      <c r="D197" s="97"/>
    </row>
    <row r="198" spans="1:4" ht="12.75" customHeight="1" x14ac:dyDescent="0.35">
      <c r="A198" s="97"/>
      <c r="B198" s="97"/>
      <c r="C198" s="97"/>
      <c r="D198" s="97"/>
    </row>
    <row r="199" spans="1:4" ht="12.75" customHeight="1" x14ac:dyDescent="0.35">
      <c r="A199" s="97"/>
      <c r="B199" s="97"/>
      <c r="C199" s="97"/>
      <c r="D199" s="97"/>
    </row>
    <row r="200" spans="1:4" ht="12.75" customHeight="1" x14ac:dyDescent="0.35">
      <c r="A200" s="97"/>
      <c r="B200" s="97" t="s">
        <v>5474</v>
      </c>
      <c r="C200" s="97"/>
      <c r="D200" s="97"/>
    </row>
    <row r="201" spans="1:4" ht="12.75" customHeight="1" x14ac:dyDescent="0.35">
      <c r="A201" s="97"/>
      <c r="B201" s="97"/>
      <c r="C201" s="97" t="s">
        <v>5475</v>
      </c>
      <c r="D201" s="97"/>
    </row>
    <row r="202" spans="1:4" ht="12.75" customHeight="1" x14ac:dyDescent="0.35">
      <c r="A202" s="97"/>
      <c r="B202" s="97"/>
      <c r="C202" s="97"/>
      <c r="D202" s="97"/>
    </row>
    <row r="203" spans="1:4" ht="12.75" customHeight="1" x14ac:dyDescent="0.35">
      <c r="A203" s="97"/>
      <c r="B203" s="97"/>
      <c r="C203" s="97"/>
      <c r="D203" s="97"/>
    </row>
    <row r="204" spans="1:4" ht="12.75" customHeight="1" x14ac:dyDescent="0.35">
      <c r="A204" s="97"/>
      <c r="B204" s="97" t="s">
        <v>5474</v>
      </c>
      <c r="C204" s="97"/>
      <c r="D204" s="97"/>
    </row>
    <row r="205" spans="1:4" ht="12.75" customHeight="1" x14ac:dyDescent="0.35">
      <c r="A205" s="97"/>
      <c r="B205" s="97"/>
      <c r="C205" s="97" t="s">
        <v>5476</v>
      </c>
      <c r="D205" s="97"/>
    </row>
    <row r="206" spans="1:4" ht="12.75" customHeight="1" x14ac:dyDescent="0.35">
      <c r="A206" s="97"/>
      <c r="B206" s="97"/>
      <c r="C206" s="97"/>
      <c r="D206" s="97"/>
    </row>
    <row r="207" spans="1:4" ht="12.75" customHeight="1" x14ac:dyDescent="0.35">
      <c r="A207" s="97"/>
      <c r="B207" s="97"/>
      <c r="C207" s="97"/>
      <c r="D207" s="97"/>
    </row>
    <row r="208" spans="1:4" ht="12.75" customHeight="1" x14ac:dyDescent="0.35">
      <c r="A208" s="97"/>
      <c r="B208" s="97"/>
      <c r="C208" s="97"/>
      <c r="D208" s="97"/>
    </row>
    <row r="209" spans="1:4" ht="12.75" customHeight="1" x14ac:dyDescent="0.35">
      <c r="A209" s="97"/>
      <c r="B209" s="97"/>
      <c r="C209" s="97"/>
      <c r="D209" s="97"/>
    </row>
    <row r="210" spans="1:4" ht="12.75" customHeight="1" x14ac:dyDescent="0.35">
      <c r="A210" s="97"/>
      <c r="B210" s="97" t="s">
        <v>5474</v>
      </c>
      <c r="C210" s="97"/>
      <c r="D210" s="97"/>
    </row>
    <row r="211" spans="1:4" ht="12.75" customHeight="1" x14ac:dyDescent="0.35">
      <c r="A211" s="97"/>
      <c r="B211" s="97"/>
      <c r="C211" s="97" t="s">
        <v>5475</v>
      </c>
      <c r="D211" s="97"/>
    </row>
    <row r="212" spans="1:4" ht="12.75" customHeight="1" x14ac:dyDescent="0.35">
      <c r="A212" s="97"/>
      <c r="B212" s="97"/>
      <c r="C212" s="97"/>
      <c r="D212" s="97"/>
    </row>
    <row r="213" spans="1:4" ht="12.75" customHeight="1" x14ac:dyDescent="0.35">
      <c r="A213" s="97"/>
      <c r="B213" s="97"/>
      <c r="C213" s="97"/>
      <c r="D213" s="97"/>
    </row>
    <row r="214" spans="1:4" ht="12.75" customHeight="1" x14ac:dyDescent="0.35">
      <c r="A214" s="97"/>
      <c r="B214" s="97" t="s">
        <v>5474</v>
      </c>
      <c r="C214" s="97"/>
      <c r="D214" s="97"/>
    </row>
    <row r="215" spans="1:4" ht="12.75" customHeight="1" x14ac:dyDescent="0.35">
      <c r="A215" s="97"/>
      <c r="B215" s="97"/>
      <c r="C215" s="97" t="s">
        <v>5476</v>
      </c>
      <c r="D215" s="97"/>
    </row>
    <row r="216" spans="1:4" ht="12.75" customHeight="1" x14ac:dyDescent="0.35">
      <c r="A216" s="97"/>
      <c r="B216" s="97"/>
      <c r="C216" s="97"/>
      <c r="D216" s="97"/>
    </row>
    <row r="217" spans="1:4" ht="12.75" customHeight="1" x14ac:dyDescent="0.35">
      <c r="A217" s="97"/>
      <c r="B217" s="97"/>
      <c r="C217" s="97"/>
      <c r="D217" s="97"/>
    </row>
    <row r="218" spans="1:4" ht="12.75" customHeight="1" x14ac:dyDescent="0.35">
      <c r="A218" s="97"/>
      <c r="B218" s="97"/>
      <c r="C218" s="97"/>
      <c r="D218" s="97"/>
    </row>
    <row r="219" spans="1:4" ht="12.75" customHeight="1" x14ac:dyDescent="0.35">
      <c r="A219" s="97"/>
      <c r="B219" s="97"/>
      <c r="C219" s="97"/>
      <c r="D219" s="97"/>
    </row>
    <row r="220" spans="1:4" ht="12.75" customHeight="1" x14ac:dyDescent="0.35">
      <c r="A220" s="97"/>
      <c r="B220" s="97" t="s">
        <v>5474</v>
      </c>
      <c r="C220" s="97"/>
      <c r="D220" s="97"/>
    </row>
    <row r="221" spans="1:4" ht="12.75" customHeight="1" x14ac:dyDescent="0.35">
      <c r="A221" s="97"/>
      <c r="B221" s="97"/>
      <c r="C221" s="97" t="s">
        <v>5475</v>
      </c>
      <c r="D221" s="97"/>
    </row>
    <row r="222" spans="1:4" ht="12.75" customHeight="1" x14ac:dyDescent="0.35">
      <c r="A222" s="97"/>
      <c r="B222" s="97"/>
      <c r="C222" s="97"/>
      <c r="D222" s="97"/>
    </row>
    <row r="223" spans="1:4" ht="12.75" customHeight="1" x14ac:dyDescent="0.35">
      <c r="A223" s="97"/>
      <c r="B223" s="97"/>
      <c r="C223" s="97"/>
      <c r="D223" s="97"/>
    </row>
    <row r="224" spans="1:4" ht="12.75" customHeight="1" x14ac:dyDescent="0.35">
      <c r="A224" s="97"/>
      <c r="B224" s="97" t="s">
        <v>5474</v>
      </c>
      <c r="C224" s="97"/>
      <c r="D224" s="97"/>
    </row>
    <row r="225" spans="1:4" ht="12.75" customHeight="1" x14ac:dyDescent="0.35">
      <c r="A225" s="97"/>
      <c r="B225" s="97"/>
      <c r="C225" s="97" t="s">
        <v>5476</v>
      </c>
      <c r="D225" s="97"/>
    </row>
    <row r="226" spans="1:4" ht="12.75" customHeight="1" x14ac:dyDescent="0.35">
      <c r="A226" s="97"/>
      <c r="B226" s="97"/>
      <c r="C226" s="97"/>
      <c r="D226" s="97"/>
    </row>
    <row r="227" spans="1:4" ht="12.75" customHeight="1" x14ac:dyDescent="0.35">
      <c r="A227" s="97"/>
      <c r="B227" s="97"/>
      <c r="C227" s="97"/>
      <c r="D227" s="97"/>
    </row>
    <row r="228" spans="1:4" ht="12.75" customHeight="1" x14ac:dyDescent="0.35">
      <c r="A228" s="97"/>
      <c r="B228" s="97"/>
      <c r="C228" s="97"/>
      <c r="D228" s="97"/>
    </row>
    <row r="229" spans="1:4" ht="12.75" customHeight="1" x14ac:dyDescent="0.35">
      <c r="A229" s="97"/>
      <c r="B229" s="97"/>
      <c r="C229" s="97"/>
      <c r="D229" s="97"/>
    </row>
    <row r="230" spans="1:4" ht="12.75" customHeight="1" x14ac:dyDescent="0.35">
      <c r="A230" s="97"/>
      <c r="B230" s="97" t="s">
        <v>5474</v>
      </c>
      <c r="C230" s="97"/>
      <c r="D230" s="97"/>
    </row>
    <row r="231" spans="1:4" ht="12.75" customHeight="1" x14ac:dyDescent="0.35">
      <c r="A231" s="97"/>
      <c r="B231" s="97"/>
      <c r="C231" s="97" t="s">
        <v>5475</v>
      </c>
      <c r="D231" s="97"/>
    </row>
    <row r="232" spans="1:4" ht="12.75" customHeight="1" x14ac:dyDescent="0.35">
      <c r="A232" s="97"/>
      <c r="B232" s="97"/>
      <c r="C232" s="97"/>
      <c r="D232" s="97"/>
    </row>
    <row r="233" spans="1:4" ht="12.75" customHeight="1" x14ac:dyDescent="0.35">
      <c r="A233" s="97"/>
      <c r="B233" s="97"/>
      <c r="C233" s="97"/>
      <c r="D233" s="97"/>
    </row>
    <row r="234" spans="1:4" ht="12.75" customHeight="1" x14ac:dyDescent="0.35">
      <c r="A234" s="97"/>
      <c r="B234" s="97" t="s">
        <v>5474</v>
      </c>
      <c r="C234" s="97"/>
      <c r="D234" s="97"/>
    </row>
    <row r="235" spans="1:4" ht="12.75" customHeight="1" x14ac:dyDescent="0.35">
      <c r="A235" s="97"/>
      <c r="B235" s="97"/>
      <c r="C235" s="97" t="s">
        <v>5476</v>
      </c>
      <c r="D235" s="97"/>
    </row>
    <row r="236" spans="1:4" ht="12.75" customHeight="1" x14ac:dyDescent="0.35">
      <c r="A236" s="97"/>
      <c r="B236" s="97"/>
      <c r="C236" s="97"/>
      <c r="D236" s="97"/>
    </row>
    <row r="237" spans="1:4" ht="12.75" customHeight="1" x14ac:dyDescent="0.35">
      <c r="A237" s="97"/>
      <c r="B237" s="97"/>
      <c r="C237" s="97"/>
      <c r="D237" s="97"/>
    </row>
    <row r="238" spans="1:4" ht="12.75" customHeight="1" x14ac:dyDescent="0.35">
      <c r="A238" s="97"/>
      <c r="B238" s="97"/>
      <c r="C238" s="97"/>
      <c r="D238" s="97"/>
    </row>
    <row r="239" spans="1:4" ht="12.75" customHeight="1" x14ac:dyDescent="0.35">
      <c r="A239" s="97"/>
      <c r="B239" s="97"/>
      <c r="C239" s="97"/>
      <c r="D239" s="97"/>
    </row>
    <row r="240" spans="1:4" ht="12.75" customHeight="1" x14ac:dyDescent="0.35">
      <c r="A240" s="97"/>
      <c r="B240" s="97" t="s">
        <v>5474</v>
      </c>
      <c r="C240" s="97"/>
      <c r="D240" s="97"/>
    </row>
    <row r="241" spans="1:4" ht="12.75" customHeight="1" x14ac:dyDescent="0.35">
      <c r="A241" s="97"/>
      <c r="B241" s="97"/>
      <c r="C241" s="97" t="s">
        <v>5475</v>
      </c>
      <c r="D241" s="97"/>
    </row>
    <row r="242" spans="1:4" ht="12.75" customHeight="1" x14ac:dyDescent="0.35">
      <c r="A242" s="97"/>
      <c r="B242" s="97"/>
      <c r="C242" s="97"/>
      <c r="D242" s="97"/>
    </row>
    <row r="243" spans="1:4" ht="12.75" customHeight="1" x14ac:dyDescent="0.35">
      <c r="A243" s="97"/>
      <c r="B243" s="97"/>
      <c r="C243" s="97"/>
      <c r="D243" s="97"/>
    </row>
    <row r="244" spans="1:4" ht="12.75" customHeight="1" x14ac:dyDescent="0.35">
      <c r="A244" s="97"/>
      <c r="B244" s="97" t="s">
        <v>5474</v>
      </c>
      <c r="C244" s="97"/>
      <c r="D244" s="97"/>
    </row>
    <row r="245" spans="1:4" ht="12.75" customHeight="1" x14ac:dyDescent="0.35">
      <c r="A245" s="97"/>
      <c r="B245" s="97"/>
      <c r="C245" s="97" t="s">
        <v>5476</v>
      </c>
      <c r="D245" s="97"/>
    </row>
    <row r="246" spans="1:4" ht="12.75" customHeight="1" x14ac:dyDescent="0.35">
      <c r="A246" s="97"/>
      <c r="B246" s="97"/>
      <c r="C246" s="97"/>
      <c r="D246" s="97"/>
    </row>
    <row r="247" spans="1:4" ht="12.75" customHeight="1" x14ac:dyDescent="0.35">
      <c r="A247" s="97"/>
      <c r="B247" s="97"/>
      <c r="C247" s="97"/>
      <c r="D247" s="97"/>
    </row>
    <row r="248" spans="1:4" ht="12.75" customHeight="1" x14ac:dyDescent="0.35">
      <c r="A248" s="97"/>
      <c r="B248" s="97"/>
      <c r="C248" s="97"/>
      <c r="D248" s="97"/>
    </row>
    <row r="249" spans="1:4" ht="12.75" customHeight="1" x14ac:dyDescent="0.35">
      <c r="A249" s="97"/>
      <c r="B249" s="97"/>
      <c r="C249" s="97"/>
      <c r="D249" s="97"/>
    </row>
    <row r="250" spans="1:4" ht="12.75" customHeight="1" x14ac:dyDescent="0.35">
      <c r="A250" s="97"/>
      <c r="B250" s="97" t="s">
        <v>5474</v>
      </c>
      <c r="C250" s="97"/>
      <c r="D250" s="97"/>
    </row>
    <row r="251" spans="1:4" ht="12.75" customHeight="1" x14ac:dyDescent="0.35">
      <c r="A251" s="97"/>
      <c r="B251" s="97"/>
      <c r="C251" s="97" t="s">
        <v>5475</v>
      </c>
      <c r="D251" s="97"/>
    </row>
    <row r="252" spans="1:4" ht="12.75" customHeight="1" x14ac:dyDescent="0.35">
      <c r="A252" s="97"/>
      <c r="B252" s="97"/>
      <c r="C252" s="97"/>
      <c r="D252" s="97"/>
    </row>
    <row r="253" spans="1:4" ht="12.75" customHeight="1" x14ac:dyDescent="0.35">
      <c r="A253" s="97"/>
      <c r="B253" s="97"/>
      <c r="C253" s="97"/>
      <c r="D253" s="97"/>
    </row>
    <row r="254" spans="1:4" ht="12.75" customHeight="1" x14ac:dyDescent="0.35">
      <c r="A254" s="97"/>
      <c r="B254" s="97" t="s">
        <v>5474</v>
      </c>
      <c r="C254" s="97"/>
      <c r="D254" s="97"/>
    </row>
    <row r="255" spans="1:4" ht="12.75" customHeight="1" x14ac:dyDescent="0.35">
      <c r="A255" s="97"/>
      <c r="B255" s="97"/>
      <c r="C255" s="97" t="s">
        <v>5476</v>
      </c>
      <c r="D255" s="97"/>
    </row>
    <row r="256" spans="1:4" ht="12.75" customHeight="1" x14ac:dyDescent="0.35">
      <c r="A256" s="97"/>
      <c r="B256" s="97"/>
      <c r="C256" s="97"/>
      <c r="D256" s="97"/>
    </row>
    <row r="257" spans="1:4" ht="12.75" customHeight="1" x14ac:dyDescent="0.35">
      <c r="A257" s="97"/>
      <c r="B257" s="97"/>
      <c r="C257" s="97"/>
      <c r="D257" s="97"/>
    </row>
    <row r="258" spans="1:4" ht="12.75" customHeight="1" x14ac:dyDescent="0.35">
      <c r="A258" s="97"/>
      <c r="B258" s="97"/>
      <c r="C258" s="97"/>
      <c r="D258" s="97"/>
    </row>
    <row r="259" spans="1:4" ht="12.75" customHeight="1" x14ac:dyDescent="0.35">
      <c r="A259" s="97"/>
      <c r="B259" s="97"/>
      <c r="C259" s="97"/>
      <c r="D259" s="97"/>
    </row>
    <row r="260" spans="1:4" ht="12.75" customHeight="1" x14ac:dyDescent="0.35">
      <c r="A260" s="97"/>
      <c r="B260" s="97" t="s">
        <v>5474</v>
      </c>
      <c r="C260" s="97"/>
      <c r="D260" s="97"/>
    </row>
    <row r="261" spans="1:4" ht="12.75" customHeight="1" x14ac:dyDescent="0.35">
      <c r="A261" s="97"/>
      <c r="B261" s="97"/>
      <c r="C261" s="97" t="s">
        <v>5475</v>
      </c>
      <c r="D261" s="97"/>
    </row>
    <row r="262" spans="1:4" ht="12.75" customHeight="1" x14ac:dyDescent="0.35">
      <c r="A262" s="97"/>
      <c r="B262" s="97"/>
      <c r="C262" s="97"/>
      <c r="D262" s="97"/>
    </row>
    <row r="263" spans="1:4" ht="12.75" customHeight="1" x14ac:dyDescent="0.35">
      <c r="A263" s="97"/>
      <c r="B263" s="97"/>
      <c r="C263" s="97"/>
      <c r="D263" s="97"/>
    </row>
    <row r="264" spans="1:4" ht="12.75" customHeight="1" x14ac:dyDescent="0.35">
      <c r="A264" s="97"/>
      <c r="B264" s="97" t="s">
        <v>5474</v>
      </c>
      <c r="C264" s="97"/>
      <c r="D264" s="97"/>
    </row>
    <row r="265" spans="1:4" ht="12.75" customHeight="1" x14ac:dyDescent="0.35">
      <c r="A265" s="97"/>
      <c r="B265" s="97"/>
      <c r="C265" s="97" t="s">
        <v>5476</v>
      </c>
      <c r="D265" s="97"/>
    </row>
    <row r="266" spans="1:4" ht="12.75" customHeight="1" x14ac:dyDescent="0.35">
      <c r="A266" s="97"/>
      <c r="B266" s="97"/>
      <c r="C266" s="97"/>
      <c r="D266" s="97"/>
    </row>
    <row r="267" spans="1:4" ht="12.75" customHeight="1" x14ac:dyDescent="0.35">
      <c r="A267" s="97"/>
      <c r="B267" s="97"/>
      <c r="C267" s="97"/>
      <c r="D267" s="97"/>
    </row>
    <row r="268" spans="1:4" ht="12.75" customHeight="1" x14ac:dyDescent="0.35">
      <c r="A268" s="97"/>
      <c r="B268" s="97"/>
      <c r="C268" s="97"/>
      <c r="D268" s="97"/>
    </row>
    <row r="269" spans="1:4" ht="12.75" customHeight="1" x14ac:dyDescent="0.35">
      <c r="A269" s="97"/>
      <c r="B269" s="97"/>
      <c r="C269" s="97"/>
      <c r="D269" s="97"/>
    </row>
    <row r="270" spans="1:4" ht="12.75" customHeight="1" x14ac:dyDescent="0.35">
      <c r="A270" s="97"/>
      <c r="B270" s="97" t="s">
        <v>5474</v>
      </c>
      <c r="C270" s="97"/>
      <c r="D270" s="97"/>
    </row>
    <row r="271" spans="1:4" ht="12.75" customHeight="1" x14ac:dyDescent="0.35">
      <c r="A271" s="97"/>
      <c r="B271" s="97"/>
      <c r="C271" s="97" t="s">
        <v>5475</v>
      </c>
      <c r="D271" s="97"/>
    </row>
    <row r="272" spans="1:4" ht="12.75" customHeight="1" x14ac:dyDescent="0.35">
      <c r="A272" s="97"/>
      <c r="B272" s="97"/>
      <c r="C272" s="97"/>
      <c r="D272" s="97"/>
    </row>
    <row r="273" spans="1:4" ht="12.75" customHeight="1" x14ac:dyDescent="0.35">
      <c r="A273" s="97"/>
      <c r="B273" s="97"/>
      <c r="C273" s="97"/>
      <c r="D273" s="97"/>
    </row>
    <row r="274" spans="1:4" ht="12.75" customHeight="1" x14ac:dyDescent="0.35">
      <c r="A274" s="97"/>
      <c r="B274" s="97" t="s">
        <v>5474</v>
      </c>
      <c r="C274" s="97"/>
      <c r="D274" s="97"/>
    </row>
    <row r="275" spans="1:4" ht="12.75" customHeight="1" x14ac:dyDescent="0.35">
      <c r="A275" s="97"/>
      <c r="B275" s="97"/>
      <c r="C275" s="97" t="s">
        <v>5476</v>
      </c>
      <c r="D275" s="97"/>
    </row>
    <row r="276" spans="1:4" ht="12.75" customHeight="1" x14ac:dyDescent="0.35">
      <c r="A276" s="97"/>
      <c r="B276" s="97"/>
      <c r="C276" s="97"/>
      <c r="D276" s="97"/>
    </row>
    <row r="277" spans="1:4" ht="12.75" customHeight="1" x14ac:dyDescent="0.35">
      <c r="A277" s="97"/>
      <c r="B277" s="97"/>
      <c r="C277" s="97"/>
      <c r="D277" s="97"/>
    </row>
    <row r="278" spans="1:4" ht="12.75" customHeight="1" x14ac:dyDescent="0.35">
      <c r="A278" s="97"/>
      <c r="B278" s="97"/>
      <c r="C278" s="97"/>
      <c r="D278" s="97"/>
    </row>
    <row r="279" spans="1:4" ht="12.75" customHeight="1" x14ac:dyDescent="0.35">
      <c r="A279" s="97"/>
      <c r="B279" s="97"/>
      <c r="C279" s="97"/>
      <c r="D279" s="97"/>
    </row>
    <row r="280" spans="1:4" ht="12.75" customHeight="1" x14ac:dyDescent="0.35">
      <c r="A280" s="97"/>
      <c r="B280" s="97" t="s">
        <v>5474</v>
      </c>
      <c r="C280" s="97"/>
      <c r="D280" s="97"/>
    </row>
    <row r="281" spans="1:4" ht="12.75" customHeight="1" x14ac:dyDescent="0.35">
      <c r="A281" s="97"/>
      <c r="B281" s="97"/>
      <c r="C281" s="97" t="s">
        <v>5475</v>
      </c>
      <c r="D281" s="97"/>
    </row>
    <row r="282" spans="1:4" ht="12.75" customHeight="1" x14ac:dyDescent="0.35">
      <c r="A282" s="97"/>
      <c r="B282" s="97"/>
      <c r="C282" s="97"/>
      <c r="D282" s="97"/>
    </row>
    <row r="283" spans="1:4" ht="12.75" customHeight="1" x14ac:dyDescent="0.35">
      <c r="A283" s="97"/>
      <c r="B283" s="97"/>
      <c r="C283" s="97"/>
      <c r="D283" s="97"/>
    </row>
    <row r="284" spans="1:4" ht="12.75" customHeight="1" x14ac:dyDescent="0.35">
      <c r="A284" s="97"/>
      <c r="B284" s="97" t="s">
        <v>5474</v>
      </c>
      <c r="C284" s="97"/>
      <c r="D284" s="97"/>
    </row>
    <row r="285" spans="1:4" ht="12.75" customHeight="1" x14ac:dyDescent="0.35">
      <c r="A285" s="97"/>
      <c r="B285" s="97"/>
      <c r="C285" s="97" t="s">
        <v>5476</v>
      </c>
      <c r="D285" s="97"/>
    </row>
    <row r="286" spans="1:4" ht="12.75" customHeight="1" x14ac:dyDescent="0.35">
      <c r="A286" s="97"/>
      <c r="B286" s="97"/>
      <c r="C286" s="97"/>
      <c r="D286" s="97"/>
    </row>
    <row r="287" spans="1:4" ht="12.75" customHeight="1" x14ac:dyDescent="0.35">
      <c r="A287" s="97"/>
      <c r="B287" s="97"/>
      <c r="C287" s="97"/>
      <c r="D287" s="97"/>
    </row>
    <row r="288" spans="1:4" ht="12.75" customHeight="1" x14ac:dyDescent="0.35">
      <c r="A288" s="97"/>
      <c r="B288" s="97"/>
      <c r="C288" s="97"/>
      <c r="D288" s="97"/>
    </row>
    <row r="289" spans="1:4" ht="12.75" customHeight="1" x14ac:dyDescent="0.35">
      <c r="A289" s="97"/>
      <c r="B289" s="97"/>
      <c r="C289" s="97"/>
      <c r="D289" s="97"/>
    </row>
    <row r="290" spans="1:4" ht="12.75" customHeight="1" x14ac:dyDescent="0.35">
      <c r="A290" s="97"/>
      <c r="B290" s="97" t="s">
        <v>5474</v>
      </c>
      <c r="C290" s="97"/>
      <c r="D290" s="97"/>
    </row>
    <row r="291" spans="1:4" ht="12.75" customHeight="1" x14ac:dyDescent="0.35">
      <c r="A291" s="97"/>
      <c r="B291" s="97"/>
      <c r="C291" s="97" t="s">
        <v>5475</v>
      </c>
      <c r="D291" s="97"/>
    </row>
    <row r="292" spans="1:4" ht="12.75" customHeight="1" x14ac:dyDescent="0.35">
      <c r="A292" s="97"/>
      <c r="B292" s="97"/>
      <c r="C292" s="97"/>
      <c r="D292" s="97"/>
    </row>
    <row r="293" spans="1:4" ht="12.75" customHeight="1" x14ac:dyDescent="0.35">
      <c r="A293" s="97"/>
      <c r="B293" s="97"/>
      <c r="C293" s="97"/>
      <c r="D293" s="97"/>
    </row>
    <row r="294" spans="1:4" ht="12.75" customHeight="1" x14ac:dyDescent="0.35">
      <c r="A294" s="97"/>
      <c r="B294" s="97" t="s">
        <v>5474</v>
      </c>
      <c r="C294" s="97"/>
      <c r="D294" s="97"/>
    </row>
    <row r="295" spans="1:4" ht="12.75" customHeight="1" x14ac:dyDescent="0.35">
      <c r="A295" s="97"/>
      <c r="B295" s="97"/>
      <c r="C295" s="97" t="s">
        <v>5476</v>
      </c>
      <c r="D295" s="97"/>
    </row>
    <row r="296" spans="1:4" ht="12.75" customHeight="1" x14ac:dyDescent="0.35">
      <c r="A296" s="97"/>
      <c r="B296" s="97"/>
      <c r="C296" s="97"/>
      <c r="D296" s="97"/>
    </row>
    <row r="297" spans="1:4" ht="12.75" customHeight="1" x14ac:dyDescent="0.35">
      <c r="A297" s="97"/>
      <c r="B297" s="97"/>
      <c r="C297" s="97"/>
      <c r="D297" s="97"/>
    </row>
    <row r="298" spans="1:4" ht="12.75" customHeight="1" x14ac:dyDescent="0.35">
      <c r="A298" s="97"/>
      <c r="B298" s="97"/>
      <c r="C298" s="97"/>
      <c r="D298" s="97"/>
    </row>
    <row r="299" spans="1:4" ht="12.75" customHeight="1" x14ac:dyDescent="0.35">
      <c r="A299" s="97"/>
      <c r="B299" s="97"/>
      <c r="C299" s="97"/>
      <c r="D299" s="97"/>
    </row>
    <row r="300" spans="1:4" ht="12.75" customHeight="1" x14ac:dyDescent="0.35">
      <c r="A300" s="97"/>
      <c r="B300" s="97" t="s">
        <v>5474</v>
      </c>
      <c r="C300" s="97"/>
      <c r="D300" s="97"/>
    </row>
    <row r="301" spans="1:4" ht="12.75" customHeight="1" x14ac:dyDescent="0.35">
      <c r="A301" s="97"/>
      <c r="B301" s="97"/>
      <c r="C301" s="97" t="s">
        <v>5475</v>
      </c>
      <c r="D301" s="97"/>
    </row>
    <row r="302" spans="1:4" ht="12.75" customHeight="1" x14ac:dyDescent="0.35">
      <c r="A302" s="97"/>
      <c r="B302" s="97"/>
      <c r="C302" s="97"/>
      <c r="D302" s="97"/>
    </row>
    <row r="303" spans="1:4" ht="12.75" customHeight="1" x14ac:dyDescent="0.35">
      <c r="A303" s="97"/>
      <c r="B303" s="97"/>
      <c r="C303" s="97"/>
      <c r="D303" s="97"/>
    </row>
    <row r="304" spans="1:4" ht="12.75" customHeight="1" x14ac:dyDescent="0.35">
      <c r="A304" s="97"/>
      <c r="B304" s="97" t="s">
        <v>3658</v>
      </c>
      <c r="C304" s="97"/>
      <c r="D304" s="97"/>
    </row>
    <row r="305" spans="1:4" ht="12.75" customHeight="1" x14ac:dyDescent="0.35">
      <c r="A305" s="97"/>
      <c r="B305" s="97"/>
      <c r="C305" s="97" t="s">
        <v>5476</v>
      </c>
      <c r="D305" s="97"/>
    </row>
    <row r="306" spans="1:4" ht="12.75" customHeight="1" x14ac:dyDescent="0.35">
      <c r="A306" s="97"/>
      <c r="B306" s="97"/>
      <c r="C306" s="97"/>
      <c r="D306" s="97"/>
    </row>
    <row r="307" spans="1:4" ht="12.75" customHeight="1" x14ac:dyDescent="0.35">
      <c r="A307" s="97"/>
      <c r="B307" s="97"/>
      <c r="C307" s="97"/>
      <c r="D307" s="97"/>
    </row>
    <row r="308" spans="1:4" ht="12.75" customHeight="1" x14ac:dyDescent="0.35">
      <c r="A308" s="97"/>
      <c r="B308" s="97"/>
      <c r="C308" s="97"/>
      <c r="D308" s="97"/>
    </row>
    <row r="309" spans="1:4" ht="12.75" customHeight="1" x14ac:dyDescent="0.35">
      <c r="A309" s="97"/>
      <c r="B309" s="97"/>
      <c r="C309" s="97"/>
      <c r="D309" s="97"/>
    </row>
    <row r="310" spans="1:4" ht="12.75" customHeight="1" x14ac:dyDescent="0.35">
      <c r="A310" s="97"/>
      <c r="B310" s="97" t="s">
        <v>5474</v>
      </c>
      <c r="C310" s="97"/>
      <c r="D310" s="97"/>
    </row>
    <row r="311" spans="1:4" ht="12.75" customHeight="1" x14ac:dyDescent="0.35">
      <c r="A311" s="97"/>
      <c r="B311" s="97"/>
      <c r="C311" s="97" t="s">
        <v>5475</v>
      </c>
      <c r="D311" s="97"/>
    </row>
    <row r="312" spans="1:4" ht="12.75" customHeight="1" x14ac:dyDescent="0.35">
      <c r="A312" s="97"/>
      <c r="B312" s="97"/>
      <c r="C312" s="97"/>
      <c r="D312" s="97"/>
    </row>
    <row r="313" spans="1:4" ht="12.75" customHeight="1" x14ac:dyDescent="0.35">
      <c r="A313" s="97"/>
      <c r="B313" s="97"/>
      <c r="C313" s="97"/>
      <c r="D313" s="97"/>
    </row>
    <row r="314" spans="1:4" ht="12.75" customHeight="1" x14ac:dyDescent="0.35">
      <c r="A314" s="97"/>
      <c r="B314" s="97" t="s">
        <v>5474</v>
      </c>
      <c r="C314" s="97"/>
      <c r="D314" s="97"/>
    </row>
    <row r="315" spans="1:4" ht="12.75" customHeight="1" x14ac:dyDescent="0.35">
      <c r="A315" s="97"/>
      <c r="B315" s="97"/>
      <c r="C315" s="97" t="s">
        <v>5476</v>
      </c>
      <c r="D315" s="97"/>
    </row>
    <row r="316" spans="1:4" ht="12.75" customHeight="1" x14ac:dyDescent="0.35">
      <c r="A316" s="97"/>
      <c r="B316" s="97"/>
      <c r="C316" s="97"/>
      <c r="D316" s="97"/>
    </row>
    <row r="317" spans="1:4" ht="12.75" customHeight="1" x14ac:dyDescent="0.35">
      <c r="A317" s="97"/>
      <c r="B317" s="97"/>
      <c r="C317" s="97"/>
      <c r="D317" s="97"/>
    </row>
    <row r="318" spans="1:4" ht="12.75" customHeight="1" x14ac:dyDescent="0.35">
      <c r="A318" s="97"/>
      <c r="B318" s="97" t="s">
        <v>3661</v>
      </c>
      <c r="C318" s="97"/>
      <c r="D318" s="97"/>
    </row>
    <row r="319" spans="1:4" ht="12.75" customHeight="1" x14ac:dyDescent="0.35">
      <c r="A319" s="97"/>
      <c r="B319" s="97" t="s">
        <v>5477</v>
      </c>
      <c r="C319" s="97"/>
      <c r="D319" s="97"/>
    </row>
    <row r="320" spans="1:4" ht="12.75" customHeight="1" x14ac:dyDescent="0.35">
      <c r="A320" s="97"/>
      <c r="B320" s="97" t="s">
        <v>2284</v>
      </c>
      <c r="C320" s="97"/>
      <c r="D320" s="97"/>
    </row>
    <row r="321" spans="1:4" ht="12.75" customHeight="1" x14ac:dyDescent="0.35">
      <c r="A321" s="97"/>
      <c r="B321" s="97" t="s">
        <v>5753</v>
      </c>
      <c r="C321" s="97"/>
      <c r="D321" s="97"/>
    </row>
    <row r="322" spans="1:4" ht="12.75" customHeight="1" x14ac:dyDescent="0.35">
      <c r="A322" s="97"/>
      <c r="B322" s="97" t="s">
        <v>5475</v>
      </c>
      <c r="C322" s="97"/>
      <c r="D322" s="97"/>
    </row>
    <row r="323" spans="1:4" ht="12.75" customHeight="1" x14ac:dyDescent="0.35">
      <c r="A323" s="97"/>
      <c r="B323" s="97" t="s">
        <v>5754</v>
      </c>
      <c r="C323" s="97"/>
      <c r="D323" s="97"/>
    </row>
    <row r="324" spans="1:4" ht="12.75" customHeight="1" x14ac:dyDescent="0.35">
      <c r="A324" s="97"/>
      <c r="B324" s="97" t="s">
        <v>5755</v>
      </c>
      <c r="C324" s="97"/>
      <c r="D324" s="97"/>
    </row>
    <row r="325" spans="1:4" ht="12.75" customHeight="1" x14ac:dyDescent="0.35">
      <c r="A325" s="97"/>
      <c r="B325" s="97" t="s">
        <v>5473</v>
      </c>
      <c r="C325" s="97"/>
      <c r="D325" s="97"/>
    </row>
    <row r="326" spans="1:4" ht="12.75" customHeight="1" x14ac:dyDescent="0.35">
      <c r="A326" s="97"/>
      <c r="B326" s="97" t="s">
        <v>5753</v>
      </c>
      <c r="C326" s="97"/>
      <c r="D326" s="97"/>
    </row>
    <row r="327" spans="1:4" ht="12.75" customHeight="1" x14ac:dyDescent="0.35">
      <c r="A327" s="97"/>
      <c r="B327" s="97" t="s">
        <v>5476</v>
      </c>
      <c r="C327" s="97"/>
      <c r="D327" s="97"/>
    </row>
    <row r="328" spans="1:4" ht="12.75" customHeight="1" x14ac:dyDescent="0.35">
      <c r="A328" s="97"/>
      <c r="B328" s="97"/>
      <c r="C328" s="97"/>
      <c r="D328" s="97"/>
    </row>
    <row r="329" spans="1:4" ht="12.75" customHeight="1" x14ac:dyDescent="0.35">
      <c r="A329" s="97"/>
      <c r="B329" s="97" t="s">
        <v>5478</v>
      </c>
      <c r="C329" s="97"/>
      <c r="D329" s="97"/>
    </row>
    <row r="330" spans="1:4" ht="12.75" customHeight="1" x14ac:dyDescent="0.35">
      <c r="A330" s="97"/>
      <c r="B330" s="97" t="s">
        <v>5479</v>
      </c>
      <c r="C330" s="97"/>
      <c r="D330" s="97"/>
    </row>
    <row r="331" spans="1:4" ht="12.75" customHeight="1" x14ac:dyDescent="0.35">
      <c r="A331" s="97"/>
      <c r="B331" s="97" t="s">
        <v>5480</v>
      </c>
      <c r="C331" s="97"/>
      <c r="D331" s="97"/>
    </row>
    <row r="332" spans="1:4" ht="12.75" customHeight="1" x14ac:dyDescent="0.35">
      <c r="A332" s="97"/>
      <c r="B332" s="97" t="s">
        <v>5756</v>
      </c>
      <c r="C332" s="97"/>
      <c r="D332" s="97"/>
    </row>
    <row r="333" spans="1:4" ht="12.75" customHeight="1" x14ac:dyDescent="0.35">
      <c r="A333" s="97"/>
      <c r="B333" s="97" t="s">
        <v>5481</v>
      </c>
      <c r="C333" s="97"/>
      <c r="D333" s="97"/>
    </row>
    <row r="334" spans="1:4" ht="12.75" customHeight="1" x14ac:dyDescent="0.35">
      <c r="A334" s="97"/>
      <c r="B334" s="97"/>
      <c r="C334" s="97"/>
      <c r="D334" s="97"/>
    </row>
    <row r="335" spans="1:4" ht="12.75" customHeight="1" x14ac:dyDescent="0.35">
      <c r="A335" s="97"/>
      <c r="B335" s="97" t="s">
        <v>5757</v>
      </c>
      <c r="C335" s="97"/>
      <c r="D335" s="97" t="s">
        <v>3672</v>
      </c>
    </row>
    <row r="336" spans="1:4" ht="12.75" customHeight="1" x14ac:dyDescent="0.35">
      <c r="A336" s="97"/>
      <c r="B336" s="97" t="s">
        <v>3673</v>
      </c>
      <c r="C336" s="97"/>
      <c r="D336" s="97"/>
    </row>
    <row r="337" spans="1:4" ht="12.75" customHeight="1" x14ac:dyDescent="0.35">
      <c r="A337" s="97"/>
      <c r="B337" s="97" t="s">
        <v>5482</v>
      </c>
      <c r="C337" s="97"/>
      <c r="D337" s="97"/>
    </row>
    <row r="338" spans="1:4" ht="12.75" customHeight="1" x14ac:dyDescent="0.35">
      <c r="A338" s="97"/>
      <c r="B338" s="97" t="s">
        <v>5483</v>
      </c>
      <c r="C338" s="97"/>
      <c r="D338" s="97"/>
    </row>
    <row r="339" spans="1:4" ht="12.75" customHeight="1" x14ac:dyDescent="0.35">
      <c r="A339" s="97"/>
      <c r="B339" s="97" t="s">
        <v>5484</v>
      </c>
      <c r="C339" s="97"/>
      <c r="D339" s="97"/>
    </row>
    <row r="340" spans="1:4" ht="12.75" customHeight="1" x14ac:dyDescent="0.35">
      <c r="A340" s="97"/>
      <c r="B340" s="97" t="s">
        <v>5485</v>
      </c>
      <c r="C340" s="97"/>
      <c r="D340" s="97"/>
    </row>
    <row r="341" spans="1:4" ht="12.75" customHeight="1" x14ac:dyDescent="0.35">
      <c r="A341" s="97"/>
      <c r="B341" s="97" t="s">
        <v>5486</v>
      </c>
      <c r="C341" s="97"/>
      <c r="D341" s="97"/>
    </row>
    <row r="342" spans="1:4" ht="12.75" customHeight="1" x14ac:dyDescent="0.35">
      <c r="A342" s="97"/>
      <c r="B342" s="97" t="s">
        <v>5487</v>
      </c>
      <c r="C342" s="97"/>
      <c r="D342" s="97"/>
    </row>
    <row r="343" spans="1:4" ht="12.75" customHeight="1" x14ac:dyDescent="0.35">
      <c r="A343" s="97"/>
      <c r="B343" s="97" t="s">
        <v>5488</v>
      </c>
      <c r="C343" s="97"/>
      <c r="D343" s="97"/>
    </row>
    <row r="344" spans="1:4" ht="12.75" customHeight="1" x14ac:dyDescent="0.35">
      <c r="A344" s="97"/>
      <c r="B344" s="97" t="s">
        <v>5489</v>
      </c>
      <c r="C344" s="97"/>
      <c r="D344" s="97"/>
    </row>
    <row r="345" spans="1:4" ht="12.75" customHeight="1" x14ac:dyDescent="0.35">
      <c r="A345" s="97"/>
      <c r="B345" s="97" t="s">
        <v>5490</v>
      </c>
      <c r="C345" s="97"/>
      <c r="D345" s="97"/>
    </row>
    <row r="346" spans="1:4" ht="12.75" customHeight="1" x14ac:dyDescent="0.35">
      <c r="A346" s="97"/>
      <c r="B346" s="97" t="s">
        <v>5489</v>
      </c>
      <c r="C346" s="97"/>
      <c r="D346" s="97"/>
    </row>
    <row r="347" spans="1:4" ht="12.75" customHeight="1" x14ac:dyDescent="0.35">
      <c r="A347" s="97"/>
      <c r="B347" s="97"/>
      <c r="C347" s="97" t="s">
        <v>5491</v>
      </c>
      <c r="D347" s="97"/>
    </row>
    <row r="348" spans="1:4" ht="12.75" customHeight="1" x14ac:dyDescent="0.35">
      <c r="A348" s="97"/>
      <c r="B348" s="97"/>
      <c r="C348" s="97"/>
      <c r="D348" s="97"/>
    </row>
    <row r="349" spans="1:4" ht="12.75" customHeight="1" x14ac:dyDescent="0.35">
      <c r="A349" s="97"/>
      <c r="B349" s="97"/>
      <c r="C349" s="97" t="s">
        <v>5921</v>
      </c>
      <c r="D349" s="97"/>
    </row>
    <row r="350" spans="1:4" ht="12.75" customHeight="1" x14ac:dyDescent="0.35">
      <c r="A350" s="97"/>
      <c r="B350" s="97"/>
      <c r="C350" s="97" t="s">
        <v>2284</v>
      </c>
      <c r="D350" s="97"/>
    </row>
    <row r="351" spans="1:4" ht="12.75" customHeight="1" x14ac:dyDescent="0.35">
      <c r="A351" s="97"/>
      <c r="B351" s="97"/>
      <c r="C351" s="97" t="s">
        <v>3686</v>
      </c>
      <c r="D351" s="97"/>
    </row>
    <row r="352" spans="1:4" ht="12.75" customHeight="1" x14ac:dyDescent="0.35">
      <c r="A352" s="97"/>
      <c r="B352" s="97"/>
      <c r="C352" s="97"/>
      <c r="D352" s="97"/>
    </row>
    <row r="353" spans="1:4" ht="12.75" customHeight="1" x14ac:dyDescent="0.35">
      <c r="A353" s="97"/>
      <c r="B353" s="97"/>
      <c r="C353" s="97"/>
      <c r="D353" s="97"/>
    </row>
    <row r="354" spans="1:4" ht="12.75" customHeight="1" x14ac:dyDescent="0.35">
      <c r="A354" s="97"/>
      <c r="B354" s="97"/>
      <c r="C354" s="97"/>
      <c r="D354" s="97"/>
    </row>
    <row r="355" spans="1:4" ht="12.75" customHeight="1" x14ac:dyDescent="0.35">
      <c r="A355" s="97"/>
      <c r="B355" s="97"/>
      <c r="C355" s="97"/>
      <c r="D355" s="97"/>
    </row>
    <row r="356" spans="1:4" ht="12.75" customHeight="1" x14ac:dyDescent="0.35">
      <c r="A356" s="97"/>
      <c r="B356" s="97"/>
      <c r="C356" s="97"/>
      <c r="D356" s="97"/>
    </row>
    <row r="357" spans="1:4" ht="12.75" customHeight="1" x14ac:dyDescent="0.35">
      <c r="A357" s="97"/>
      <c r="B357" s="97"/>
      <c r="C357" s="97"/>
      <c r="D357" s="97"/>
    </row>
    <row r="358" spans="1:4" ht="12.75" customHeight="1" x14ac:dyDescent="0.35">
      <c r="A358" s="97"/>
      <c r="B358" s="97"/>
      <c r="C358" s="97"/>
      <c r="D358" s="97"/>
    </row>
    <row r="359" spans="1:4" ht="12.75" customHeight="1" x14ac:dyDescent="0.35">
      <c r="A359" s="97"/>
      <c r="B359" s="97"/>
      <c r="C359" s="97"/>
      <c r="D359" s="97"/>
    </row>
    <row r="360" spans="1:4" ht="12.75" customHeight="1" x14ac:dyDescent="0.35">
      <c r="A360" s="97"/>
      <c r="B360" s="97"/>
      <c r="C360" s="97"/>
      <c r="D360" s="97"/>
    </row>
    <row r="361" spans="1:4" ht="12.75" customHeight="1" x14ac:dyDescent="0.35">
      <c r="A361" s="97"/>
      <c r="B361" s="97"/>
      <c r="C361" s="97"/>
      <c r="D361" s="97"/>
    </row>
    <row r="362" spans="1:4" ht="12.75" customHeight="1" x14ac:dyDescent="0.35">
      <c r="A362" s="97"/>
      <c r="B362" s="97"/>
      <c r="C362" s="97"/>
      <c r="D362" s="97"/>
    </row>
    <row r="363" spans="1:4" ht="12.75" customHeight="1" x14ac:dyDescent="0.35">
      <c r="A363" s="97"/>
      <c r="B363" s="97"/>
      <c r="C363" s="97"/>
      <c r="D363" s="97"/>
    </row>
    <row r="364" spans="1:4" ht="12.75" customHeight="1" x14ac:dyDescent="0.35">
      <c r="A364" s="97"/>
      <c r="B364" s="97"/>
      <c r="C364" s="97"/>
      <c r="D364" s="97"/>
    </row>
    <row r="365" spans="1:4" ht="12.75" customHeight="1" x14ac:dyDescent="0.35">
      <c r="A365" s="97"/>
      <c r="B365" s="97"/>
      <c r="C365" s="97"/>
      <c r="D365" s="97"/>
    </row>
    <row r="366" spans="1:4" ht="12.75" customHeight="1" x14ac:dyDescent="0.35">
      <c r="A366" s="97"/>
      <c r="B366" s="97"/>
      <c r="C366" s="97"/>
      <c r="D366" s="97"/>
    </row>
    <row r="367" spans="1:4" ht="12.75" customHeight="1" x14ac:dyDescent="0.35">
      <c r="A367" s="97"/>
      <c r="B367" s="97"/>
      <c r="C367" s="97"/>
      <c r="D367" s="97"/>
    </row>
    <row r="368" spans="1:4" ht="12.75" customHeight="1" x14ac:dyDescent="0.35">
      <c r="A368" s="97"/>
      <c r="B368" s="97"/>
      <c r="C368" s="97"/>
      <c r="D368" s="97"/>
    </row>
    <row r="369" spans="1:4" ht="12.75" customHeight="1" x14ac:dyDescent="0.35">
      <c r="A369" s="97"/>
      <c r="B369" s="97"/>
      <c r="C369" s="97"/>
      <c r="D369" s="97"/>
    </row>
    <row r="370" spans="1:4" ht="12.75" customHeight="1" x14ac:dyDescent="0.35">
      <c r="A370" s="97"/>
      <c r="B370" s="97"/>
      <c r="C370" s="97"/>
      <c r="D370" s="97"/>
    </row>
    <row r="371" spans="1:4" ht="12.75" customHeight="1" x14ac:dyDescent="0.35">
      <c r="A371" s="97"/>
      <c r="B371" s="97"/>
      <c r="C371" s="97"/>
      <c r="D371" s="97"/>
    </row>
    <row r="372" spans="1:4" ht="12.75" customHeight="1" x14ac:dyDescent="0.35">
      <c r="A372" s="97"/>
      <c r="B372" s="97"/>
      <c r="C372" s="97"/>
      <c r="D372" s="97"/>
    </row>
    <row r="373" spans="1:4" ht="12.75" customHeight="1" x14ac:dyDescent="0.35">
      <c r="A373" s="97"/>
      <c r="B373" s="97"/>
      <c r="C373" s="97"/>
      <c r="D373" s="97"/>
    </row>
    <row r="374" spans="1:4" ht="12.75" customHeight="1" x14ac:dyDescent="0.35">
      <c r="A374" s="97"/>
      <c r="B374" s="97"/>
      <c r="C374" s="97"/>
      <c r="D374" s="97"/>
    </row>
    <row r="375" spans="1:4" ht="12.75" customHeight="1" x14ac:dyDescent="0.35">
      <c r="A375" s="97"/>
      <c r="B375" s="97"/>
      <c r="C375" s="97"/>
      <c r="D375" s="97"/>
    </row>
    <row r="376" spans="1:4" ht="12.75" customHeight="1" x14ac:dyDescent="0.35">
      <c r="A376" s="97"/>
      <c r="B376" s="97"/>
      <c r="C376" s="97"/>
      <c r="D376" s="97"/>
    </row>
    <row r="377" spans="1:4" ht="12.75" customHeight="1" x14ac:dyDescent="0.35">
      <c r="A377" s="97"/>
      <c r="B377" s="97"/>
      <c r="C377" s="97"/>
      <c r="D377" s="97"/>
    </row>
    <row r="378" spans="1:4" ht="12.75" customHeight="1" x14ac:dyDescent="0.35">
      <c r="A378" s="97"/>
      <c r="B378" s="97"/>
      <c r="C378" s="97"/>
      <c r="D378" s="97"/>
    </row>
    <row r="379" spans="1:4" ht="12.75" customHeight="1" x14ac:dyDescent="0.35">
      <c r="A379" s="97"/>
      <c r="B379" s="97"/>
      <c r="C379" s="97"/>
      <c r="D379" s="97"/>
    </row>
    <row r="380" spans="1:4" ht="12.75" customHeight="1" x14ac:dyDescent="0.35">
      <c r="A380" s="97"/>
      <c r="B380" s="97"/>
      <c r="C380" s="97"/>
      <c r="D380" s="97"/>
    </row>
    <row r="381" spans="1:4" ht="12.75" customHeight="1" x14ac:dyDescent="0.35">
      <c r="A381" s="97"/>
      <c r="B381" s="97"/>
      <c r="C381" s="97"/>
      <c r="D381" s="97"/>
    </row>
    <row r="382" spans="1:4" ht="12.75" customHeight="1" x14ac:dyDescent="0.35">
      <c r="A382" s="97"/>
      <c r="B382" s="97"/>
      <c r="C382" s="97"/>
      <c r="D382" s="97"/>
    </row>
    <row r="383" spans="1:4" ht="12.75" customHeight="1" x14ac:dyDescent="0.35">
      <c r="A383" s="97"/>
      <c r="B383" s="97"/>
      <c r="C383" s="97"/>
      <c r="D383" s="97"/>
    </row>
    <row r="384" spans="1:4" ht="12.75" customHeight="1" x14ac:dyDescent="0.35">
      <c r="A384" s="97"/>
      <c r="B384" s="97"/>
      <c r="C384" s="97"/>
      <c r="D384" s="97"/>
    </row>
    <row r="385" spans="1:4" ht="12.75" customHeight="1" x14ac:dyDescent="0.35">
      <c r="A385" s="97"/>
      <c r="B385" s="97"/>
      <c r="C385" s="97" t="s">
        <v>5492</v>
      </c>
      <c r="D385" s="97"/>
    </row>
    <row r="386" spans="1:4" ht="12.75" customHeight="1" x14ac:dyDescent="0.35">
      <c r="A386" s="97"/>
      <c r="B386" s="97"/>
      <c r="C386" s="97"/>
      <c r="D386" s="97"/>
    </row>
    <row r="387" spans="1:4" ht="12.75" customHeight="1" x14ac:dyDescent="0.35">
      <c r="A387" s="97"/>
      <c r="B387" s="97"/>
      <c r="C387" s="97"/>
      <c r="D387" s="97"/>
    </row>
    <row r="388" spans="1:4" ht="12.75" customHeight="1" x14ac:dyDescent="0.35">
      <c r="A388" s="97"/>
      <c r="B388" s="97"/>
      <c r="C388" s="97"/>
      <c r="D388" s="97"/>
    </row>
    <row r="389" spans="1:4" ht="12.75" customHeight="1" x14ac:dyDescent="0.35">
      <c r="A389" s="97"/>
      <c r="B389" s="97"/>
      <c r="C389" s="97"/>
      <c r="D389" s="97"/>
    </row>
    <row r="390" spans="1:4" ht="12.75" customHeight="1" x14ac:dyDescent="0.35">
      <c r="A390" s="97"/>
      <c r="B390" s="97"/>
      <c r="C390" s="97"/>
      <c r="D390" s="97"/>
    </row>
    <row r="391" spans="1:4" ht="12.75" customHeight="1" x14ac:dyDescent="0.35">
      <c r="A391" s="97"/>
      <c r="B391" s="97"/>
      <c r="C391" s="97"/>
      <c r="D391" s="97"/>
    </row>
    <row r="392" spans="1:4" ht="12.75" customHeight="1" x14ac:dyDescent="0.35">
      <c r="A392" s="97"/>
      <c r="B392" s="97"/>
      <c r="C392" s="97"/>
      <c r="D392" s="97"/>
    </row>
    <row r="393" spans="1:4" ht="12.75" customHeight="1" x14ac:dyDescent="0.35">
      <c r="A393" s="97"/>
      <c r="B393" s="97"/>
      <c r="C393" s="97"/>
      <c r="D393" s="97"/>
    </row>
    <row r="394" spans="1:4" ht="12.75" customHeight="1" x14ac:dyDescent="0.35">
      <c r="A394" s="97"/>
      <c r="B394" s="97"/>
      <c r="C394" s="97"/>
      <c r="D394" s="97"/>
    </row>
    <row r="395" spans="1:4" ht="12.75" customHeight="1" x14ac:dyDescent="0.35">
      <c r="A395" s="97"/>
      <c r="B395" s="97"/>
      <c r="C395" s="97"/>
      <c r="D395" s="97"/>
    </row>
    <row r="396" spans="1:4" ht="12.75" customHeight="1" x14ac:dyDescent="0.35">
      <c r="A396" s="97"/>
      <c r="B396" s="97"/>
      <c r="C396" s="97"/>
      <c r="D396" s="97"/>
    </row>
    <row r="397" spans="1:4" ht="12.75" customHeight="1" x14ac:dyDescent="0.35">
      <c r="A397" s="97"/>
      <c r="B397" s="97"/>
      <c r="C397" s="97"/>
      <c r="D397" s="97"/>
    </row>
    <row r="398" spans="1:4" ht="12.75" customHeight="1" x14ac:dyDescent="0.35">
      <c r="A398" s="97"/>
      <c r="B398" s="97"/>
      <c r="C398" s="97"/>
      <c r="D398" s="97"/>
    </row>
    <row r="399" spans="1:4" ht="12.75" customHeight="1" x14ac:dyDescent="0.35">
      <c r="A399" s="97"/>
      <c r="B399" s="97"/>
      <c r="C399" s="97"/>
      <c r="D399" s="97"/>
    </row>
    <row r="400" spans="1:4" ht="12.75" customHeight="1" x14ac:dyDescent="0.35">
      <c r="A400" s="97"/>
      <c r="B400" s="97"/>
      <c r="C400" s="97"/>
      <c r="D400" s="97"/>
    </row>
    <row r="401" spans="1:4" ht="12.75" customHeight="1" x14ac:dyDescent="0.35">
      <c r="A401" s="97"/>
      <c r="B401" s="97"/>
      <c r="C401" s="97"/>
      <c r="D401" s="97"/>
    </row>
    <row r="402" spans="1:4" ht="12.75" customHeight="1" x14ac:dyDescent="0.35">
      <c r="A402" s="97"/>
      <c r="B402" s="97"/>
      <c r="C402" s="97"/>
      <c r="D402" s="97"/>
    </row>
    <row r="403" spans="1:4" ht="12.75" customHeight="1" x14ac:dyDescent="0.35">
      <c r="A403" s="97"/>
      <c r="B403" s="97"/>
      <c r="C403" s="97"/>
      <c r="D403" s="97"/>
    </row>
    <row r="404" spans="1:4" ht="12.75" customHeight="1" x14ac:dyDescent="0.35">
      <c r="A404" s="97"/>
      <c r="B404" s="97"/>
      <c r="C404" s="97"/>
      <c r="D404" s="97"/>
    </row>
    <row r="405" spans="1:4" ht="12.75" customHeight="1" x14ac:dyDescent="0.35">
      <c r="A405" s="97"/>
      <c r="B405" s="97"/>
      <c r="C405" s="97"/>
      <c r="D405" s="97"/>
    </row>
    <row r="406" spans="1:4" ht="12.75" customHeight="1" x14ac:dyDescent="0.35">
      <c r="A406" s="97"/>
      <c r="B406" s="97"/>
      <c r="C406" s="97"/>
      <c r="D406" s="97"/>
    </row>
    <row r="407" spans="1:4" ht="12.75" customHeight="1" x14ac:dyDescent="0.35">
      <c r="A407" s="97"/>
      <c r="B407" s="97"/>
      <c r="C407" s="97"/>
      <c r="D407" s="97"/>
    </row>
    <row r="408" spans="1:4" ht="12.75" customHeight="1" x14ac:dyDescent="0.35">
      <c r="A408" s="97"/>
      <c r="B408" s="97"/>
      <c r="C408" s="97"/>
      <c r="D408" s="97"/>
    </row>
    <row r="409" spans="1:4" ht="12.75" customHeight="1" x14ac:dyDescent="0.35">
      <c r="A409" s="97"/>
      <c r="B409" s="97"/>
      <c r="C409" s="97"/>
      <c r="D409" s="97"/>
    </row>
    <row r="410" spans="1:4" ht="12.75" customHeight="1" x14ac:dyDescent="0.35">
      <c r="A410" s="97"/>
      <c r="B410" s="97"/>
      <c r="C410" s="97"/>
      <c r="D410" s="97"/>
    </row>
    <row r="411" spans="1:4" ht="12.75" customHeight="1" x14ac:dyDescent="0.35">
      <c r="A411" s="97"/>
      <c r="B411" s="97"/>
      <c r="C411" s="97"/>
      <c r="D411" s="97"/>
    </row>
    <row r="412" spans="1:4" ht="12.75" customHeight="1" x14ac:dyDescent="0.35">
      <c r="A412" s="97"/>
      <c r="B412" s="97"/>
      <c r="C412" s="97"/>
      <c r="D412" s="97"/>
    </row>
    <row r="413" spans="1:4" ht="12.75" customHeight="1" x14ac:dyDescent="0.35">
      <c r="A413" s="97"/>
      <c r="B413" s="97"/>
      <c r="C413" s="97"/>
      <c r="D413" s="97"/>
    </row>
    <row r="414" spans="1:4" ht="12.75" customHeight="1" x14ac:dyDescent="0.35">
      <c r="A414" s="97"/>
      <c r="B414" s="97"/>
      <c r="C414" s="97"/>
      <c r="D414" s="97"/>
    </row>
    <row r="415" spans="1:4" ht="12.75" customHeight="1" x14ac:dyDescent="0.35">
      <c r="A415" s="97"/>
      <c r="B415" s="97"/>
      <c r="C415" s="97"/>
      <c r="D415" s="97"/>
    </row>
    <row r="416" spans="1:4" ht="12.75" customHeight="1" x14ac:dyDescent="0.35">
      <c r="A416" s="97"/>
      <c r="B416" s="97"/>
      <c r="C416" s="97"/>
      <c r="D416" s="97"/>
    </row>
    <row r="417" spans="1:4" ht="12.75" customHeight="1" x14ac:dyDescent="0.35">
      <c r="A417" s="97"/>
      <c r="B417" s="97"/>
      <c r="C417" s="97"/>
      <c r="D417" s="97"/>
    </row>
    <row r="418" spans="1:4" ht="12.75" customHeight="1" x14ac:dyDescent="0.35">
      <c r="A418" s="97"/>
      <c r="B418" s="97"/>
      <c r="C418" s="97"/>
      <c r="D418" s="97"/>
    </row>
    <row r="419" spans="1:4" ht="12.75" customHeight="1" x14ac:dyDescent="0.35">
      <c r="A419" s="97"/>
      <c r="B419" s="97"/>
      <c r="C419" s="97"/>
      <c r="D419" s="97"/>
    </row>
    <row r="420" spans="1:4" ht="12.75" customHeight="1" x14ac:dyDescent="0.35">
      <c r="A420" s="97"/>
      <c r="B420" s="97"/>
      <c r="C420" s="97"/>
      <c r="D420" s="97"/>
    </row>
    <row r="421" spans="1:4" ht="12.75" customHeight="1" x14ac:dyDescent="0.35">
      <c r="A421" s="97"/>
      <c r="B421" s="97"/>
      <c r="C421" s="97"/>
      <c r="D421" s="97"/>
    </row>
    <row r="422" spans="1:4" ht="12.75" customHeight="1" x14ac:dyDescent="0.35">
      <c r="A422" s="97"/>
      <c r="B422" s="97"/>
      <c r="C422" s="97" t="s">
        <v>5758</v>
      </c>
      <c r="D422" s="97"/>
    </row>
    <row r="423" spans="1:4" ht="12.75" customHeight="1" x14ac:dyDescent="0.35">
      <c r="A423" s="97"/>
      <c r="B423" s="97" t="s">
        <v>5759</v>
      </c>
      <c r="C423" s="97"/>
      <c r="D423" s="97"/>
    </row>
    <row r="424" spans="1:4" ht="12.75" customHeight="1" x14ac:dyDescent="0.35">
      <c r="A424" s="97"/>
      <c r="B424" s="97" t="s">
        <v>5760</v>
      </c>
      <c r="C424" s="97"/>
      <c r="D424" s="97"/>
    </row>
    <row r="425" spans="1:4" ht="12.75" customHeight="1" x14ac:dyDescent="0.35">
      <c r="A425" s="97"/>
      <c r="B425" s="97" t="s">
        <v>2284</v>
      </c>
      <c r="C425" s="97"/>
      <c r="D425" s="97"/>
    </row>
    <row r="426" spans="1:4" ht="12.75" customHeight="1" x14ac:dyDescent="0.35">
      <c r="A426" s="97"/>
      <c r="B426" s="97" t="s">
        <v>5761</v>
      </c>
      <c r="C426" s="97"/>
      <c r="D426" s="97"/>
    </row>
    <row r="427" spans="1:4" ht="12.75" customHeight="1" x14ac:dyDescent="0.35">
      <c r="A427" s="97"/>
      <c r="B427" s="97" t="s">
        <v>5493</v>
      </c>
      <c r="C427" s="97"/>
      <c r="D427" s="97"/>
    </row>
    <row r="428" spans="1:4" ht="12.75" customHeight="1" x14ac:dyDescent="0.35">
      <c r="A428" s="97"/>
      <c r="B428" s="97" t="s">
        <v>5494</v>
      </c>
      <c r="C428" s="97"/>
      <c r="D428" s="97"/>
    </row>
    <row r="429" spans="1:4" ht="12.75" customHeight="1" x14ac:dyDescent="0.35">
      <c r="A429" s="97"/>
      <c r="B429" s="97" t="s">
        <v>5495</v>
      </c>
      <c r="C429" s="97"/>
      <c r="D429" s="97"/>
    </row>
    <row r="430" spans="1:4" ht="12.75" customHeight="1" x14ac:dyDescent="0.35">
      <c r="A430" s="97"/>
      <c r="B430" s="97" t="s">
        <v>5496</v>
      </c>
      <c r="C430" s="97"/>
      <c r="D430" s="97"/>
    </row>
    <row r="431" spans="1:4" ht="12.75" customHeight="1" x14ac:dyDescent="0.35">
      <c r="A431" s="97"/>
      <c r="B431" s="97" t="s">
        <v>5497</v>
      </c>
      <c r="C431" s="97"/>
      <c r="D431" s="97"/>
    </row>
    <row r="432" spans="1:4" ht="12.75" customHeight="1" x14ac:dyDescent="0.35">
      <c r="A432" s="97"/>
      <c r="B432" s="97" t="s">
        <v>5498</v>
      </c>
      <c r="C432" s="97"/>
      <c r="D432" s="97"/>
    </row>
    <row r="433" spans="1:4" ht="12.75" customHeight="1" x14ac:dyDescent="0.35">
      <c r="A433" s="97"/>
      <c r="B433" s="97"/>
      <c r="C433" s="97"/>
      <c r="D433" s="97"/>
    </row>
    <row r="434" spans="1:4" ht="12.75" customHeight="1" x14ac:dyDescent="0.35">
      <c r="A434" s="97"/>
      <c r="B434" s="97"/>
      <c r="C434" s="97"/>
      <c r="D434" s="97"/>
    </row>
    <row r="435" spans="1:4" ht="12.75" customHeight="1" x14ac:dyDescent="0.35">
      <c r="A435" s="97"/>
      <c r="B435" s="97"/>
      <c r="C435" s="97"/>
      <c r="D435" s="97"/>
    </row>
    <row r="436" spans="1:4" ht="12.75" customHeight="1" x14ac:dyDescent="0.35">
      <c r="A436" s="97"/>
      <c r="B436" s="97"/>
      <c r="C436" s="97"/>
      <c r="D436" s="97"/>
    </row>
    <row r="437" spans="1:4" ht="12.75" customHeight="1" x14ac:dyDescent="0.35">
      <c r="A437" s="97"/>
      <c r="B437" s="97"/>
      <c r="C437" s="97"/>
      <c r="D437" s="97"/>
    </row>
    <row r="438" spans="1:4" ht="12.75" customHeight="1" x14ac:dyDescent="0.35">
      <c r="A438" s="97"/>
      <c r="B438" s="97"/>
      <c r="C438" s="97"/>
      <c r="D438" s="97"/>
    </row>
    <row r="439" spans="1:4" ht="12.75" customHeight="1" x14ac:dyDescent="0.35">
      <c r="A439" s="97"/>
      <c r="B439" s="97" t="s">
        <v>5762</v>
      </c>
      <c r="C439" s="97"/>
      <c r="D439" s="97"/>
    </row>
    <row r="440" spans="1:4" ht="12.75" customHeight="1" x14ac:dyDescent="0.35">
      <c r="A440" s="97"/>
      <c r="B440" s="97"/>
      <c r="C440" s="97"/>
      <c r="D440" s="97"/>
    </row>
    <row r="441" spans="1:4" ht="12.75" customHeight="1" x14ac:dyDescent="0.35">
      <c r="A441" s="97"/>
      <c r="B441" s="97" t="s">
        <v>5470</v>
      </c>
      <c r="C441" s="97"/>
      <c r="D441" s="97"/>
    </row>
    <row r="442" spans="1:4" ht="12.75" customHeight="1" x14ac:dyDescent="0.35">
      <c r="A442" s="97"/>
      <c r="B442" s="97" t="s">
        <v>5911</v>
      </c>
      <c r="C442" s="97"/>
      <c r="D442" s="97"/>
    </row>
    <row r="443" spans="1:4" ht="12.75" customHeight="1" x14ac:dyDescent="0.35">
      <c r="A443" s="97"/>
      <c r="B443" s="97"/>
      <c r="C443" s="97"/>
      <c r="D443" s="97"/>
    </row>
    <row r="444" spans="1:4" ht="12.75" customHeight="1" x14ac:dyDescent="0.35">
      <c r="A444" s="97"/>
      <c r="B444" s="97"/>
      <c r="C444" s="97"/>
      <c r="D444" s="97"/>
    </row>
    <row r="445" spans="1:4" ht="12.75" customHeight="1" x14ac:dyDescent="0.35">
      <c r="A445" s="97"/>
      <c r="B445" s="97"/>
      <c r="C445" s="97"/>
      <c r="D445" s="97"/>
    </row>
    <row r="446" spans="1:4" ht="12.75" customHeight="1" x14ac:dyDescent="0.35">
      <c r="A446" s="97"/>
      <c r="B446" s="97"/>
      <c r="C446" s="97"/>
      <c r="D446" s="97"/>
    </row>
    <row r="447" spans="1:4" ht="12.75" customHeight="1" x14ac:dyDescent="0.35">
      <c r="A447" s="97"/>
      <c r="B447" s="97"/>
      <c r="C447" s="97"/>
      <c r="D447" s="97"/>
    </row>
    <row r="448" spans="1:4" ht="12.75" customHeight="1" x14ac:dyDescent="0.35">
      <c r="A448" s="97"/>
      <c r="B448" s="97"/>
      <c r="C448" s="97"/>
      <c r="D448" s="97"/>
    </row>
    <row r="449" spans="1:4" ht="12.75" customHeight="1" x14ac:dyDescent="0.35">
      <c r="A449" s="97"/>
      <c r="B449" s="97"/>
      <c r="C449" s="97"/>
      <c r="D449" s="97"/>
    </row>
    <row r="450" spans="1:4" ht="12.75" customHeight="1" x14ac:dyDescent="0.35">
      <c r="A450" s="97"/>
      <c r="B450" s="97"/>
      <c r="C450" s="97"/>
      <c r="D450" s="97"/>
    </row>
    <row r="451" spans="1:4" ht="12.75" customHeight="1" x14ac:dyDescent="0.35">
      <c r="A451" s="97"/>
      <c r="B451" s="97"/>
      <c r="C451" s="97"/>
      <c r="D451" s="97"/>
    </row>
    <row r="452" spans="1:4" ht="12.75" customHeight="1" x14ac:dyDescent="0.35">
      <c r="A452" s="97"/>
      <c r="B452" s="97"/>
      <c r="C452" s="97"/>
      <c r="D452" s="97"/>
    </row>
    <row r="453" spans="1:4" ht="12.75" customHeight="1" x14ac:dyDescent="0.35">
      <c r="A453" s="97"/>
      <c r="B453" s="97" t="s">
        <v>5763</v>
      </c>
      <c r="C453" s="97"/>
      <c r="D453" s="97"/>
    </row>
    <row r="454" spans="1:4" ht="12.75" customHeight="1" x14ac:dyDescent="0.35">
      <c r="A454" s="97"/>
      <c r="B454" s="97" t="s">
        <v>5499</v>
      </c>
      <c r="C454" s="97"/>
      <c r="D454" s="97"/>
    </row>
    <row r="455" spans="1:4" ht="12.75" customHeight="1" x14ac:dyDescent="0.35">
      <c r="A455" s="97"/>
      <c r="B455" s="97" t="str">
        <f>IF(PrintMode=0,"      ","")&amp;"Други операционни приходи"</f>
        <v xml:space="preserve">      Други операционни приходи</v>
      </c>
      <c r="C455" s="97"/>
      <c r="D455" s="97"/>
    </row>
    <row r="456" spans="1:4" ht="12.75" customHeight="1" x14ac:dyDescent="0.35">
      <c r="A456" s="97"/>
      <c r="B456" s="97" t="s">
        <v>5500</v>
      </c>
      <c r="C456" s="97"/>
      <c r="D456" s="97"/>
    </row>
    <row r="457" spans="1:4" ht="12.75" customHeight="1" x14ac:dyDescent="0.35">
      <c r="A457" s="97"/>
      <c r="B457" s="97"/>
      <c r="C457" s="97" t="s">
        <v>5501</v>
      </c>
      <c r="D457" s="97"/>
    </row>
    <row r="458" spans="1:4" ht="12.75" customHeight="1" x14ac:dyDescent="0.35">
      <c r="A458" s="97"/>
      <c r="B458" s="97"/>
      <c r="C458" s="97" t="s">
        <v>5502</v>
      </c>
      <c r="D458" s="97"/>
    </row>
    <row r="459" spans="1:4" ht="12.75" customHeight="1" x14ac:dyDescent="0.35">
      <c r="A459" s="97"/>
      <c r="B459" s="97"/>
      <c r="C459" s="97" t="s">
        <v>5507</v>
      </c>
      <c r="D459" s="97"/>
    </row>
    <row r="460" spans="1:4" ht="12.75" customHeight="1" x14ac:dyDescent="0.35">
      <c r="A460" s="97"/>
      <c r="B460" s="97"/>
      <c r="C460" s="97" t="s">
        <v>5503</v>
      </c>
      <c r="D460" s="97"/>
    </row>
    <row r="461" spans="1:4" ht="12.75" customHeight="1" x14ac:dyDescent="0.35">
      <c r="A461" s="97"/>
      <c r="B461" s="97"/>
      <c r="C461" s="97"/>
      <c r="D461" s="97"/>
    </row>
    <row r="462" spans="1:4" ht="12.75" customHeight="1" x14ac:dyDescent="0.35">
      <c r="A462" s="97"/>
      <c r="B462" s="97"/>
      <c r="C462" s="97"/>
      <c r="D462" s="97"/>
    </row>
    <row r="463" spans="1:4" ht="12.75" customHeight="1" x14ac:dyDescent="0.35">
      <c r="A463" s="97"/>
      <c r="B463" s="97"/>
      <c r="C463" s="97"/>
      <c r="D463" s="97"/>
    </row>
    <row r="464" spans="1:4" ht="12.75" customHeight="1" x14ac:dyDescent="0.35">
      <c r="A464" s="97"/>
      <c r="B464" s="97"/>
      <c r="C464" s="97"/>
      <c r="D464" s="97"/>
    </row>
    <row r="465" spans="1:4" ht="12.75" customHeight="1" x14ac:dyDescent="0.35">
      <c r="A465" s="97"/>
      <c r="B465" s="97"/>
      <c r="C465" s="97"/>
      <c r="D465" s="97"/>
    </row>
    <row r="466" spans="1:4" ht="12.75" customHeight="1" x14ac:dyDescent="0.35">
      <c r="A466" s="97"/>
      <c r="B466" s="97"/>
      <c r="C466" s="97"/>
      <c r="D466" s="97"/>
    </row>
    <row r="467" spans="1:4" ht="12.75" customHeight="1" x14ac:dyDescent="0.35">
      <c r="A467" s="97"/>
      <c r="B467" s="97" t="s">
        <v>5504</v>
      </c>
      <c r="C467" s="97"/>
      <c r="D467" s="97"/>
    </row>
    <row r="468" spans="1:4" ht="12.75" customHeight="1" x14ac:dyDescent="0.35">
      <c r="A468" s="97"/>
      <c r="B468" s="220" t="s">
        <v>5977</v>
      </c>
      <c r="C468" s="97"/>
      <c r="D468" s="97"/>
    </row>
    <row r="469" spans="1:4" ht="12.75" customHeight="1" x14ac:dyDescent="0.35">
      <c r="A469" s="97"/>
      <c r="B469" s="97" t="s">
        <v>5505</v>
      </c>
      <c r="C469" s="97"/>
      <c r="D469" s="97"/>
    </row>
    <row r="470" spans="1:4" ht="12.75" customHeight="1" x14ac:dyDescent="0.35">
      <c r="A470" s="97"/>
      <c r="B470" s="97" t="s">
        <v>5506</v>
      </c>
      <c r="C470" s="97"/>
      <c r="D470" s="97"/>
    </row>
    <row r="471" spans="1:4" ht="12.75" customHeight="1" x14ac:dyDescent="0.35">
      <c r="A471" s="97"/>
      <c r="B471" s="97"/>
      <c r="C471" s="97" t="s">
        <v>5507</v>
      </c>
      <c r="D471" s="97"/>
    </row>
    <row r="472" spans="1:4" ht="12.75" customHeight="1" x14ac:dyDescent="0.35">
      <c r="A472" s="97"/>
      <c r="B472" s="97"/>
      <c r="C472" s="97" t="s">
        <v>5508</v>
      </c>
      <c r="D472" s="97"/>
    </row>
    <row r="473" spans="1:4" ht="12.75" customHeight="1" x14ac:dyDescent="0.35">
      <c r="A473" s="97"/>
      <c r="B473" s="97"/>
      <c r="C473" s="97" t="s">
        <v>5509</v>
      </c>
      <c r="D473" s="97"/>
    </row>
    <row r="474" spans="1:4" ht="12.75" customHeight="1" x14ac:dyDescent="0.35">
      <c r="A474" s="97"/>
      <c r="B474" s="97"/>
      <c r="C474" s="97"/>
      <c r="D474" s="97"/>
    </row>
    <row r="475" spans="1:4" ht="12.75" customHeight="1" x14ac:dyDescent="0.35">
      <c r="A475" s="97"/>
      <c r="B475" s="97"/>
      <c r="C475" s="97"/>
      <c r="D475" s="97"/>
    </row>
    <row r="476" spans="1:4" ht="12.75" customHeight="1" x14ac:dyDescent="0.35">
      <c r="A476" s="97"/>
      <c r="B476" s="97"/>
      <c r="C476" s="97"/>
      <c r="D476" s="97"/>
    </row>
    <row r="477" spans="1:4" ht="12.75" customHeight="1" x14ac:dyDescent="0.35">
      <c r="A477" s="97"/>
      <c r="B477" s="97"/>
      <c r="C477" s="97"/>
      <c r="D477" s="97"/>
    </row>
    <row r="478" spans="1:4" ht="12.75" customHeight="1" x14ac:dyDescent="0.35">
      <c r="A478" s="97"/>
      <c r="B478" s="97"/>
      <c r="C478" s="97"/>
      <c r="D478" s="97"/>
    </row>
    <row r="479" spans="1:4" ht="12.75" customHeight="1" x14ac:dyDescent="0.35">
      <c r="A479" s="97"/>
      <c r="B479" s="97"/>
      <c r="C479" s="97"/>
      <c r="D479" s="97"/>
    </row>
    <row r="480" spans="1:4" ht="12.75" customHeight="1" x14ac:dyDescent="0.35">
      <c r="A480" s="97"/>
      <c r="B480" s="97"/>
      <c r="C480" s="97"/>
      <c r="D480" s="97"/>
    </row>
    <row r="481" spans="1:4" ht="12.75" customHeight="1" x14ac:dyDescent="0.35">
      <c r="A481" s="97"/>
      <c r="B481" s="97" t="s">
        <v>5764</v>
      </c>
      <c r="C481" s="97"/>
      <c r="D481" s="97"/>
    </row>
    <row r="482" spans="1:4" ht="12.75" customHeight="1" x14ac:dyDescent="0.35">
      <c r="A482" s="97"/>
      <c r="B482" s="97" t="s">
        <v>5707</v>
      </c>
      <c r="C482" s="97"/>
      <c r="D482" s="97"/>
    </row>
    <row r="483" spans="1:4" ht="12.75" customHeight="1" x14ac:dyDescent="0.35">
      <c r="A483" s="97"/>
      <c r="B483" s="97" t="s">
        <v>5765</v>
      </c>
      <c r="C483" s="97"/>
      <c r="D483" s="97"/>
    </row>
    <row r="484" spans="1:4" ht="12.75" customHeight="1" x14ac:dyDescent="0.35">
      <c r="A484" s="97"/>
      <c r="B484" s="97" t="s">
        <v>5499</v>
      </c>
      <c r="C484" s="97"/>
      <c r="D484" s="97"/>
    </row>
    <row r="485" spans="1:4" ht="12.75" customHeight="1" x14ac:dyDescent="0.35">
      <c r="A485" s="97"/>
      <c r="B485" s="97" t="s">
        <v>5084</v>
      </c>
      <c r="C485" s="97"/>
      <c r="D485" s="97"/>
    </row>
    <row r="486" spans="1:4" ht="12.75" customHeight="1" x14ac:dyDescent="0.35">
      <c r="A486" s="97"/>
      <c r="B486" s="97" t="s">
        <v>2284</v>
      </c>
      <c r="C486" s="97"/>
      <c r="D486" s="97"/>
    </row>
    <row r="487" spans="1:4" ht="12.75" customHeight="1" x14ac:dyDescent="0.35">
      <c r="A487" s="97"/>
      <c r="B487" s="97"/>
      <c r="C487" s="97" t="s">
        <v>5766</v>
      </c>
      <c r="D487" s="97"/>
    </row>
    <row r="488" spans="1:4" ht="12.75" customHeight="1" x14ac:dyDescent="0.35">
      <c r="A488" s="97"/>
      <c r="B488" s="97"/>
      <c r="C488" s="97" t="s">
        <v>5510</v>
      </c>
      <c r="D488" s="97"/>
    </row>
    <row r="489" spans="1:4" ht="12.75" customHeight="1" x14ac:dyDescent="0.35">
      <c r="A489" s="97"/>
      <c r="B489" s="97" t="s">
        <v>5767</v>
      </c>
      <c r="C489" s="97"/>
      <c r="D489" s="97"/>
    </row>
    <row r="490" spans="1:4" ht="12.75" customHeight="1" x14ac:dyDescent="0.35">
      <c r="A490" s="97"/>
      <c r="B490" s="97" t="s">
        <v>5499</v>
      </c>
      <c r="C490" s="97"/>
      <c r="D490" s="97"/>
    </row>
    <row r="491" spans="1:4" ht="12.75" customHeight="1" x14ac:dyDescent="0.35">
      <c r="A491" s="97"/>
      <c r="B491" s="97" t="s">
        <v>5083</v>
      </c>
      <c r="C491" s="97"/>
      <c r="D491" s="97"/>
    </row>
    <row r="492" spans="1:4" ht="12.75" customHeight="1" x14ac:dyDescent="0.35">
      <c r="A492" s="97"/>
      <c r="B492" s="97" t="s">
        <v>5511</v>
      </c>
      <c r="C492" s="97"/>
      <c r="D492" s="97"/>
    </row>
    <row r="493" spans="1:4" ht="12.75" customHeight="1" x14ac:dyDescent="0.35">
      <c r="A493" s="97"/>
      <c r="B493" s="97"/>
      <c r="C493" s="97" t="s">
        <v>5768</v>
      </c>
      <c r="D493" s="97"/>
    </row>
    <row r="494" spans="1:4" ht="12.75" customHeight="1" x14ac:dyDescent="0.35">
      <c r="A494" s="97"/>
      <c r="B494" s="97"/>
      <c r="C494" s="97" t="s">
        <v>5769</v>
      </c>
      <c r="D494" s="97"/>
    </row>
    <row r="495" spans="1:4" ht="12.75" customHeight="1" x14ac:dyDescent="0.35">
      <c r="A495" s="97"/>
      <c r="B495" s="97" t="s">
        <v>5770</v>
      </c>
      <c r="C495" s="97"/>
      <c r="D495" s="97"/>
    </row>
    <row r="496" spans="1:4" ht="12.75" customHeight="1" x14ac:dyDescent="0.35">
      <c r="A496" s="97"/>
      <c r="B496" s="97" t="s">
        <v>5771</v>
      </c>
      <c r="C496" s="97"/>
      <c r="D496" s="97"/>
    </row>
    <row r="497" spans="1:4" ht="12.75" customHeight="1" x14ac:dyDescent="0.35">
      <c r="A497" s="97"/>
      <c r="B497" s="97"/>
      <c r="C497" s="97" t="s">
        <v>5772</v>
      </c>
      <c r="D497" s="97"/>
    </row>
    <row r="498" spans="1:4" ht="12.75" customHeight="1" x14ac:dyDescent="0.35">
      <c r="A498" s="97"/>
      <c r="B498" s="97"/>
      <c r="C498" s="97" t="s">
        <v>5773</v>
      </c>
      <c r="D498" s="97"/>
    </row>
    <row r="499" spans="1:4" ht="12.75" customHeight="1" x14ac:dyDescent="0.35">
      <c r="A499" s="97"/>
      <c r="B499" s="97" t="s">
        <v>5774</v>
      </c>
      <c r="C499" s="97"/>
      <c r="D499" s="97"/>
    </row>
    <row r="500" spans="1:4" ht="12.75" customHeight="1" x14ac:dyDescent="0.35">
      <c r="A500" s="97"/>
      <c r="B500" s="97" t="s">
        <v>5512</v>
      </c>
      <c r="C500" s="97"/>
      <c r="D500" s="97"/>
    </row>
    <row r="501" spans="1:4" ht="12.75" customHeight="1" x14ac:dyDescent="0.35">
      <c r="A501" s="97"/>
      <c r="B501" s="97"/>
      <c r="C501" s="97" t="s">
        <v>5775</v>
      </c>
      <c r="D501" s="97"/>
    </row>
    <row r="502" spans="1:4" ht="12.75" customHeight="1" x14ac:dyDescent="0.35">
      <c r="A502" s="97"/>
      <c r="B502" s="97"/>
      <c r="C502" s="97" t="str">
        <f>IF(CalculatedDepreciation,"Други к","К")&amp;"редитни плащания, ръст (-) / снижение (+)"</f>
        <v>Кредитни плащания, ръст (-) / снижение (+)</v>
      </c>
      <c r="D502" s="97"/>
    </row>
    <row r="503" spans="1:4" ht="12.75" customHeight="1" x14ac:dyDescent="0.35">
      <c r="A503" s="97"/>
      <c r="B503" s="97" t="s">
        <v>5513</v>
      </c>
      <c r="C503" s="97"/>
      <c r="D503" s="97"/>
    </row>
    <row r="504" spans="1:4" ht="12.75" customHeight="1" x14ac:dyDescent="0.35">
      <c r="A504" s="97"/>
      <c r="B504" s="97" t="s">
        <v>5514</v>
      </c>
      <c r="C504" s="97"/>
      <c r="D504" s="97"/>
    </row>
    <row r="505" spans="1:4" ht="12.75" customHeight="1" x14ac:dyDescent="0.35">
      <c r="A505" s="97"/>
      <c r="B505" s="220" t="s">
        <v>5978</v>
      </c>
      <c r="C505" s="97"/>
      <c r="D505" s="97"/>
    </row>
    <row r="506" spans="1:4" ht="12.75" customHeight="1" x14ac:dyDescent="0.35">
      <c r="A506" s="97"/>
      <c r="B506" s="97" t="s">
        <v>5776</v>
      </c>
      <c r="C506" s="97"/>
      <c r="D506" s="97"/>
    </row>
    <row r="507" spans="1:4" ht="12.75" customHeight="1" x14ac:dyDescent="0.35">
      <c r="A507" s="97"/>
      <c r="B507" s="97" t="s">
        <v>5777</v>
      </c>
      <c r="C507" s="97"/>
      <c r="D507" s="97"/>
    </row>
    <row r="508" spans="1:4" ht="12.75" customHeight="1" x14ac:dyDescent="0.35">
      <c r="A508" s="97"/>
      <c r="B508" s="97" t="s">
        <v>5515</v>
      </c>
      <c r="C508" s="97"/>
      <c r="D508" s="97"/>
    </row>
    <row r="509" spans="1:4" ht="12.75" customHeight="1" x14ac:dyDescent="0.35">
      <c r="A509" s="97"/>
      <c r="B509" s="97" t="s">
        <v>5778</v>
      </c>
      <c r="C509" s="97"/>
      <c r="D509" s="97"/>
    </row>
    <row r="510" spans="1:4" ht="12.75" customHeight="1" x14ac:dyDescent="0.35">
      <c r="A510" s="97"/>
      <c r="B510" s="97" t="s">
        <v>5516</v>
      </c>
      <c r="C510" s="97"/>
      <c r="D510" s="97"/>
    </row>
    <row r="511" spans="1:4" ht="12.75" customHeight="1" x14ac:dyDescent="0.35">
      <c r="A511" s="97"/>
      <c r="B511" s="97" t="s">
        <v>5779</v>
      </c>
      <c r="C511" s="97"/>
      <c r="D511" s="97"/>
    </row>
    <row r="512" spans="1:4" ht="12.75" customHeight="1" x14ac:dyDescent="0.35">
      <c r="A512" s="97"/>
      <c r="B512" s="97" t="s">
        <v>5780</v>
      </c>
      <c r="C512" s="97"/>
      <c r="D512" s="97"/>
    </row>
    <row r="513" spans="1:4" ht="12.75" customHeight="1" x14ac:dyDescent="0.35">
      <c r="A513" s="97"/>
      <c r="B513" s="97" t="s">
        <v>5781</v>
      </c>
      <c r="C513" s="97"/>
      <c r="D513" s="97"/>
    </row>
    <row r="514" spans="1:4" ht="12.75" customHeight="1" x14ac:dyDescent="0.35">
      <c r="A514" s="97"/>
      <c r="B514" s="97" t="s">
        <v>5782</v>
      </c>
      <c r="C514" s="97"/>
      <c r="D514" s="97"/>
    </row>
    <row r="515" spans="1:4" ht="12.75" customHeight="1" x14ac:dyDescent="0.35">
      <c r="A515" s="97"/>
      <c r="B515" s="97" t="s">
        <v>5783</v>
      </c>
      <c r="C515" s="97"/>
      <c r="D515" s="97"/>
    </row>
    <row r="516" spans="1:4" ht="12.75" customHeight="1" x14ac:dyDescent="0.35">
      <c r="A516" s="97"/>
      <c r="B516" s="97"/>
      <c r="C516" s="97"/>
      <c r="D516" s="97"/>
    </row>
    <row r="517" spans="1:4" ht="12.75" customHeight="1" x14ac:dyDescent="0.35">
      <c r="A517" s="97"/>
      <c r="B517" s="97"/>
      <c r="C517" s="97"/>
      <c r="D517" s="97"/>
    </row>
    <row r="518" spans="1:4" ht="12.75" customHeight="1" x14ac:dyDescent="0.35">
      <c r="A518" s="97"/>
      <c r="B518" s="97" t="s">
        <v>5517</v>
      </c>
      <c r="C518" s="97"/>
      <c r="D518" s="97"/>
    </row>
    <row r="519" spans="1:4" ht="12.75" customHeight="1" x14ac:dyDescent="0.35">
      <c r="A519" s="97"/>
      <c r="B519" s="97" t="s">
        <v>5518</v>
      </c>
      <c r="C519" s="97"/>
      <c r="D519" s="97"/>
    </row>
    <row r="520" spans="1:4" ht="12.75" customHeight="1" x14ac:dyDescent="0.35">
      <c r="A520" s="97"/>
      <c r="B520" s="97" t="s">
        <v>2284</v>
      </c>
      <c r="C520" s="97"/>
      <c r="D520" s="97"/>
    </row>
    <row r="521" spans="1:4" ht="12.75" customHeight="1" x14ac:dyDescent="0.35">
      <c r="A521" s="97"/>
      <c r="B521" s="97" t="s">
        <v>5784</v>
      </c>
      <c r="C521" s="97"/>
      <c r="D521" s="97"/>
    </row>
    <row r="522" spans="1:4" ht="12.75" customHeight="1" x14ac:dyDescent="0.35">
      <c r="A522" s="97"/>
      <c r="B522" s="97" t="s">
        <v>5519</v>
      </c>
      <c r="C522" s="97"/>
      <c r="D522" s="97"/>
    </row>
    <row r="523" spans="1:4" ht="12.75" customHeight="1" x14ac:dyDescent="0.35">
      <c r="A523" s="97"/>
      <c r="B523" s="220" t="s">
        <v>5979</v>
      </c>
      <c r="C523" s="97"/>
      <c r="D523" s="97"/>
    </row>
    <row r="524" spans="1:4" ht="12.75" customHeight="1" x14ac:dyDescent="0.35">
      <c r="A524" s="97"/>
      <c r="B524" s="220" t="s">
        <v>5978</v>
      </c>
      <c r="C524" s="97"/>
      <c r="D524" s="97"/>
    </row>
    <row r="525" spans="1:4" ht="12.75" customHeight="1" x14ac:dyDescent="0.35">
      <c r="A525" s="97"/>
      <c r="B525" s="97" t="s">
        <v>5785</v>
      </c>
      <c r="C525" s="97"/>
      <c r="D525" s="97"/>
    </row>
    <row r="526" spans="1:4" ht="12.75" customHeight="1" x14ac:dyDescent="0.35">
      <c r="A526" s="97"/>
      <c r="B526" s="97" t="s">
        <v>5786</v>
      </c>
      <c r="C526" s="97"/>
      <c r="D526" s="97"/>
    </row>
    <row r="527" spans="1:4" ht="12.75" customHeight="1" x14ac:dyDescent="0.35">
      <c r="A527" s="97"/>
      <c r="B527" s="97" t="s">
        <v>5787</v>
      </c>
      <c r="C527" s="97"/>
      <c r="D527" s="97"/>
    </row>
    <row r="528" spans="1:4" ht="12.75" customHeight="1" x14ac:dyDescent="0.35">
      <c r="A528" s="97"/>
      <c r="B528" s="97" t="s">
        <v>5788</v>
      </c>
      <c r="C528" s="97"/>
      <c r="D528" s="97"/>
    </row>
    <row r="529" spans="1:4" ht="12.75" customHeight="1" x14ac:dyDescent="0.35">
      <c r="A529" s="97"/>
      <c r="B529" s="97" t="s">
        <v>5789</v>
      </c>
      <c r="C529" s="97"/>
      <c r="D529" s="97"/>
    </row>
    <row r="530" spans="1:4" ht="12.75" customHeight="1" x14ac:dyDescent="0.35">
      <c r="A530" s="97"/>
      <c r="B530" s="97" t="s">
        <v>5790</v>
      </c>
      <c r="C530" s="97"/>
      <c r="D530" s="97"/>
    </row>
    <row r="531" spans="1:4" ht="12.75" customHeight="1" x14ac:dyDescent="0.35">
      <c r="A531" s="97"/>
      <c r="B531" s="97" t="s">
        <v>5791</v>
      </c>
      <c r="C531" s="97"/>
      <c r="D531" s="97"/>
    </row>
    <row r="532" spans="1:4" ht="12.75" customHeight="1" x14ac:dyDescent="0.35">
      <c r="A532" s="97"/>
      <c r="B532" s="97"/>
      <c r="C532" s="97"/>
      <c r="D532" s="97"/>
    </row>
    <row r="533" spans="1:4" ht="12.75" customHeight="1" x14ac:dyDescent="0.35">
      <c r="A533" s="97"/>
      <c r="B533" s="97"/>
      <c r="C533" s="97"/>
      <c r="D533" s="97"/>
    </row>
    <row r="534" spans="1:4" ht="12.75" customHeight="1" x14ac:dyDescent="0.35">
      <c r="A534" s="97"/>
      <c r="B534" s="97"/>
      <c r="C534" s="97"/>
      <c r="D534" s="97"/>
    </row>
    <row r="535" spans="1:4" ht="12.75" customHeight="1" x14ac:dyDescent="0.35">
      <c r="A535" s="97"/>
      <c r="B535" s="97"/>
      <c r="C535" s="97"/>
      <c r="D535" s="97"/>
    </row>
    <row r="536" spans="1:4" ht="12.75" customHeight="1" x14ac:dyDescent="0.35">
      <c r="A536" s="97"/>
      <c r="B536" s="97"/>
      <c r="C536" s="97"/>
      <c r="D536" s="97"/>
    </row>
    <row r="537" spans="1:4" ht="12.75" customHeight="1" x14ac:dyDescent="0.35">
      <c r="A537" s="97"/>
      <c r="B537" s="97" t="s">
        <v>5520</v>
      </c>
      <c r="C537" s="97"/>
      <c r="D537" s="97"/>
    </row>
    <row r="538" spans="1:4" ht="12.75" customHeight="1" x14ac:dyDescent="0.35">
      <c r="A538" s="97"/>
      <c r="B538" s="97"/>
      <c r="C538" s="97"/>
      <c r="D538" s="97"/>
    </row>
    <row r="539" spans="1:4" ht="12.75" customHeight="1" x14ac:dyDescent="0.35">
      <c r="A539" s="97"/>
      <c r="B539" s="220" t="s">
        <v>5470</v>
      </c>
      <c r="C539" s="97"/>
      <c r="D539" s="97"/>
    </row>
    <row r="540" spans="1:4" ht="12.75" customHeight="1" x14ac:dyDescent="0.35">
      <c r="A540" s="97"/>
      <c r="B540" s="97" t="s">
        <v>5521</v>
      </c>
      <c r="C540" s="97"/>
      <c r="D540" s="97"/>
    </row>
    <row r="541" spans="1:4" ht="12.75" customHeight="1" x14ac:dyDescent="0.35">
      <c r="A541" s="97"/>
      <c r="B541" s="97"/>
      <c r="C541" s="97" t="s">
        <v>5792</v>
      </c>
      <c r="D541" s="97"/>
    </row>
    <row r="542" spans="1:4" ht="12.75" customHeight="1" x14ac:dyDescent="0.35">
      <c r="A542" s="97"/>
      <c r="B542" s="97"/>
      <c r="C542" s="97" t="s">
        <v>5522</v>
      </c>
      <c r="D542" s="97"/>
    </row>
    <row r="543" spans="1:4" ht="12.75" customHeight="1" x14ac:dyDescent="0.35">
      <c r="A543" s="97"/>
      <c r="B543" s="97"/>
      <c r="C543" s="97" t="s">
        <v>5793</v>
      </c>
      <c r="D543" s="97"/>
    </row>
    <row r="544" spans="1:4" ht="12.75" customHeight="1" x14ac:dyDescent="0.35">
      <c r="A544" s="97"/>
      <c r="B544" s="97"/>
      <c r="C544" s="97" t="s">
        <v>5523</v>
      </c>
      <c r="D544" s="97"/>
    </row>
    <row r="545" spans="1:4" ht="12.75" customHeight="1" x14ac:dyDescent="0.35">
      <c r="A545" s="97"/>
      <c r="B545" s="97"/>
      <c r="C545" s="97" t="s">
        <v>5792</v>
      </c>
      <c r="D545" s="97"/>
    </row>
    <row r="546" spans="1:4" ht="12.75" customHeight="1" x14ac:dyDescent="0.35">
      <c r="A546" s="97"/>
      <c r="B546" s="97"/>
      <c r="C546" s="97" t="s">
        <v>5524</v>
      </c>
      <c r="D546" s="97"/>
    </row>
    <row r="547" spans="1:4" ht="12.75" customHeight="1" x14ac:dyDescent="0.35">
      <c r="A547" s="97"/>
      <c r="B547" s="97"/>
      <c r="C547" s="97" t="s">
        <v>5793</v>
      </c>
      <c r="D547" s="97"/>
    </row>
    <row r="548" spans="1:4" ht="12.75" customHeight="1" x14ac:dyDescent="0.35">
      <c r="A548" s="97"/>
      <c r="B548" s="97"/>
      <c r="C548" s="97" t="s">
        <v>5794</v>
      </c>
      <c r="D548" s="97"/>
    </row>
    <row r="549" spans="1:4" ht="12.75" customHeight="1" x14ac:dyDescent="0.35">
      <c r="A549" s="97"/>
      <c r="B549" s="97"/>
      <c r="C549" s="97" t="s">
        <v>5792</v>
      </c>
      <c r="D549" s="97"/>
    </row>
    <row r="550" spans="1:4" ht="12.75" customHeight="1" x14ac:dyDescent="0.35">
      <c r="A550" s="97"/>
      <c r="B550" s="97"/>
      <c r="C550" s="97" t="s">
        <v>5525</v>
      </c>
      <c r="D550" s="97"/>
    </row>
    <row r="551" spans="1:4" ht="12.75" customHeight="1" x14ac:dyDescent="0.35">
      <c r="A551" s="97"/>
      <c r="B551" s="97"/>
      <c r="C551" s="97" t="s">
        <v>5793</v>
      </c>
      <c r="D551" s="97"/>
    </row>
    <row r="552" spans="1:4" ht="12.75" customHeight="1" x14ac:dyDescent="0.35">
      <c r="A552" s="97"/>
      <c r="B552" s="97"/>
      <c r="C552" s="97" t="s">
        <v>5523</v>
      </c>
      <c r="D552" s="97"/>
    </row>
    <row r="553" spans="1:4" ht="12.75" customHeight="1" x14ac:dyDescent="0.35">
      <c r="A553" s="97"/>
      <c r="B553" s="97"/>
      <c r="C553" s="97" t="s">
        <v>5792</v>
      </c>
      <c r="D553" s="97"/>
    </row>
    <row r="554" spans="1:4" ht="12.75" customHeight="1" x14ac:dyDescent="0.35">
      <c r="A554" s="97"/>
      <c r="B554" s="97"/>
      <c r="C554" s="97" t="s">
        <v>5522</v>
      </c>
      <c r="D554" s="97"/>
    </row>
    <row r="555" spans="1:4" ht="12.75" customHeight="1" x14ac:dyDescent="0.35">
      <c r="A555" s="97"/>
      <c r="B555" s="97"/>
      <c r="C555" s="97" t="s">
        <v>5793</v>
      </c>
      <c r="D555" s="97"/>
    </row>
    <row r="556" spans="1:4" ht="12.75" customHeight="1" x14ac:dyDescent="0.35">
      <c r="A556" s="97"/>
      <c r="B556" s="97"/>
      <c r="C556" s="97" t="s">
        <v>5794</v>
      </c>
      <c r="D556" s="97"/>
    </row>
    <row r="557" spans="1:4" ht="12.75" customHeight="1" x14ac:dyDescent="0.35">
      <c r="A557" s="97"/>
      <c r="B557" s="97"/>
      <c r="C557" s="97" t="s">
        <v>5792</v>
      </c>
      <c r="D557" s="97"/>
    </row>
    <row r="558" spans="1:4" ht="12.75" customHeight="1" x14ac:dyDescent="0.35">
      <c r="A558" s="97"/>
      <c r="B558" s="97"/>
      <c r="C558" s="97" t="s">
        <v>5522</v>
      </c>
      <c r="D558" s="97"/>
    </row>
    <row r="559" spans="1:4" ht="12.75" customHeight="1" x14ac:dyDescent="0.35">
      <c r="A559" s="97"/>
      <c r="B559" s="97"/>
      <c r="C559" s="97" t="s">
        <v>5793</v>
      </c>
      <c r="D559" s="97"/>
    </row>
    <row r="560" spans="1:4" ht="12.75" customHeight="1" x14ac:dyDescent="0.35">
      <c r="A560" s="97"/>
      <c r="B560" s="97"/>
      <c r="C560" s="97" t="s">
        <v>5523</v>
      </c>
      <c r="D560" s="97"/>
    </row>
    <row r="561" spans="1:4" ht="12.75" customHeight="1" x14ac:dyDescent="0.35">
      <c r="A561" s="97"/>
      <c r="B561" s="97"/>
      <c r="C561" s="28" t="s">
        <v>5712</v>
      </c>
      <c r="D561" s="97"/>
    </row>
    <row r="562" spans="1:4" ht="12.75" customHeight="1" x14ac:dyDescent="0.35">
      <c r="A562" s="97"/>
      <c r="B562" s="97"/>
      <c r="C562" s="28" t="s">
        <v>5795</v>
      </c>
      <c r="D562" s="97"/>
    </row>
    <row r="563" spans="1:4" ht="12.75" customHeight="1" x14ac:dyDescent="0.35">
      <c r="A563" s="97"/>
      <c r="B563" s="97"/>
      <c r="C563" s="97" t="s">
        <v>5526</v>
      </c>
      <c r="D563" s="97"/>
    </row>
    <row r="564" spans="1:4" ht="12.75" customHeight="1" x14ac:dyDescent="0.35">
      <c r="A564" s="97"/>
      <c r="B564" s="97"/>
      <c r="C564" s="97" t="s">
        <v>5527</v>
      </c>
      <c r="D564" s="97"/>
    </row>
    <row r="565" spans="1:4" ht="12.75" customHeight="1" x14ac:dyDescent="0.35">
      <c r="A565" s="97"/>
      <c r="B565" s="97"/>
      <c r="C565" s="28" t="s">
        <v>5708</v>
      </c>
      <c r="D565" s="97"/>
    </row>
    <row r="566" spans="1:4" ht="12.75" customHeight="1" x14ac:dyDescent="0.35">
      <c r="A566" s="97"/>
      <c r="B566" s="97"/>
      <c r="C566" s="28" t="s">
        <v>5714</v>
      </c>
      <c r="D566" s="97"/>
    </row>
    <row r="567" spans="1:4" ht="12.75" customHeight="1" x14ac:dyDescent="0.35">
      <c r="A567" s="97"/>
      <c r="B567" s="97"/>
      <c r="C567" s="97" t="s">
        <v>5528</v>
      </c>
      <c r="D567" s="97"/>
    </row>
    <row r="568" spans="1:4" ht="12.75" customHeight="1" x14ac:dyDescent="0.35">
      <c r="A568" s="97"/>
      <c r="B568" s="97"/>
      <c r="C568" s="97" t="s">
        <v>5715</v>
      </c>
      <c r="D568" s="97"/>
    </row>
    <row r="569" spans="1:4" ht="12.75" customHeight="1" x14ac:dyDescent="0.35">
      <c r="A569" s="97"/>
      <c r="B569" s="97"/>
      <c r="C569" s="97" t="s">
        <v>5529</v>
      </c>
      <c r="D569" s="97"/>
    </row>
    <row r="570" spans="1:4" ht="12.75" customHeight="1" x14ac:dyDescent="0.35">
      <c r="A570" s="97"/>
      <c r="B570" s="97" t="s">
        <v>5530</v>
      </c>
      <c r="C570" s="97"/>
      <c r="D570" s="97"/>
    </row>
    <row r="571" spans="1:4" ht="12.75" customHeight="1" x14ac:dyDescent="0.35">
      <c r="A571" s="97"/>
      <c r="B571" s="97"/>
      <c r="C571" s="97" t="s">
        <v>5796</v>
      </c>
      <c r="D571" s="97"/>
    </row>
    <row r="572" spans="1:4" ht="12.75" customHeight="1" x14ac:dyDescent="0.35">
      <c r="A572" s="97"/>
      <c r="B572" s="97"/>
      <c r="C572" s="97" t="s">
        <v>5530</v>
      </c>
      <c r="D572" s="97"/>
    </row>
    <row r="573" spans="1:4" ht="12.75" customHeight="1" x14ac:dyDescent="0.35">
      <c r="A573" s="97"/>
      <c r="B573" s="97"/>
      <c r="C573" s="97" t="s">
        <v>5797</v>
      </c>
      <c r="D573" s="97"/>
    </row>
    <row r="574" spans="1:4" ht="12.75" customHeight="1" x14ac:dyDescent="0.35">
      <c r="A574" s="97"/>
      <c r="B574" s="97"/>
      <c r="C574" s="97" t="s">
        <v>5531</v>
      </c>
      <c r="D574" s="97"/>
    </row>
    <row r="575" spans="1:4" ht="12.75" customHeight="1" x14ac:dyDescent="0.35">
      <c r="A575" s="97"/>
      <c r="B575" s="97"/>
      <c r="C575" s="97" t="s">
        <v>5796</v>
      </c>
      <c r="D575" s="97"/>
    </row>
    <row r="576" spans="1:4" ht="12.75" customHeight="1" x14ac:dyDescent="0.35">
      <c r="A576" s="97"/>
      <c r="B576" s="97"/>
      <c r="C576" s="97" t="s">
        <v>5532</v>
      </c>
      <c r="D576" s="97"/>
    </row>
    <row r="577" spans="1:4" ht="12.75" customHeight="1" x14ac:dyDescent="0.35">
      <c r="A577" s="97"/>
      <c r="B577" s="97"/>
      <c r="C577" s="97" t="s">
        <v>5797</v>
      </c>
      <c r="D577" s="97"/>
    </row>
    <row r="578" spans="1:4" ht="12.75" customHeight="1" x14ac:dyDescent="0.35">
      <c r="A578" s="97"/>
      <c r="B578" s="97"/>
      <c r="C578" s="97" t="s">
        <v>5533</v>
      </c>
      <c r="D578" s="97"/>
    </row>
    <row r="579" spans="1:4" ht="12.75" customHeight="1" x14ac:dyDescent="0.35">
      <c r="A579" s="97"/>
      <c r="B579" s="97"/>
      <c r="C579" s="97" t="s">
        <v>5796</v>
      </c>
      <c r="D579" s="97"/>
    </row>
    <row r="580" spans="1:4" ht="12.75" customHeight="1" x14ac:dyDescent="0.35">
      <c r="A580" s="97"/>
      <c r="B580" s="97"/>
      <c r="C580" s="97" t="s">
        <v>5534</v>
      </c>
      <c r="D580" s="97"/>
    </row>
    <row r="581" spans="1:4" ht="12.75" customHeight="1" x14ac:dyDescent="0.35">
      <c r="A581" s="97"/>
      <c r="B581" s="97"/>
      <c r="C581" s="97" t="s">
        <v>5797</v>
      </c>
      <c r="D581" s="97"/>
    </row>
    <row r="582" spans="1:4" ht="12.75" customHeight="1" x14ac:dyDescent="0.35">
      <c r="A582" s="97"/>
      <c r="B582" s="97"/>
      <c r="C582" s="97" t="s">
        <v>5533</v>
      </c>
      <c r="D582" s="97"/>
    </row>
    <row r="583" spans="1:4" ht="12.75" customHeight="1" x14ac:dyDescent="0.35">
      <c r="A583" s="97"/>
      <c r="B583" s="97"/>
      <c r="C583" s="97" t="s">
        <v>5796</v>
      </c>
      <c r="D583" s="97"/>
    </row>
    <row r="584" spans="1:4" ht="12.75" customHeight="1" x14ac:dyDescent="0.35">
      <c r="A584" s="97"/>
      <c r="B584" s="97"/>
      <c r="C584" s="97" t="s">
        <v>5535</v>
      </c>
      <c r="D584" s="97"/>
    </row>
    <row r="585" spans="1:4" ht="12.75" customHeight="1" x14ac:dyDescent="0.35">
      <c r="A585" s="97"/>
      <c r="B585" s="97"/>
      <c r="C585" s="97" t="s">
        <v>5797</v>
      </c>
      <c r="D585" s="97"/>
    </row>
    <row r="586" spans="1:4" ht="12.75" customHeight="1" x14ac:dyDescent="0.35">
      <c r="A586" s="97"/>
      <c r="B586" s="97"/>
      <c r="C586" s="97" t="s">
        <v>5536</v>
      </c>
      <c r="D586" s="97"/>
    </row>
    <row r="587" spans="1:4" ht="12.75" customHeight="1" x14ac:dyDescent="0.35">
      <c r="A587" s="97"/>
      <c r="B587" s="97"/>
      <c r="C587" s="97" t="s">
        <v>5796</v>
      </c>
      <c r="D587" s="97"/>
    </row>
    <row r="588" spans="1:4" ht="12.75" customHeight="1" x14ac:dyDescent="0.35">
      <c r="A588" s="97"/>
      <c r="B588" s="97"/>
      <c r="C588" s="97" t="s">
        <v>5537</v>
      </c>
      <c r="D588" s="97"/>
    </row>
    <row r="589" spans="1:4" ht="12.75" customHeight="1" x14ac:dyDescent="0.35">
      <c r="A589" s="97"/>
      <c r="B589" s="97"/>
      <c r="C589" s="97" t="s">
        <v>5797</v>
      </c>
      <c r="D589" s="97"/>
    </row>
    <row r="590" spans="1:4" ht="12.75" customHeight="1" x14ac:dyDescent="0.35">
      <c r="A590" s="97"/>
      <c r="B590" s="97"/>
      <c r="C590" s="97" t="s">
        <v>5538</v>
      </c>
      <c r="D590" s="97"/>
    </row>
    <row r="591" spans="1:4" ht="12.75" customHeight="1" x14ac:dyDescent="0.35">
      <c r="A591" s="97"/>
      <c r="B591" s="97"/>
      <c r="C591" s="97" t="s">
        <v>5538</v>
      </c>
      <c r="D591" s="97"/>
    </row>
    <row r="592" spans="1:4" ht="12.75" customHeight="1" x14ac:dyDescent="0.35">
      <c r="A592" s="97"/>
      <c r="B592" s="97" t="s">
        <v>5912</v>
      </c>
      <c r="C592" s="97"/>
      <c r="D592" s="97"/>
    </row>
    <row r="593" spans="1:4" ht="12.75" customHeight="1" x14ac:dyDescent="0.35">
      <c r="A593" s="97"/>
      <c r="B593" s="97"/>
      <c r="C593" s="97" t="s">
        <v>5798</v>
      </c>
      <c r="D593" s="97"/>
    </row>
    <row r="594" spans="1:4" ht="12.75" customHeight="1" x14ac:dyDescent="0.35">
      <c r="A594" s="97"/>
      <c r="B594" s="97"/>
      <c r="C594" s="97" t="s">
        <v>5591</v>
      </c>
      <c r="D594" s="97"/>
    </row>
    <row r="595" spans="1:4" ht="12.75" customHeight="1" x14ac:dyDescent="0.35">
      <c r="A595" s="97"/>
      <c r="B595" s="97"/>
      <c r="C595" s="97" t="s">
        <v>5799</v>
      </c>
      <c r="D595" s="97"/>
    </row>
    <row r="596" spans="1:4" ht="12.75" customHeight="1" x14ac:dyDescent="0.35">
      <c r="A596" s="97"/>
      <c r="B596" s="97"/>
      <c r="C596" s="97" t="s">
        <v>5539</v>
      </c>
      <c r="D596" s="97"/>
    </row>
    <row r="597" spans="1:4" ht="12.75" customHeight="1" x14ac:dyDescent="0.35">
      <c r="A597" s="97"/>
      <c r="B597" s="97"/>
      <c r="C597" s="97" t="s">
        <v>5798</v>
      </c>
      <c r="D597" s="97"/>
    </row>
    <row r="598" spans="1:4" ht="12.75" customHeight="1" x14ac:dyDescent="0.35">
      <c r="A598" s="97"/>
      <c r="B598" s="97"/>
      <c r="C598" s="97" t="s">
        <v>5540</v>
      </c>
      <c r="D598" s="97"/>
    </row>
    <row r="599" spans="1:4" ht="12.75" customHeight="1" x14ac:dyDescent="0.35">
      <c r="A599" s="97"/>
      <c r="B599" s="97"/>
      <c r="C599" s="97" t="s">
        <v>5799</v>
      </c>
      <c r="D599" s="97"/>
    </row>
    <row r="600" spans="1:4" ht="12.75" customHeight="1" x14ac:dyDescent="0.35">
      <c r="A600" s="97"/>
      <c r="B600" s="97"/>
      <c r="C600" s="97" t="s">
        <v>5539</v>
      </c>
      <c r="D600" s="97"/>
    </row>
    <row r="601" spans="1:4" ht="12.75" customHeight="1" x14ac:dyDescent="0.35">
      <c r="A601" s="97"/>
      <c r="B601" s="97"/>
      <c r="C601" s="97" t="s">
        <v>5798</v>
      </c>
      <c r="D601" s="97"/>
    </row>
    <row r="602" spans="1:4" ht="12.75" customHeight="1" x14ac:dyDescent="0.35">
      <c r="A602" s="97"/>
      <c r="B602" s="97"/>
      <c r="C602" s="97" t="s">
        <v>5541</v>
      </c>
      <c r="D602" s="97"/>
    </row>
    <row r="603" spans="1:4" ht="12.75" customHeight="1" x14ac:dyDescent="0.35">
      <c r="A603" s="97"/>
      <c r="B603" s="97"/>
      <c r="C603" s="97" t="s">
        <v>5799</v>
      </c>
      <c r="D603" s="97"/>
    </row>
    <row r="604" spans="1:4" ht="12.75" customHeight="1" x14ac:dyDescent="0.35">
      <c r="A604" s="97"/>
      <c r="B604" s="97"/>
      <c r="C604" s="97" t="s">
        <v>5539</v>
      </c>
      <c r="D604" s="97"/>
    </row>
    <row r="605" spans="1:4" ht="12.75" customHeight="1" x14ac:dyDescent="0.35">
      <c r="A605" s="97"/>
      <c r="B605" s="97"/>
      <c r="C605" s="97" t="s">
        <v>5798</v>
      </c>
      <c r="D605" s="97"/>
    </row>
    <row r="606" spans="1:4" ht="12.75" customHeight="1" x14ac:dyDescent="0.35">
      <c r="A606" s="97"/>
      <c r="B606" s="97"/>
      <c r="C606" s="97" t="s">
        <v>5542</v>
      </c>
      <c r="D606" s="97"/>
    </row>
    <row r="607" spans="1:4" ht="12.75" customHeight="1" x14ac:dyDescent="0.35">
      <c r="A607" s="97"/>
      <c r="B607" s="97"/>
      <c r="C607" s="97" t="s">
        <v>5799</v>
      </c>
      <c r="D607" s="97"/>
    </row>
    <row r="608" spans="1:4" ht="12.75" customHeight="1" x14ac:dyDescent="0.35">
      <c r="A608" s="97"/>
      <c r="B608" s="97"/>
      <c r="C608" s="97" t="s">
        <v>5539</v>
      </c>
      <c r="D608" s="97"/>
    </row>
    <row r="609" spans="1:4" ht="12.75" customHeight="1" x14ac:dyDescent="0.35">
      <c r="A609" s="97"/>
      <c r="B609" s="97"/>
      <c r="C609" s="97" t="s">
        <v>5798</v>
      </c>
      <c r="D609" s="97"/>
    </row>
    <row r="610" spans="1:4" ht="12.75" customHeight="1" x14ac:dyDescent="0.35">
      <c r="A610" s="97"/>
      <c r="B610" s="97"/>
      <c r="C610" s="97" t="s">
        <v>5543</v>
      </c>
      <c r="D610" s="97"/>
    </row>
    <row r="611" spans="1:4" ht="12.75" customHeight="1" x14ac:dyDescent="0.35">
      <c r="A611" s="97"/>
      <c r="B611" s="97"/>
      <c r="C611" s="97" t="s">
        <v>5799</v>
      </c>
      <c r="D611" s="97"/>
    </row>
    <row r="612" spans="1:4" ht="12.75" customHeight="1" x14ac:dyDescent="0.35">
      <c r="A612" s="97"/>
      <c r="B612" s="97"/>
      <c r="C612" s="97" t="s">
        <v>5539</v>
      </c>
      <c r="D612" s="97"/>
    </row>
    <row r="613" spans="1:4" ht="12.75" customHeight="1" x14ac:dyDescent="0.35">
      <c r="A613" s="97"/>
      <c r="B613" s="97"/>
      <c r="C613" s="97" t="s">
        <v>5709</v>
      </c>
      <c r="D613" s="97"/>
    </row>
    <row r="614" spans="1:4" ht="12.75" customHeight="1" x14ac:dyDescent="0.35">
      <c r="A614" s="97"/>
      <c r="B614" s="97"/>
      <c r="C614" s="97" t="s">
        <v>5710</v>
      </c>
      <c r="D614" s="97"/>
    </row>
    <row r="615" spans="1:4" ht="12.75" customHeight="1" x14ac:dyDescent="0.35">
      <c r="A615" s="97"/>
      <c r="B615" s="97"/>
      <c r="C615" s="97" t="s">
        <v>5544</v>
      </c>
      <c r="D615" s="97"/>
    </row>
    <row r="616" spans="1:4" ht="12.75" customHeight="1" x14ac:dyDescent="0.35">
      <c r="A616" s="97"/>
      <c r="B616" s="97"/>
      <c r="C616" s="97" t="s">
        <v>5545</v>
      </c>
      <c r="D616" s="97"/>
    </row>
    <row r="617" spans="1:4" ht="12.75" customHeight="1" x14ac:dyDescent="0.35">
      <c r="A617" s="97"/>
      <c r="B617" s="97"/>
      <c r="C617" s="97" t="s">
        <v>5800</v>
      </c>
      <c r="D617" s="97"/>
    </row>
    <row r="618" spans="1:4" ht="12.75" customHeight="1" x14ac:dyDescent="0.35">
      <c r="A618" s="97"/>
      <c r="B618" s="97"/>
      <c r="C618" s="97" t="s">
        <v>5711</v>
      </c>
      <c r="D618" s="97"/>
    </row>
    <row r="619" spans="1:4" ht="12.75" customHeight="1" x14ac:dyDescent="0.35">
      <c r="A619" s="97"/>
      <c r="B619" s="97"/>
      <c r="C619" s="97" t="s">
        <v>5546</v>
      </c>
      <c r="D619" s="97"/>
    </row>
    <row r="620" spans="1:4" ht="12.75" customHeight="1" x14ac:dyDescent="0.35">
      <c r="A620" s="97"/>
      <c r="B620" s="97" t="s">
        <v>5801</v>
      </c>
      <c r="C620" s="97"/>
      <c r="D620" s="97"/>
    </row>
    <row r="621" spans="1:4" ht="12.75" customHeight="1" x14ac:dyDescent="0.35">
      <c r="A621" s="97"/>
      <c r="B621" s="97" t="s">
        <v>5802</v>
      </c>
      <c r="C621" s="97"/>
      <c r="D621" s="97"/>
    </row>
    <row r="622" spans="1:4" ht="12.75" customHeight="1" x14ac:dyDescent="0.35">
      <c r="A622" s="97"/>
      <c r="B622" s="97"/>
      <c r="C622" s="97"/>
      <c r="D622" s="97"/>
    </row>
    <row r="623" spans="1:4" ht="12.75" customHeight="1" x14ac:dyDescent="0.35">
      <c r="A623" s="97"/>
      <c r="B623" s="97"/>
      <c r="C623" s="97"/>
      <c r="D623" s="97"/>
    </row>
    <row r="624" spans="1:4" ht="12.75" customHeight="1" x14ac:dyDescent="0.35">
      <c r="A624" s="97"/>
      <c r="B624" s="97"/>
      <c r="C624" s="97"/>
      <c r="D624" s="97"/>
    </row>
    <row r="625" spans="1:4" ht="12.75" customHeight="1" x14ac:dyDescent="0.35">
      <c r="A625" s="97"/>
      <c r="B625" s="97" t="s">
        <v>5803</v>
      </c>
      <c r="C625" s="97"/>
      <c r="D625" s="97"/>
    </row>
    <row r="626" spans="1:4" ht="12.75" customHeight="1" x14ac:dyDescent="0.35">
      <c r="A626" s="97"/>
      <c r="B626" s="97"/>
      <c r="C626" s="97"/>
      <c r="D626" s="97"/>
    </row>
    <row r="627" spans="1:4" ht="12.75" customHeight="1" x14ac:dyDescent="0.35">
      <c r="A627" s="97"/>
      <c r="B627" s="97" t="s">
        <v>5547</v>
      </c>
      <c r="C627" s="97"/>
      <c r="D627" s="97"/>
    </row>
    <row r="628" spans="1:4" ht="12.75" customHeight="1" x14ac:dyDescent="0.35">
      <c r="A628" s="97"/>
      <c r="B628" s="97" t="s">
        <v>5804</v>
      </c>
      <c r="C628" s="97"/>
      <c r="D628" s="97"/>
    </row>
    <row r="629" spans="1:4" ht="12.75" customHeight="1" x14ac:dyDescent="0.35">
      <c r="A629" s="97"/>
      <c r="B629" s="97"/>
      <c r="C629" s="97" t="s">
        <v>5805</v>
      </c>
      <c r="D629" s="97"/>
    </row>
    <row r="630" spans="1:4" ht="12.75" customHeight="1" x14ac:dyDescent="0.35">
      <c r="A630" s="97"/>
      <c r="B630" s="97"/>
      <c r="C630" s="97"/>
      <c r="D630" s="97"/>
    </row>
    <row r="631" spans="1:4" ht="12.75" customHeight="1" x14ac:dyDescent="0.35">
      <c r="A631" s="97"/>
      <c r="B631" s="97"/>
      <c r="C631" s="97"/>
      <c r="D631" s="97"/>
    </row>
    <row r="632" spans="1:4" ht="12.75" customHeight="1" x14ac:dyDescent="0.35">
      <c r="A632" s="97"/>
      <c r="B632" s="97"/>
      <c r="C632" s="97"/>
      <c r="D632" s="97"/>
    </row>
    <row r="633" spans="1:4" ht="12.75" customHeight="1" x14ac:dyDescent="0.35">
      <c r="A633" s="97"/>
      <c r="B633" s="97"/>
      <c r="C633" s="97"/>
      <c r="D633" s="97"/>
    </row>
    <row r="634" spans="1:4" ht="12.75" customHeight="1" x14ac:dyDescent="0.35">
      <c r="A634" s="97"/>
      <c r="B634" s="97"/>
      <c r="C634" s="97"/>
      <c r="D634" s="97"/>
    </row>
    <row r="635" spans="1:4" ht="12.75" customHeight="1" x14ac:dyDescent="0.35">
      <c r="A635" s="97"/>
      <c r="B635" s="97"/>
      <c r="C635" s="97"/>
      <c r="D635" s="97"/>
    </row>
    <row r="636" spans="1:4" ht="12.75" customHeight="1" x14ac:dyDescent="0.35">
      <c r="A636" s="97"/>
      <c r="B636" s="97"/>
      <c r="C636" s="97"/>
      <c r="D636" s="97"/>
    </row>
    <row r="637" spans="1:4" ht="12.75" customHeight="1" x14ac:dyDescent="0.35">
      <c r="A637" s="97"/>
      <c r="B637" s="97"/>
      <c r="C637" s="97"/>
      <c r="D637" s="97"/>
    </row>
    <row r="638" spans="1:4" ht="12.75" customHeight="1" x14ac:dyDescent="0.35">
      <c r="A638" s="97"/>
      <c r="B638" s="97"/>
      <c r="C638" s="97"/>
      <c r="D638" s="97"/>
    </row>
    <row r="639" spans="1:4" ht="12.75" customHeight="1" x14ac:dyDescent="0.35">
      <c r="A639" s="97"/>
      <c r="B639" s="97"/>
      <c r="C639" s="97"/>
      <c r="D639" s="97"/>
    </row>
    <row r="640" spans="1:4" ht="12.75" customHeight="1" x14ac:dyDescent="0.35">
      <c r="A640" s="97"/>
      <c r="B640" s="97"/>
      <c r="C640" s="97" t="s">
        <v>5500</v>
      </c>
      <c r="D640" s="97"/>
    </row>
    <row r="641" spans="1:4" ht="12.75" customHeight="1" x14ac:dyDescent="0.35">
      <c r="A641" s="97"/>
      <c r="B641" s="97"/>
      <c r="C641" s="97"/>
      <c r="D641" s="97"/>
    </row>
    <row r="642" spans="1:4" ht="12.75" customHeight="1" x14ac:dyDescent="0.35">
      <c r="A642" s="97"/>
      <c r="B642" s="97"/>
      <c r="C642" s="97"/>
      <c r="D642" s="97"/>
    </row>
    <row r="643" spans="1:4" ht="12.75" customHeight="1" x14ac:dyDescent="0.35">
      <c r="A643" s="97"/>
      <c r="B643" s="97"/>
      <c r="C643" s="97"/>
      <c r="D643" s="97"/>
    </row>
    <row r="644" spans="1:4" ht="12.75" customHeight="1" x14ac:dyDescent="0.35">
      <c r="A644" s="97"/>
      <c r="B644" s="97"/>
      <c r="C644" s="97"/>
      <c r="D644" s="97"/>
    </row>
    <row r="645" spans="1:4" ht="12.75" customHeight="1" x14ac:dyDescent="0.35">
      <c r="A645" s="97"/>
      <c r="B645" s="97"/>
      <c r="C645" s="97"/>
      <c r="D645" s="97"/>
    </row>
    <row r="646" spans="1:4" ht="12.75" customHeight="1" x14ac:dyDescent="0.35">
      <c r="A646" s="97"/>
      <c r="B646" s="97"/>
      <c r="C646" s="97"/>
      <c r="D646" s="97"/>
    </row>
    <row r="647" spans="1:4" ht="12.75" customHeight="1" x14ac:dyDescent="0.35">
      <c r="A647" s="97"/>
      <c r="B647" s="97"/>
      <c r="C647" s="97"/>
      <c r="D647" s="97"/>
    </row>
    <row r="648" spans="1:4" ht="12.75" customHeight="1" x14ac:dyDescent="0.35">
      <c r="A648" s="97"/>
      <c r="B648" s="97"/>
      <c r="C648" s="97"/>
      <c r="D648" s="97"/>
    </row>
    <row r="649" spans="1:4" ht="12.75" customHeight="1" x14ac:dyDescent="0.35">
      <c r="A649" s="97"/>
      <c r="B649" s="97"/>
      <c r="C649" s="97"/>
      <c r="D649" s="97"/>
    </row>
    <row r="650" spans="1:4" ht="12.75" customHeight="1" x14ac:dyDescent="0.35">
      <c r="A650" s="97"/>
      <c r="B650" s="97"/>
      <c r="C650" s="97"/>
      <c r="D650" s="97"/>
    </row>
    <row r="651" spans="1:4" ht="12.75" customHeight="1" x14ac:dyDescent="0.35">
      <c r="A651" s="97"/>
      <c r="B651" s="97"/>
      <c r="C651" s="97" t="s">
        <v>5506</v>
      </c>
      <c r="D651" s="97"/>
    </row>
    <row r="652" spans="1:4" ht="12.75" customHeight="1" x14ac:dyDescent="0.35">
      <c r="A652" s="97"/>
      <c r="B652" s="97"/>
      <c r="C652" s="97"/>
      <c r="D652" s="97"/>
    </row>
    <row r="653" spans="1:4" ht="12.75" customHeight="1" x14ac:dyDescent="0.35">
      <c r="A653" s="97"/>
      <c r="B653" s="97"/>
      <c r="C653" s="97"/>
      <c r="D653" s="97"/>
    </row>
    <row r="654" spans="1:4" ht="12.75" customHeight="1" x14ac:dyDescent="0.35">
      <c r="A654" s="97"/>
      <c r="B654" s="97"/>
      <c r="C654" s="97"/>
      <c r="D654" s="97"/>
    </row>
    <row r="655" spans="1:4" ht="12.75" customHeight="1" x14ac:dyDescent="0.35">
      <c r="A655" s="97"/>
      <c r="B655" s="97"/>
      <c r="C655" s="97"/>
      <c r="D655" s="97"/>
    </row>
    <row r="656" spans="1:4" ht="12.75" customHeight="1" x14ac:dyDescent="0.35">
      <c r="A656" s="97"/>
      <c r="B656" s="97"/>
      <c r="C656" s="97"/>
      <c r="D656" s="97"/>
    </row>
    <row r="657" spans="1:4" ht="12.75" customHeight="1" x14ac:dyDescent="0.35">
      <c r="A657" s="97"/>
      <c r="B657" s="97"/>
      <c r="C657" s="97"/>
      <c r="D657" s="97"/>
    </row>
    <row r="658" spans="1:4" ht="12.75" customHeight="1" x14ac:dyDescent="0.35">
      <c r="A658" s="97"/>
      <c r="B658" s="97"/>
      <c r="C658" s="97"/>
      <c r="D658" s="97"/>
    </row>
    <row r="659" spans="1:4" ht="12.75" customHeight="1" x14ac:dyDescent="0.35">
      <c r="A659" s="97"/>
      <c r="B659" s="97"/>
      <c r="C659" s="97"/>
      <c r="D659" s="97"/>
    </row>
    <row r="660" spans="1:4" ht="12.75" customHeight="1" x14ac:dyDescent="0.35">
      <c r="A660" s="97"/>
      <c r="B660" s="97"/>
      <c r="C660" s="97"/>
      <c r="D660" s="97"/>
    </row>
    <row r="661" spans="1:4" ht="12.75" customHeight="1" x14ac:dyDescent="0.35">
      <c r="A661" s="97"/>
      <c r="B661" s="97"/>
      <c r="C661" s="97"/>
      <c r="D661" s="97"/>
    </row>
    <row r="662" spans="1:4" ht="12.75" customHeight="1" x14ac:dyDescent="0.35">
      <c r="A662" s="97"/>
      <c r="B662" s="97"/>
      <c r="C662" s="97" t="s">
        <v>5806</v>
      </c>
      <c r="D662" s="97"/>
    </row>
    <row r="663" spans="1:4" ht="12.75" customHeight="1" x14ac:dyDescent="0.35">
      <c r="A663" s="97"/>
      <c r="B663" s="97"/>
      <c r="C663" s="97"/>
      <c r="D663" s="97"/>
    </row>
    <row r="664" spans="1:4" ht="12.75" customHeight="1" x14ac:dyDescent="0.35">
      <c r="A664" s="97"/>
      <c r="B664" s="97"/>
      <c r="C664" s="97" t="s">
        <v>5801</v>
      </c>
      <c r="D664" s="97"/>
    </row>
    <row r="665" spans="1:4" ht="12.75" customHeight="1" x14ac:dyDescent="0.35">
      <c r="A665" s="97"/>
      <c r="B665" s="97"/>
      <c r="C665" s="97"/>
      <c r="D665" s="97"/>
    </row>
    <row r="666" spans="1:4" ht="12.75" customHeight="1" x14ac:dyDescent="0.35">
      <c r="A666" s="97"/>
      <c r="B666" s="97"/>
      <c r="C666" s="97"/>
      <c r="D666" s="97"/>
    </row>
    <row r="667" spans="1:4" ht="12.75" customHeight="1" x14ac:dyDescent="0.35">
      <c r="A667" s="97"/>
      <c r="B667" s="97"/>
      <c r="C667" s="97"/>
      <c r="D667" s="97"/>
    </row>
    <row r="668" spans="1:4" ht="12.75" customHeight="1" x14ac:dyDescent="0.35">
      <c r="A668" s="97"/>
      <c r="B668" s="97" t="s">
        <v>5807</v>
      </c>
      <c r="C668" s="97"/>
      <c r="D668" s="97"/>
    </row>
    <row r="669" spans="1:4" ht="12.75" customHeight="1" x14ac:dyDescent="0.35">
      <c r="A669" s="97"/>
      <c r="B669" s="97" t="s">
        <v>5808</v>
      </c>
      <c r="C669" s="97"/>
      <c r="D669" s="97"/>
    </row>
    <row r="670" spans="1:4" ht="12.75" customHeight="1" x14ac:dyDescent="0.35">
      <c r="A670" s="97"/>
      <c r="B670" s="97" t="s">
        <v>5548</v>
      </c>
      <c r="C670" s="97"/>
      <c r="D670" s="97"/>
    </row>
    <row r="671" spans="1:4" ht="12.75" customHeight="1" x14ac:dyDescent="0.35">
      <c r="A671" s="97"/>
      <c r="B671" s="97" t="s">
        <v>5549</v>
      </c>
      <c r="C671" s="97"/>
      <c r="D671" s="97"/>
    </row>
    <row r="672" spans="1:4" ht="12.75" customHeight="1" x14ac:dyDescent="0.35">
      <c r="A672" s="97"/>
      <c r="B672" s="97"/>
      <c r="C672" s="97" t="s">
        <v>5550</v>
      </c>
      <c r="D672" s="97"/>
    </row>
    <row r="673" spans="1:4" ht="12.75" customHeight="1" x14ac:dyDescent="0.35">
      <c r="A673" s="97"/>
      <c r="B673" s="97"/>
      <c r="C673" s="97"/>
      <c r="D673" s="97"/>
    </row>
    <row r="674" spans="1:4" ht="12.75" customHeight="1" x14ac:dyDescent="0.35">
      <c r="A674" s="97"/>
      <c r="B674" s="97"/>
      <c r="C674" s="97" t="s">
        <v>5513</v>
      </c>
      <c r="D674" s="97"/>
    </row>
    <row r="675" spans="1:4" ht="12.75" customHeight="1" x14ac:dyDescent="0.35">
      <c r="A675" s="97"/>
      <c r="B675" s="97" t="str">
        <f>"Свободен паричен поток "&amp;IF(FCFEinUse&lt;&gt;1,"(FCF)","на фирма (FCFF)")</f>
        <v>Свободен паричен поток (FCF)</v>
      </c>
      <c r="C675" s="97"/>
      <c r="D675" s="97"/>
    </row>
    <row r="676" spans="1:4" ht="12.75" customHeight="1" x14ac:dyDescent="0.35">
      <c r="A676" s="97"/>
      <c r="B676" s="97" t="str">
        <f>"Дисконтиран свободен паричен поток "&amp;IF(FCFEinUse&lt;&gt;1,"(DFCF)","на фирма (DFCFF)")</f>
        <v>Дисконтиран свободен паричен поток (DFCF)</v>
      </c>
      <c r="C676" s="97"/>
      <c r="D676" s="97"/>
    </row>
    <row r="677" spans="1:4" ht="12.75" customHeight="1" x14ac:dyDescent="0.35">
      <c r="A677" s="97"/>
      <c r="B677" s="97" t="str">
        <f>"Кумулативен дисконтиран паричен поток"&amp;IF(FCFEinUse&lt;&gt;1,""," на фирма (DFCFF)")</f>
        <v>Кумулативен дисконтиран паричен поток</v>
      </c>
      <c r="C677" s="97"/>
      <c r="D677" s="97"/>
    </row>
    <row r="678" spans="1:4" ht="12.75" customHeight="1" x14ac:dyDescent="0.35">
      <c r="A678" s="97"/>
      <c r="B678" s="97" t="s">
        <v>5809</v>
      </c>
      <c r="C678" s="97"/>
      <c r="D678" s="97"/>
    </row>
    <row r="679" spans="1:4" ht="12.75" customHeight="1" x14ac:dyDescent="0.35">
      <c r="A679" s="97"/>
      <c r="B679" s="97" t="s">
        <v>3781</v>
      </c>
      <c r="C679" s="97"/>
      <c r="D679" s="97"/>
    </row>
    <row r="680" spans="1:4" ht="12.75" customHeight="1" x14ac:dyDescent="0.35">
      <c r="A680" s="97"/>
      <c r="B680" s="97" t="s">
        <v>5551</v>
      </c>
      <c r="C680" s="97"/>
      <c r="D680" s="97"/>
    </row>
    <row r="681" spans="1:4" ht="12.75" customHeight="1" x14ac:dyDescent="0.35">
      <c r="A681" s="97"/>
      <c r="B681" s="97" t="s">
        <v>5810</v>
      </c>
      <c r="C681" s="97"/>
      <c r="D681" s="97"/>
    </row>
    <row r="682" spans="1:4" ht="12.75" customHeight="1" x14ac:dyDescent="0.35">
      <c r="A682" s="97"/>
      <c r="B682" s="97"/>
      <c r="C682" s="97" t="s">
        <v>5768</v>
      </c>
      <c r="D682" s="97"/>
    </row>
    <row r="683" spans="1:4" ht="12.75" customHeight="1" x14ac:dyDescent="0.35">
      <c r="A683" s="97"/>
      <c r="B683" s="97"/>
      <c r="C683" s="97" t="s">
        <v>5811</v>
      </c>
      <c r="D683" s="97"/>
    </row>
    <row r="684" spans="1:4" ht="12.75" customHeight="1" x14ac:dyDescent="0.35">
      <c r="A684" s="97"/>
      <c r="B684" s="97"/>
      <c r="C684" s="97" t="s">
        <v>5552</v>
      </c>
      <c r="D684" s="97"/>
    </row>
    <row r="685" spans="1:4" ht="12.75" customHeight="1" x14ac:dyDescent="0.35">
      <c r="A685" s="97"/>
      <c r="B685" s="97"/>
      <c r="C685" s="97" t="s">
        <v>5553</v>
      </c>
      <c r="D685" s="97"/>
    </row>
    <row r="686" spans="1:4" ht="12.75" customHeight="1" x14ac:dyDescent="0.35">
      <c r="A686" s="97"/>
      <c r="B686" s="97"/>
      <c r="C686" s="97" t="str">
        <f>C684</f>
        <v>Дългосрочна задлъжнялост., увелич.(+) / намал.(-)</v>
      </c>
      <c r="D686" s="97"/>
    </row>
    <row r="687" spans="1:4" ht="12.75" customHeight="1" x14ac:dyDescent="0.35">
      <c r="A687" s="97"/>
      <c r="B687" s="97"/>
      <c r="C687" s="97" t="s">
        <v>5812</v>
      </c>
      <c r="D687" s="97"/>
    </row>
    <row r="688" spans="1:4" ht="12.75" customHeight="1" x14ac:dyDescent="0.35">
      <c r="A688" s="97"/>
      <c r="B688" s="97"/>
      <c r="C688" s="97" t="s">
        <v>5813</v>
      </c>
      <c r="D688" s="97"/>
    </row>
    <row r="689" spans="1:4" ht="12.75" customHeight="1" x14ac:dyDescent="0.35">
      <c r="A689" s="97"/>
      <c r="B689" s="97"/>
      <c r="C689" s="97" t="s">
        <v>5814</v>
      </c>
      <c r="D689" s="97"/>
    </row>
    <row r="690" spans="1:4" ht="12.75" customHeight="1" x14ac:dyDescent="0.35">
      <c r="A690" s="97"/>
      <c r="B690" s="97"/>
      <c r="C690" s="97" t="s">
        <v>5815</v>
      </c>
      <c r="D690" s="97"/>
    </row>
    <row r="691" spans="1:4" ht="12.75" customHeight="1" x14ac:dyDescent="0.35">
      <c r="A691" s="97"/>
      <c r="B691" s="97"/>
      <c r="C691" s="97" t="s">
        <v>5816</v>
      </c>
      <c r="D691" s="97"/>
    </row>
    <row r="692" spans="1:4" ht="12.75" customHeight="1" x14ac:dyDescent="0.35">
      <c r="A692" s="97"/>
      <c r="B692" s="97" t="s">
        <v>5554</v>
      </c>
      <c r="C692" s="97"/>
      <c r="D692" s="97"/>
    </row>
    <row r="693" spans="1:4" ht="12.75" customHeight="1" x14ac:dyDescent="0.35">
      <c r="A693" s="97"/>
      <c r="B693" s="97" t="s">
        <v>5555</v>
      </c>
      <c r="C693" s="97"/>
      <c r="D693" s="97"/>
    </row>
    <row r="694" spans="1:4" ht="12.75" customHeight="1" x14ac:dyDescent="0.35">
      <c r="A694" s="97"/>
      <c r="B694" s="97" t="s">
        <v>5817</v>
      </c>
      <c r="C694" s="97"/>
      <c r="D694" s="97"/>
    </row>
    <row r="695" spans="1:4" ht="12.75" customHeight="1" x14ac:dyDescent="0.35">
      <c r="A695" s="97"/>
      <c r="B695" s="97" t="s">
        <v>5818</v>
      </c>
      <c r="C695" s="97"/>
      <c r="D695" s="97"/>
    </row>
    <row r="696" spans="1:4" ht="12.75" customHeight="1" x14ac:dyDescent="0.35">
      <c r="A696" s="97"/>
      <c r="B696" s="97"/>
      <c r="C696" s="97" t="s">
        <v>5819</v>
      </c>
      <c r="D696" s="97"/>
    </row>
    <row r="697" spans="1:4" ht="12.75" customHeight="1" x14ac:dyDescent="0.35">
      <c r="A697" s="97"/>
      <c r="B697" s="97"/>
      <c r="C697" s="97" t="s">
        <v>5556</v>
      </c>
      <c r="D697" s="97"/>
    </row>
    <row r="698" spans="1:4" ht="12.75" customHeight="1" x14ac:dyDescent="0.35">
      <c r="A698" s="97"/>
      <c r="B698" s="97"/>
      <c r="C698" s="97" t="s">
        <v>5820</v>
      </c>
      <c r="D698" s="97"/>
    </row>
    <row r="699" spans="1:4" ht="12.75" customHeight="1" x14ac:dyDescent="0.35">
      <c r="A699" s="97"/>
      <c r="B699" s="97"/>
      <c r="C699" s="97" t="s">
        <v>5821</v>
      </c>
      <c r="D699" s="97"/>
    </row>
    <row r="700" spans="1:4" ht="12.75" customHeight="1" x14ac:dyDescent="0.35">
      <c r="A700" s="97"/>
      <c r="B700" s="97"/>
      <c r="C700" s="97" t="s">
        <v>5822</v>
      </c>
      <c r="D700" s="97"/>
    </row>
    <row r="701" spans="1:4" ht="12.75" customHeight="1" x14ac:dyDescent="0.35">
      <c r="A701" s="97"/>
      <c r="B701" s="97"/>
      <c r="C701" s="97" t="s">
        <v>5557</v>
      </c>
      <c r="D701" s="97"/>
    </row>
    <row r="702" spans="1:4" ht="12.75" customHeight="1" x14ac:dyDescent="0.35">
      <c r="A702" s="97"/>
      <c r="B702" s="97" t="s">
        <v>5823</v>
      </c>
      <c r="C702" s="97"/>
      <c r="D702" s="97"/>
    </row>
    <row r="703" spans="1:4" ht="12.75" customHeight="1" x14ac:dyDescent="0.35">
      <c r="A703" s="97"/>
      <c r="B703" s="97" t="s">
        <v>5824</v>
      </c>
      <c r="C703" s="97"/>
      <c r="D703" s="97"/>
    </row>
    <row r="704" spans="1:4" ht="12.75" customHeight="1" x14ac:dyDescent="0.35">
      <c r="A704" s="97"/>
      <c r="B704" s="97"/>
      <c r="C704" s="97"/>
      <c r="D704" s="97"/>
    </row>
    <row r="705" spans="1:4" ht="12.75" customHeight="1" x14ac:dyDescent="0.35">
      <c r="A705" s="97"/>
      <c r="B705" s="97"/>
      <c r="C705" s="97"/>
      <c r="D705" s="97"/>
    </row>
    <row r="706" spans="1:4" ht="12.75" customHeight="1" x14ac:dyDescent="0.35">
      <c r="A706" s="97"/>
      <c r="B706" s="97"/>
      <c r="C706" s="97"/>
      <c r="D706" s="97"/>
    </row>
    <row r="707" spans="1:4" ht="12.75" customHeight="1" x14ac:dyDescent="0.35">
      <c r="A707" s="97"/>
      <c r="B707" s="97" t="s">
        <v>5913</v>
      </c>
      <c r="C707" s="97"/>
      <c r="D707" s="97"/>
    </row>
    <row r="708" spans="1:4" ht="12.75" customHeight="1" x14ac:dyDescent="0.35">
      <c r="A708" s="97"/>
      <c r="B708" s="97"/>
      <c r="C708" s="97"/>
      <c r="D708" s="97"/>
    </row>
    <row r="709" spans="1:4" ht="12.75" customHeight="1" x14ac:dyDescent="0.35">
      <c r="A709" s="97"/>
      <c r="B709" s="97" t="s">
        <v>5470</v>
      </c>
      <c r="C709" s="97"/>
      <c r="D709" s="97"/>
    </row>
    <row r="710" spans="1:4" ht="12.75" customHeight="1" x14ac:dyDescent="0.35">
      <c r="A710" s="97"/>
      <c r="B710" s="97" t="s">
        <v>5558</v>
      </c>
      <c r="C710" s="97"/>
      <c r="D710" s="97" t="s">
        <v>5559</v>
      </c>
    </row>
    <row r="711" spans="1:4" ht="12.75" customHeight="1" x14ac:dyDescent="0.35">
      <c r="A711" s="97"/>
      <c r="B711" s="97" t="s">
        <v>5825</v>
      </c>
      <c r="C711" s="97"/>
      <c r="D711" s="97"/>
    </row>
    <row r="712" spans="1:4" ht="12.75" customHeight="1" x14ac:dyDescent="0.35">
      <c r="A712" s="97"/>
      <c r="B712" s="97"/>
      <c r="C712" s="97" t="s">
        <v>5560</v>
      </c>
      <c r="D712" s="97"/>
    </row>
    <row r="713" spans="1:4" ht="12.75" customHeight="1" x14ac:dyDescent="0.35">
      <c r="A713" s="97"/>
      <c r="B713" s="97"/>
      <c r="C713" s="97" t="s">
        <v>5561</v>
      </c>
      <c r="D713" s="97"/>
    </row>
    <row r="714" spans="1:4" ht="12.75" customHeight="1" x14ac:dyDescent="0.35">
      <c r="A714" s="97"/>
      <c r="B714" s="97"/>
      <c r="C714" s="97" t="s">
        <v>5562</v>
      </c>
      <c r="D714" s="97"/>
    </row>
    <row r="715" spans="1:4" ht="12.75" customHeight="1" x14ac:dyDescent="0.35">
      <c r="A715" s="97"/>
      <c r="B715" s="97"/>
      <c r="C715" s="97" t="s">
        <v>5561</v>
      </c>
      <c r="D715" s="97"/>
    </row>
    <row r="716" spans="1:4" ht="12.75" customHeight="1" x14ac:dyDescent="0.35">
      <c r="A716" s="97"/>
      <c r="B716" s="97"/>
      <c r="C716" s="97" t="s">
        <v>3810</v>
      </c>
      <c r="D716" s="97"/>
    </row>
    <row r="717" spans="1:4" ht="12.75" customHeight="1" x14ac:dyDescent="0.35">
      <c r="A717" s="97"/>
      <c r="B717" s="97"/>
      <c r="C717" s="97" t="s">
        <v>5826</v>
      </c>
      <c r="D717" s="97"/>
    </row>
    <row r="718" spans="1:4" ht="12.75" customHeight="1" x14ac:dyDescent="0.35">
      <c r="A718" s="97"/>
      <c r="B718" s="97"/>
      <c r="C718" s="97" t="s">
        <v>5827</v>
      </c>
      <c r="D718" s="97"/>
    </row>
    <row r="719" spans="1:4" ht="12.75" customHeight="1" x14ac:dyDescent="0.35">
      <c r="A719" s="97"/>
      <c r="B719" s="97"/>
      <c r="C719" s="97" t="s">
        <v>5828</v>
      </c>
      <c r="D719" s="97"/>
    </row>
    <row r="720" spans="1:4" ht="12.75" customHeight="1" x14ac:dyDescent="0.35">
      <c r="A720" s="97"/>
      <c r="B720" s="97"/>
      <c r="C720" s="97" t="s">
        <v>3810</v>
      </c>
      <c r="D720" s="97"/>
    </row>
    <row r="721" spans="1:4" ht="12.75" customHeight="1" x14ac:dyDescent="0.35">
      <c r="A721" s="97"/>
      <c r="B721" s="97"/>
      <c r="C721" s="97" t="s">
        <v>5759</v>
      </c>
      <c r="D721" s="97"/>
    </row>
    <row r="722" spans="1:4" ht="12.75" customHeight="1" x14ac:dyDescent="0.35">
      <c r="A722" s="97"/>
      <c r="B722" s="97"/>
      <c r="C722" s="97" t="s">
        <v>5829</v>
      </c>
      <c r="D722" s="97"/>
    </row>
    <row r="723" spans="1:4" ht="12.75" customHeight="1" x14ac:dyDescent="0.35">
      <c r="A723" s="97"/>
      <c r="B723" s="97"/>
      <c r="C723" s="97" t="s">
        <v>5759</v>
      </c>
      <c r="D723" s="97"/>
    </row>
    <row r="724" spans="1:4" ht="12.75" customHeight="1" x14ac:dyDescent="0.35">
      <c r="A724" s="97"/>
      <c r="B724" s="97"/>
      <c r="C724" s="97" t="s">
        <v>3810</v>
      </c>
      <c r="D724" s="97"/>
    </row>
    <row r="725" spans="1:4" ht="12.75" customHeight="1" x14ac:dyDescent="0.35">
      <c r="A725" s="97"/>
      <c r="B725" s="97"/>
      <c r="C725" s="97" t="s">
        <v>5563</v>
      </c>
      <c r="D725" s="97"/>
    </row>
    <row r="726" spans="1:4" ht="12.75" customHeight="1" x14ac:dyDescent="0.35">
      <c r="A726" s="97"/>
      <c r="B726" s="97"/>
      <c r="C726" s="97" t="s">
        <v>5830</v>
      </c>
      <c r="D726" s="97"/>
    </row>
    <row r="727" spans="1:4" ht="12.75" customHeight="1" x14ac:dyDescent="0.35">
      <c r="A727" s="97"/>
      <c r="B727" s="97"/>
      <c r="C727" s="97" t="s">
        <v>5563</v>
      </c>
      <c r="D727" s="97"/>
    </row>
    <row r="728" spans="1:4" ht="12.75" customHeight="1" x14ac:dyDescent="0.35">
      <c r="A728" s="97"/>
      <c r="B728" s="97"/>
      <c r="C728" s="97" t="s">
        <v>3810</v>
      </c>
      <c r="D728" s="97"/>
    </row>
    <row r="729" spans="1:4" ht="12.75" customHeight="1" x14ac:dyDescent="0.35">
      <c r="A729" s="97"/>
      <c r="B729" s="97"/>
      <c r="C729" s="97" t="s">
        <v>5564</v>
      </c>
      <c r="D729" s="97"/>
    </row>
    <row r="730" spans="1:4" ht="12.75" customHeight="1" x14ac:dyDescent="0.35">
      <c r="A730" s="97"/>
      <c r="B730" s="97"/>
      <c r="C730" s="97" t="s">
        <v>5565</v>
      </c>
      <c r="D730" s="97"/>
    </row>
    <row r="731" spans="1:4" ht="12.75" customHeight="1" x14ac:dyDescent="0.35">
      <c r="A731" s="97"/>
      <c r="B731" s="97"/>
      <c r="C731" s="97" t="s">
        <v>5566</v>
      </c>
      <c r="D731" s="97"/>
    </row>
    <row r="732" spans="1:4" ht="12.75" customHeight="1" x14ac:dyDescent="0.35">
      <c r="A732" s="97"/>
      <c r="B732" s="97"/>
      <c r="C732" s="97" t="s">
        <v>5565</v>
      </c>
      <c r="D732" s="97"/>
    </row>
    <row r="733" spans="1:4" ht="12.75" customHeight="1" x14ac:dyDescent="0.35">
      <c r="A733" s="97"/>
      <c r="B733" s="97"/>
      <c r="C733" s="97" t="s">
        <v>3810</v>
      </c>
      <c r="D733" s="97"/>
    </row>
    <row r="734" spans="1:4" ht="12.75" customHeight="1" x14ac:dyDescent="0.35">
      <c r="A734" s="97"/>
      <c r="B734" s="97"/>
      <c r="C734" s="97" t="s">
        <v>5831</v>
      </c>
      <c r="D734" s="97"/>
    </row>
    <row r="735" spans="1:4" ht="12.75" customHeight="1" x14ac:dyDescent="0.35">
      <c r="A735" s="97"/>
      <c r="B735" s="97"/>
      <c r="C735" s="97" t="s">
        <v>5832</v>
      </c>
      <c r="D735" s="97"/>
    </row>
    <row r="736" spans="1:4" ht="12.75" customHeight="1" x14ac:dyDescent="0.35">
      <c r="A736" s="97"/>
      <c r="B736" s="97"/>
      <c r="C736" s="97" t="s">
        <v>5831</v>
      </c>
      <c r="D736" s="97"/>
    </row>
    <row r="737" spans="1:4" ht="12.75" customHeight="1" x14ac:dyDescent="0.35">
      <c r="A737" s="97"/>
      <c r="B737" s="97"/>
      <c r="C737" s="97" t="s">
        <v>3810</v>
      </c>
      <c r="D737" s="97"/>
    </row>
    <row r="738" spans="1:4" ht="12.75" customHeight="1" x14ac:dyDescent="0.35">
      <c r="A738" s="97"/>
      <c r="B738" s="97"/>
      <c r="C738" s="97" t="s">
        <v>5567</v>
      </c>
      <c r="D738" s="97"/>
    </row>
    <row r="739" spans="1:4" ht="12.75" customHeight="1" x14ac:dyDescent="0.35">
      <c r="A739" s="97"/>
      <c r="B739" s="97"/>
      <c r="C739" s="97" t="s">
        <v>5568</v>
      </c>
      <c r="D739" s="97"/>
    </row>
    <row r="740" spans="1:4" ht="12.75" customHeight="1" x14ac:dyDescent="0.35">
      <c r="A740" s="97"/>
      <c r="B740" s="97"/>
      <c r="C740" s="97" t="s">
        <v>5567</v>
      </c>
      <c r="D740" s="97"/>
    </row>
    <row r="741" spans="1:4" ht="12.75" customHeight="1" x14ac:dyDescent="0.35">
      <c r="A741" s="97"/>
      <c r="B741" s="97"/>
      <c r="C741" s="97" t="s">
        <v>3810</v>
      </c>
      <c r="D741" s="97"/>
    </row>
    <row r="742" spans="1:4" ht="12.75" customHeight="1" x14ac:dyDescent="0.35">
      <c r="A742" s="97"/>
      <c r="B742" s="97"/>
      <c r="C742" s="97" t="s">
        <v>5569</v>
      </c>
      <c r="D742" s="97"/>
    </row>
    <row r="743" spans="1:4" ht="12.75" customHeight="1" x14ac:dyDescent="0.35">
      <c r="A743" s="97"/>
      <c r="B743" s="97"/>
      <c r="C743" s="97" t="s">
        <v>5570</v>
      </c>
      <c r="D743" s="97"/>
    </row>
    <row r="744" spans="1:4" ht="12.75" customHeight="1" x14ac:dyDescent="0.35">
      <c r="A744" s="97"/>
      <c r="B744" s="97"/>
      <c r="C744" s="97" t="s">
        <v>5569</v>
      </c>
      <c r="D744" s="97"/>
    </row>
    <row r="745" spans="1:4" ht="12.75" customHeight="1" x14ac:dyDescent="0.35">
      <c r="A745" s="97"/>
      <c r="B745" s="97"/>
      <c r="C745" s="97" t="s">
        <v>3810</v>
      </c>
      <c r="D745" s="97"/>
    </row>
    <row r="746" spans="1:4" ht="12.75" customHeight="1" x14ac:dyDescent="0.35">
      <c r="A746" s="97"/>
      <c r="B746" s="97"/>
      <c r="C746" s="97" t="s">
        <v>5571</v>
      </c>
      <c r="D746" s="97"/>
    </row>
    <row r="747" spans="1:4" ht="12.75" customHeight="1" x14ac:dyDescent="0.35">
      <c r="A747" s="97"/>
      <c r="B747" s="97"/>
      <c r="C747" s="97" t="s">
        <v>5572</v>
      </c>
      <c r="D747" s="97"/>
    </row>
    <row r="748" spans="1:4" ht="12.75" customHeight="1" x14ac:dyDescent="0.35">
      <c r="A748" s="97"/>
      <c r="B748" s="97"/>
      <c r="C748" s="97" t="s">
        <v>5571</v>
      </c>
      <c r="D748" s="97"/>
    </row>
    <row r="749" spans="1:4" ht="12.75" customHeight="1" x14ac:dyDescent="0.35">
      <c r="A749" s="97"/>
      <c r="B749" s="97"/>
      <c r="C749" s="97" t="s">
        <v>3810</v>
      </c>
      <c r="D749" s="97"/>
    </row>
    <row r="750" spans="1:4" ht="12.75" customHeight="1" x14ac:dyDescent="0.35">
      <c r="A750" s="97"/>
      <c r="B750" s="97"/>
      <c r="C750" s="97" t="s">
        <v>3661</v>
      </c>
      <c r="D750" s="97"/>
    </row>
    <row r="751" spans="1:4" ht="12.75" customHeight="1" x14ac:dyDescent="0.35">
      <c r="A751" s="97"/>
      <c r="B751" s="97"/>
      <c r="C751" s="97" t="s">
        <v>5573</v>
      </c>
      <c r="D751" s="97"/>
    </row>
    <row r="752" spans="1:4" ht="12.75" customHeight="1" x14ac:dyDescent="0.35">
      <c r="A752" s="97"/>
      <c r="B752" s="97"/>
      <c r="C752" s="97" t="s">
        <v>5574</v>
      </c>
      <c r="D752" s="97"/>
    </row>
    <row r="753" spans="1:4" ht="12.75" customHeight="1" x14ac:dyDescent="0.35">
      <c r="A753" s="97"/>
      <c r="B753" s="97"/>
      <c r="C753" s="97" t="s">
        <v>5573</v>
      </c>
      <c r="D753" s="97"/>
    </row>
    <row r="754" spans="1:4" ht="12.75" customHeight="1" x14ac:dyDescent="0.35">
      <c r="A754" s="97"/>
      <c r="B754" s="97"/>
      <c r="C754" s="97" t="s">
        <v>3810</v>
      </c>
      <c r="D754" s="97"/>
    </row>
    <row r="755" spans="1:4" ht="12.75" customHeight="1" x14ac:dyDescent="0.35">
      <c r="A755" s="97"/>
      <c r="B755" s="97"/>
      <c r="C755" s="97" t="s">
        <v>5575</v>
      </c>
      <c r="D755" s="97"/>
    </row>
    <row r="756" spans="1:4" ht="12.75" customHeight="1" x14ac:dyDescent="0.35">
      <c r="A756" s="97"/>
      <c r="B756" s="97"/>
      <c r="C756" s="97" t="s">
        <v>5576</v>
      </c>
      <c r="D756" s="97"/>
    </row>
    <row r="757" spans="1:4" ht="12.75" customHeight="1" x14ac:dyDescent="0.35">
      <c r="A757" s="97"/>
      <c r="B757" s="97"/>
      <c r="C757" s="97" t="s">
        <v>5575</v>
      </c>
      <c r="D757" s="97"/>
    </row>
    <row r="758" spans="1:4" ht="12.75" customHeight="1" x14ac:dyDescent="0.35">
      <c r="A758" s="97"/>
      <c r="B758" s="97"/>
      <c r="C758" s="97" t="s">
        <v>3810</v>
      </c>
      <c r="D758" s="97"/>
    </row>
    <row r="759" spans="1:4" ht="12.75" customHeight="1" x14ac:dyDescent="0.35">
      <c r="A759" s="97"/>
      <c r="B759" s="97"/>
      <c r="C759" s="97" t="s">
        <v>5833</v>
      </c>
      <c r="D759" s="97"/>
    </row>
    <row r="760" spans="1:4" ht="12.75" customHeight="1" x14ac:dyDescent="0.35">
      <c r="A760" s="97"/>
      <c r="B760" s="97"/>
      <c r="C760" s="97" t="s">
        <v>5834</v>
      </c>
      <c r="D760" s="97"/>
    </row>
    <row r="761" spans="1:4" ht="12.75" customHeight="1" x14ac:dyDescent="0.35">
      <c r="A761" s="97"/>
      <c r="B761" s="97"/>
      <c r="C761" s="97" t="s">
        <v>5833</v>
      </c>
      <c r="D761" s="97"/>
    </row>
    <row r="762" spans="1:4" ht="12.75" customHeight="1" x14ac:dyDescent="0.35">
      <c r="A762" s="97"/>
      <c r="B762" s="97"/>
      <c r="C762" s="97" t="s">
        <v>3810</v>
      </c>
      <c r="D762" s="97"/>
    </row>
    <row r="763" spans="1:4" ht="12.75" customHeight="1" x14ac:dyDescent="0.35">
      <c r="A763" s="97"/>
      <c r="B763" s="97"/>
      <c r="C763" s="97" t="s">
        <v>5577</v>
      </c>
      <c r="D763" s="97"/>
    </row>
    <row r="764" spans="1:4" ht="12.75" customHeight="1" x14ac:dyDescent="0.35">
      <c r="A764" s="97"/>
      <c r="B764" s="97"/>
      <c r="C764" s="97" t="s">
        <v>5578</v>
      </c>
      <c r="D764" s="97"/>
    </row>
    <row r="765" spans="1:4" ht="12.75" customHeight="1" x14ac:dyDescent="0.35">
      <c r="A765" s="97"/>
      <c r="B765" s="97"/>
      <c r="C765" s="97" t="s">
        <v>5577</v>
      </c>
      <c r="D765" s="97"/>
    </row>
    <row r="766" spans="1:4" ht="12.75" customHeight="1" x14ac:dyDescent="0.35">
      <c r="A766" s="97"/>
      <c r="B766" s="97"/>
      <c r="C766" s="97" t="s">
        <v>3810</v>
      </c>
      <c r="D766" s="97"/>
    </row>
    <row r="767" spans="1:4" ht="12.75" customHeight="1" x14ac:dyDescent="0.35">
      <c r="A767" s="97"/>
      <c r="B767" s="97"/>
      <c r="C767" s="97" t="s">
        <v>5835</v>
      </c>
      <c r="D767" s="97"/>
    </row>
    <row r="768" spans="1:4" ht="12.75" customHeight="1" x14ac:dyDescent="0.35">
      <c r="A768" s="97"/>
      <c r="B768" s="97" t="s">
        <v>5579</v>
      </c>
      <c r="C768" s="97"/>
      <c r="D768" s="97"/>
    </row>
    <row r="769" spans="1:4" ht="12.75" customHeight="1" x14ac:dyDescent="0.35">
      <c r="A769" s="97"/>
      <c r="B769" s="97"/>
      <c r="C769" s="97" t="s">
        <v>5836</v>
      </c>
      <c r="D769" s="97"/>
    </row>
    <row r="770" spans="1:4" ht="12.75" customHeight="1" x14ac:dyDescent="0.35">
      <c r="A770" s="97"/>
      <c r="B770" s="97"/>
      <c r="C770" s="97" t="s">
        <v>5522</v>
      </c>
      <c r="D770" s="97"/>
    </row>
    <row r="771" spans="1:4" ht="12.75" customHeight="1" x14ac:dyDescent="0.35">
      <c r="A771" s="97"/>
      <c r="B771" s="97"/>
      <c r="C771" s="97" t="s">
        <v>5712</v>
      </c>
      <c r="D771" s="97"/>
    </row>
    <row r="772" spans="1:4" ht="12.75" customHeight="1" x14ac:dyDescent="0.35">
      <c r="A772" s="97"/>
      <c r="B772" s="97"/>
      <c r="C772" s="97" t="s">
        <v>5526</v>
      </c>
      <c r="D772" s="97"/>
    </row>
    <row r="773" spans="1:4" ht="12.75" customHeight="1" x14ac:dyDescent="0.35">
      <c r="A773" s="97"/>
      <c r="B773" s="97"/>
      <c r="C773" s="97" t="s">
        <v>5708</v>
      </c>
      <c r="D773" s="97"/>
    </row>
    <row r="774" spans="1:4" ht="12.75" customHeight="1" x14ac:dyDescent="0.35">
      <c r="A774" s="97"/>
      <c r="B774" s="97"/>
      <c r="C774" s="97" t="s">
        <v>5837</v>
      </c>
      <c r="D774" s="97"/>
    </row>
    <row r="775" spans="1:4" ht="12.75" customHeight="1" x14ac:dyDescent="0.35">
      <c r="A775" s="97"/>
      <c r="B775" s="97"/>
      <c r="C775" s="97" t="s">
        <v>5838</v>
      </c>
      <c r="D775" s="97"/>
    </row>
    <row r="776" spans="1:4" ht="12.75" customHeight="1" x14ac:dyDescent="0.35">
      <c r="A776" s="97"/>
      <c r="B776" s="97" t="s">
        <v>5558</v>
      </c>
      <c r="C776" s="97"/>
      <c r="D776" s="97"/>
    </row>
    <row r="777" spans="1:4" ht="12.75" customHeight="1" x14ac:dyDescent="0.35">
      <c r="A777" s="97"/>
      <c r="B777" s="97"/>
      <c r="C777" s="97"/>
      <c r="D777" s="97"/>
    </row>
    <row r="778" spans="1:4" ht="12.75" customHeight="1" x14ac:dyDescent="0.35">
      <c r="A778" s="97"/>
      <c r="B778" s="97"/>
      <c r="C778" s="97"/>
      <c r="D778" s="97"/>
    </row>
    <row r="779" spans="1:4" ht="12.75" customHeight="1" x14ac:dyDescent="0.35">
      <c r="A779" s="97"/>
      <c r="B779" s="97"/>
      <c r="C779" s="97"/>
      <c r="D779" s="97"/>
    </row>
    <row r="780" spans="1:4" ht="12.75" customHeight="1" x14ac:dyDescent="0.35">
      <c r="A780" s="97"/>
      <c r="B780" s="97"/>
      <c r="C780" s="97"/>
      <c r="D780" s="97"/>
    </row>
    <row r="781" spans="1:4" ht="12.75" customHeight="1" x14ac:dyDescent="0.35">
      <c r="A781" s="97"/>
      <c r="B781" s="97"/>
      <c r="C781" s="97"/>
      <c r="D781" s="97"/>
    </row>
    <row r="782" spans="1:4" ht="12.75" customHeight="1" x14ac:dyDescent="0.35">
      <c r="A782" s="97"/>
      <c r="B782" s="97"/>
      <c r="C782" s="97"/>
      <c r="D782" s="97"/>
    </row>
    <row r="783" spans="1:4" ht="12.75" customHeight="1" x14ac:dyDescent="0.35">
      <c r="A783" s="97"/>
      <c r="B783" s="97"/>
      <c r="C783" s="97"/>
      <c r="D783" s="97"/>
    </row>
    <row r="784" spans="1:4" ht="12.75" customHeight="1" x14ac:dyDescent="0.35">
      <c r="A784" s="97"/>
      <c r="B784" s="97"/>
      <c r="C784" s="97"/>
      <c r="D784" s="97"/>
    </row>
    <row r="785" spans="1:4" ht="12.75" customHeight="1" x14ac:dyDescent="0.35">
      <c r="A785" s="97"/>
      <c r="B785" s="97"/>
      <c r="C785" s="97"/>
      <c r="D785" s="97"/>
    </row>
    <row r="786" spans="1:4" ht="12.75" customHeight="1" x14ac:dyDescent="0.35">
      <c r="A786" s="97"/>
      <c r="B786" s="97"/>
      <c r="C786" s="97"/>
      <c r="D786" s="97"/>
    </row>
    <row r="787" spans="1:4" ht="12.75" customHeight="1" x14ac:dyDescent="0.35">
      <c r="A787" s="97"/>
      <c r="B787" s="97"/>
      <c r="C787" s="97"/>
      <c r="D787" s="97"/>
    </row>
    <row r="788" spans="1:4" ht="12.75" customHeight="1" x14ac:dyDescent="0.35">
      <c r="A788" s="97"/>
      <c r="B788" s="97"/>
      <c r="C788" s="97"/>
      <c r="D788" s="97"/>
    </row>
    <row r="789" spans="1:4" ht="12.75" customHeight="1" x14ac:dyDescent="0.35">
      <c r="A789" s="97"/>
      <c r="B789" s="97" t="s">
        <v>5839</v>
      </c>
      <c r="C789" s="97"/>
      <c r="D789" s="97"/>
    </row>
    <row r="790" spans="1:4" ht="12.75" customHeight="1" x14ac:dyDescent="0.35">
      <c r="A790" s="97"/>
      <c r="B790" s="97" t="s">
        <v>5840</v>
      </c>
      <c r="C790" s="97"/>
      <c r="D790" s="97"/>
    </row>
    <row r="791" spans="1:4" ht="12.75" customHeight="1" x14ac:dyDescent="0.35">
      <c r="A791" s="97"/>
      <c r="B791" s="97" t="s">
        <v>5580</v>
      </c>
      <c r="C791" s="97"/>
      <c r="D791" s="97"/>
    </row>
    <row r="792" spans="1:4" ht="12.75" customHeight="1" x14ac:dyDescent="0.35">
      <c r="A792" s="97"/>
      <c r="B792" s="97"/>
      <c r="C792" s="97"/>
      <c r="D792" s="97"/>
    </row>
    <row r="793" spans="1:4" ht="12.75" customHeight="1" x14ac:dyDescent="0.35">
      <c r="A793" s="97"/>
      <c r="B793" s="220" t="s">
        <v>5980</v>
      </c>
      <c r="C793" s="97"/>
      <c r="D793" s="97"/>
    </row>
    <row r="794" spans="1:4" ht="12.75" customHeight="1" x14ac:dyDescent="0.35">
      <c r="A794" s="97"/>
      <c r="B794" s="97" t="s">
        <v>5841</v>
      </c>
      <c r="C794" s="97"/>
      <c r="D794" s="97"/>
    </row>
    <row r="795" spans="1:4" ht="12.75" customHeight="1" x14ac:dyDescent="0.35">
      <c r="A795" s="97"/>
      <c r="B795" s="97"/>
      <c r="C795" s="97" t="s">
        <v>5483</v>
      </c>
      <c r="D795" s="97"/>
    </row>
    <row r="796" spans="1:4" ht="12.75" customHeight="1" x14ac:dyDescent="0.35">
      <c r="A796" s="97"/>
      <c r="B796" s="97"/>
      <c r="C796" s="97" t="s">
        <v>5484</v>
      </c>
      <c r="D796" s="97"/>
    </row>
    <row r="797" spans="1:4" ht="12.75" customHeight="1" x14ac:dyDescent="0.35">
      <c r="A797" s="97"/>
      <c r="B797" s="97"/>
      <c r="C797" s="97" t="s">
        <v>5842</v>
      </c>
      <c r="D797" s="97"/>
    </row>
    <row r="798" spans="1:4" ht="12.75" customHeight="1" x14ac:dyDescent="0.35">
      <c r="A798" s="97"/>
      <c r="B798" s="97"/>
      <c r="C798" s="97" t="s">
        <v>5843</v>
      </c>
      <c r="D798" s="97"/>
    </row>
    <row r="799" spans="1:4" ht="12.75" customHeight="1" x14ac:dyDescent="0.35">
      <c r="A799" s="97"/>
      <c r="B799" s="97"/>
      <c r="C799" s="97" t="s">
        <v>5581</v>
      </c>
      <c r="D799" s="97"/>
    </row>
    <row r="800" spans="1:4" ht="12.75" customHeight="1" x14ac:dyDescent="0.35">
      <c r="A800" s="97"/>
      <c r="B800" s="97"/>
      <c r="C800" s="97" t="s">
        <v>5844</v>
      </c>
      <c r="D800" s="97"/>
    </row>
    <row r="801" spans="1:4" ht="12.75" customHeight="1" x14ac:dyDescent="0.35">
      <c r="A801" s="97"/>
      <c r="B801" s="97" t="s">
        <v>5582</v>
      </c>
      <c r="C801" s="97"/>
      <c r="D801" s="97"/>
    </row>
    <row r="802" spans="1:4" ht="12.75" customHeight="1" x14ac:dyDescent="0.35">
      <c r="A802" s="97"/>
      <c r="B802" s="97" t="s">
        <v>5583</v>
      </c>
      <c r="C802" s="97"/>
      <c r="D802" s="97"/>
    </row>
    <row r="803" spans="1:4" ht="12.75" customHeight="1" x14ac:dyDescent="0.35">
      <c r="A803" s="97"/>
      <c r="B803" s="220" t="s">
        <v>5978</v>
      </c>
      <c r="C803" s="97"/>
      <c r="D803" s="97"/>
    </row>
    <row r="804" spans="1:4" ht="12.75" customHeight="1" x14ac:dyDescent="0.35">
      <c r="A804" s="97"/>
      <c r="B804" s="97" t="s">
        <v>5914</v>
      </c>
      <c r="C804" s="97"/>
      <c r="D804" s="97"/>
    </row>
    <row r="805" spans="1:4" ht="12.75" customHeight="1" x14ac:dyDescent="0.35">
      <c r="A805" s="97"/>
      <c r="B805" s="97"/>
      <c r="C805" s="97" t="s">
        <v>5584</v>
      </c>
      <c r="D805" s="97"/>
    </row>
    <row r="806" spans="1:4" ht="12.75" customHeight="1" x14ac:dyDescent="0.35">
      <c r="A806" s="97"/>
      <c r="B806" s="97"/>
      <c r="C806" s="97" t="s">
        <v>5496</v>
      </c>
      <c r="D806" s="97"/>
    </row>
    <row r="807" spans="1:4" ht="12.75" customHeight="1" x14ac:dyDescent="0.35">
      <c r="A807" s="97"/>
      <c r="B807" s="97"/>
      <c r="C807" s="97" t="s">
        <v>5713</v>
      </c>
      <c r="D807" s="97"/>
    </row>
    <row r="808" spans="1:4" ht="12.75" customHeight="1" x14ac:dyDescent="0.35">
      <c r="A808" s="97"/>
      <c r="B808" s="97"/>
      <c r="C808" s="97" t="s">
        <v>5585</v>
      </c>
      <c r="D808" s="97"/>
    </row>
    <row r="809" spans="1:4" ht="12.75" customHeight="1" x14ac:dyDescent="0.35">
      <c r="A809" s="97"/>
      <c r="B809" s="97"/>
      <c r="C809" s="97" t="s">
        <v>5586</v>
      </c>
      <c r="D809" s="97"/>
    </row>
    <row r="810" spans="1:4" ht="12.75" customHeight="1" x14ac:dyDescent="0.35">
      <c r="A810" s="97"/>
      <c r="B810" s="97"/>
      <c r="C810" s="97" t="s">
        <v>5808</v>
      </c>
      <c r="D810" s="97"/>
    </row>
    <row r="811" spans="1:4" ht="12.75" customHeight="1" x14ac:dyDescent="0.35">
      <c r="A811" s="97"/>
      <c r="B811" s="97"/>
      <c r="C811" s="97" t="s">
        <v>5587</v>
      </c>
      <c r="D811" s="97"/>
    </row>
    <row r="812" spans="1:4" ht="12.75" customHeight="1" x14ac:dyDescent="0.35">
      <c r="A812" s="97"/>
      <c r="B812" s="97"/>
      <c r="C812" s="97" t="s">
        <v>5588</v>
      </c>
      <c r="D812" s="97"/>
    </row>
    <row r="813" spans="1:4" ht="12.75" customHeight="1" x14ac:dyDescent="0.35">
      <c r="A813" s="97"/>
      <c r="B813" s="97"/>
      <c r="C813" s="97" t="s">
        <v>5589</v>
      </c>
      <c r="D813" s="97"/>
    </row>
    <row r="814" spans="1:4" ht="12.75" customHeight="1" x14ac:dyDescent="0.35">
      <c r="A814" s="97"/>
      <c r="B814" s="97"/>
      <c r="C814" s="97" t="s">
        <v>5845</v>
      </c>
      <c r="D814" s="97"/>
    </row>
    <row r="815" spans="1:4" ht="12.75" customHeight="1" x14ac:dyDescent="0.35">
      <c r="A815" s="97"/>
      <c r="B815" s="97"/>
      <c r="C815" s="97" t="s">
        <v>5590</v>
      </c>
      <c r="D815" s="97"/>
    </row>
    <row r="816" spans="1:4" ht="12.75" customHeight="1" x14ac:dyDescent="0.35">
      <c r="A816" s="97"/>
      <c r="B816" s="97"/>
      <c r="C816" s="97" t="s">
        <v>5591</v>
      </c>
      <c r="D816" s="97"/>
    </row>
    <row r="817" spans="1:4" ht="12.75" customHeight="1" x14ac:dyDescent="0.35">
      <c r="A817" s="97"/>
      <c r="B817" s="97"/>
      <c r="C817" s="97" t="s">
        <v>5709</v>
      </c>
      <c r="D817" s="97"/>
    </row>
    <row r="818" spans="1:4" ht="12.75" customHeight="1" x14ac:dyDescent="0.35">
      <c r="A818" s="97"/>
      <c r="B818" s="97"/>
      <c r="C818" s="97" t="s">
        <v>5592</v>
      </c>
      <c r="D818" s="97"/>
    </row>
    <row r="819" spans="1:4" ht="12.75" customHeight="1" x14ac:dyDescent="0.35">
      <c r="A819" s="97"/>
      <c r="B819" s="97"/>
      <c r="C819" s="97" t="s">
        <v>5846</v>
      </c>
      <c r="D819" s="97"/>
    </row>
    <row r="820" spans="1:4" ht="12.75" customHeight="1" x14ac:dyDescent="0.35">
      <c r="A820" s="97"/>
      <c r="B820" s="97"/>
      <c r="C820" s="97" t="s">
        <v>5593</v>
      </c>
      <c r="D820" s="97"/>
    </row>
    <row r="821" spans="1:4" ht="12.75" customHeight="1" x14ac:dyDescent="0.35">
      <c r="A821" s="97"/>
      <c r="B821" s="97"/>
      <c r="C821" s="97" t="s">
        <v>5594</v>
      </c>
      <c r="D821" s="97"/>
    </row>
    <row r="822" spans="1:4" ht="12.75" customHeight="1" x14ac:dyDescent="0.35">
      <c r="A822" s="97"/>
      <c r="B822" s="97"/>
      <c r="C822" s="220" t="s">
        <v>5893</v>
      </c>
      <c r="D822" s="97"/>
    </row>
    <row r="823" spans="1:4" ht="12.75" customHeight="1" x14ac:dyDescent="0.35">
      <c r="A823" s="97"/>
      <c r="B823" s="97" t="s">
        <v>5915</v>
      </c>
      <c r="C823" s="97"/>
      <c r="D823" s="97"/>
    </row>
    <row r="824" spans="1:4" ht="12.75" customHeight="1" x14ac:dyDescent="0.35">
      <c r="A824" s="97"/>
      <c r="B824" s="97" t="s">
        <v>5916</v>
      </c>
      <c r="C824" s="97"/>
      <c r="D824" s="97"/>
    </row>
    <row r="825" spans="1:4" ht="12.75" customHeight="1" x14ac:dyDescent="0.35">
      <c r="A825" s="97"/>
      <c r="B825" s="97" t="s">
        <v>5595</v>
      </c>
      <c r="C825" s="97"/>
      <c r="D825" s="97"/>
    </row>
    <row r="826" spans="1:4" ht="12.75" customHeight="1" x14ac:dyDescent="0.35">
      <c r="A826" s="97"/>
      <c r="B826" s="220" t="s">
        <v>5978</v>
      </c>
      <c r="C826" s="97"/>
      <c r="D826" s="97"/>
    </row>
    <row r="827" spans="1:4" ht="12.75" customHeight="1" x14ac:dyDescent="0.35">
      <c r="A827" s="97"/>
      <c r="B827" s="97" t="s">
        <v>5847</v>
      </c>
      <c r="C827" s="97"/>
      <c r="D827" s="97"/>
    </row>
    <row r="828" spans="1:4" ht="12.75" customHeight="1" x14ac:dyDescent="0.35">
      <c r="A828" s="97"/>
      <c r="B828" s="97" t="s">
        <v>5596</v>
      </c>
      <c r="C828" s="97"/>
      <c r="D828" s="97"/>
    </row>
    <row r="829" spans="1:4" ht="12.75" customHeight="1" x14ac:dyDescent="0.35">
      <c r="A829" s="97"/>
      <c r="B829" s="97" t="s">
        <v>5597</v>
      </c>
      <c r="C829" s="97"/>
      <c r="D829" s="97"/>
    </row>
    <row r="830" spans="1:4" ht="12.75" customHeight="1" x14ac:dyDescent="0.35">
      <c r="A830" s="97"/>
      <c r="B830" s="220" t="s">
        <v>5981</v>
      </c>
      <c r="C830" s="97"/>
      <c r="D830" s="97"/>
    </row>
    <row r="831" spans="1:4" ht="12.75" customHeight="1" x14ac:dyDescent="0.35">
      <c r="A831" s="97"/>
      <c r="B831" s="97" t="s">
        <v>5917</v>
      </c>
      <c r="C831" s="97"/>
      <c r="D831" s="97"/>
    </row>
    <row r="832" spans="1:4" ht="12.75" customHeight="1" x14ac:dyDescent="0.35">
      <c r="A832" s="97"/>
      <c r="B832" s="97"/>
      <c r="C832" s="97"/>
      <c r="D832" s="97"/>
    </row>
    <row r="833" spans="1:4" ht="12.75" customHeight="1" x14ac:dyDescent="0.35">
      <c r="A833" s="97"/>
      <c r="B833" s="97" t="s">
        <v>5848</v>
      </c>
      <c r="C833" s="97"/>
      <c r="D833" s="97"/>
    </row>
    <row r="834" spans="1:4" ht="12.75" customHeight="1" x14ac:dyDescent="0.35">
      <c r="A834" s="97"/>
      <c r="B834" s="97" t="s">
        <v>5598</v>
      </c>
      <c r="C834" s="97"/>
      <c r="D834" s="97"/>
    </row>
    <row r="835" spans="1:4" ht="12.75" customHeight="1" x14ac:dyDescent="0.35">
      <c r="A835" s="97"/>
      <c r="B835" s="220" t="s">
        <v>5982</v>
      </c>
      <c r="C835" s="97"/>
      <c r="D835" s="97"/>
    </row>
    <row r="836" spans="1:4" ht="12.75" customHeight="1" x14ac:dyDescent="0.35">
      <c r="A836" s="97"/>
      <c r="B836" s="97" t="s">
        <v>5920</v>
      </c>
      <c r="C836" s="97"/>
      <c r="D836" s="97"/>
    </row>
    <row r="837" spans="1:4" ht="12.75" customHeight="1" x14ac:dyDescent="0.35">
      <c r="A837" s="97"/>
      <c r="B837" s="97"/>
      <c r="C837" s="97"/>
      <c r="D837" s="97"/>
    </row>
    <row r="838" spans="1:4" ht="12.75" customHeight="1" x14ac:dyDescent="0.35">
      <c r="A838" s="97"/>
      <c r="B838" s="97"/>
      <c r="C838" s="97"/>
      <c r="D838" s="97"/>
    </row>
    <row r="839" spans="1:4" ht="12.75" customHeight="1" x14ac:dyDescent="0.35">
      <c r="A839" s="97"/>
      <c r="B839" s="97"/>
      <c r="C839" s="97"/>
      <c r="D839" s="97"/>
    </row>
    <row r="840" spans="1:4" ht="12.75" customHeight="1" x14ac:dyDescent="0.35">
      <c r="A840" s="97"/>
      <c r="B840" s="97" t="s">
        <v>5599</v>
      </c>
      <c r="C840" s="97"/>
      <c r="D840" s="97"/>
    </row>
    <row r="841" spans="1:4" ht="12.75" customHeight="1" x14ac:dyDescent="0.35">
      <c r="A841" s="97"/>
      <c r="B841" s="97"/>
      <c r="C841" s="97"/>
      <c r="D841" s="97"/>
    </row>
    <row r="842" spans="1:4" ht="12.75" customHeight="1" x14ac:dyDescent="0.35">
      <c r="A842" s="97"/>
      <c r="B842" s="97" t="s">
        <v>5470</v>
      </c>
      <c r="C842" s="97"/>
      <c r="D842" s="97"/>
    </row>
  </sheetData>
  <printOptions gridLines="1"/>
  <pageMargins left="0.75" right="0.75" top="1" bottom="1" header="0.5" footer="0.5"/>
  <pageSetup paperSize="9" orientation="portrait" r:id="rId1"/>
  <headerFooter>
    <oddHeader>&amp;C&amp;A</oddHeader>
    <oddFooter>&amp;CPage &amp;P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pageSetUpPr autoPageBreaks="0"/>
  </sheetPr>
  <dimension ref="A1:O130"/>
  <sheetViews>
    <sheetView workbookViewId="0">
      <selection activeCell="H8" sqref="H8"/>
    </sheetView>
  </sheetViews>
  <sheetFormatPr defaultColWidth="9.1796875" defaultRowHeight="14.5" x14ac:dyDescent="0.35"/>
  <cols>
    <col min="1" max="2" width="4" style="97" customWidth="1"/>
    <col min="3" max="16384" width="9.1796875" style="97"/>
  </cols>
  <sheetData>
    <row r="1" spans="1:15" ht="12.75" customHeight="1" x14ac:dyDescent="0.35">
      <c r="A1" s="28"/>
      <c r="B1" s="28"/>
      <c r="C1" s="28" t="s">
        <v>1481</v>
      </c>
      <c r="D1" s="28"/>
      <c r="E1" s="28"/>
      <c r="F1" s="28"/>
      <c r="G1" s="28"/>
      <c r="H1" s="28"/>
      <c r="I1" s="28"/>
      <c r="K1" s="28"/>
      <c r="L1" s="28"/>
      <c r="M1" s="28"/>
      <c r="N1" s="28" t="s">
        <v>1482</v>
      </c>
      <c r="O1" s="28" t="s">
        <v>1483</v>
      </c>
    </row>
    <row r="2" spans="1:15" ht="12.75" customHeight="1" x14ac:dyDescent="0.35">
      <c r="A2" s="28"/>
      <c r="B2" s="28"/>
      <c r="C2" s="28"/>
      <c r="D2" s="28"/>
      <c r="E2" s="28"/>
      <c r="F2" s="28"/>
      <c r="G2" s="28"/>
      <c r="H2" s="28"/>
      <c r="I2" s="28"/>
      <c r="J2" s="28"/>
      <c r="K2" s="28"/>
      <c r="L2" s="28"/>
      <c r="M2" s="28"/>
      <c r="N2" s="28"/>
      <c r="O2" s="28"/>
    </row>
    <row r="3" spans="1:15" ht="12.75" customHeight="1" x14ac:dyDescent="0.35">
      <c r="A3" s="28"/>
      <c r="B3" s="28"/>
      <c r="C3" s="28" t="s">
        <v>1485</v>
      </c>
      <c r="D3" s="28"/>
      <c r="E3" s="28"/>
      <c r="F3" s="28"/>
      <c r="G3" s="28"/>
      <c r="H3" s="28"/>
      <c r="I3" s="28"/>
      <c r="J3" s="28"/>
      <c r="K3" s="28"/>
      <c r="L3" s="28"/>
      <c r="M3" s="28"/>
      <c r="N3" s="28"/>
      <c r="O3" s="28"/>
    </row>
    <row r="4" spans="1:15" ht="12.75" customHeight="1" x14ac:dyDescent="0.35">
      <c r="A4" s="28"/>
      <c r="B4" s="28"/>
      <c r="C4" s="28"/>
      <c r="D4" s="28"/>
      <c r="E4" s="28"/>
      <c r="F4" s="28"/>
      <c r="G4" s="28"/>
      <c r="H4" s="28"/>
      <c r="I4" s="28"/>
      <c r="J4" s="28"/>
      <c r="K4" s="28"/>
      <c r="L4" s="28"/>
      <c r="M4" s="28"/>
      <c r="N4" s="28"/>
      <c r="O4" s="28"/>
    </row>
    <row r="5" spans="1:15" ht="12.75" customHeight="1" x14ac:dyDescent="0.35">
      <c r="A5" s="28"/>
      <c r="B5" s="28"/>
      <c r="C5" s="28"/>
      <c r="D5" s="28" t="s">
        <v>1487</v>
      </c>
      <c r="E5" s="28"/>
      <c r="F5" s="28"/>
      <c r="G5" s="28"/>
      <c r="H5" s="28"/>
      <c r="I5" s="28"/>
      <c r="J5" s="28"/>
      <c r="K5" s="28"/>
      <c r="L5" s="28"/>
      <c r="M5" s="28"/>
      <c r="N5" s="28"/>
      <c r="O5" s="28"/>
    </row>
    <row r="6" spans="1:15" ht="12.75" customHeight="1" x14ac:dyDescent="0.35">
      <c r="A6" s="28"/>
      <c r="B6" s="28"/>
      <c r="C6" s="28"/>
      <c r="D6" s="28" t="s">
        <v>1489</v>
      </c>
      <c r="E6" s="28"/>
      <c r="F6" s="28"/>
      <c r="G6" s="28"/>
      <c r="H6" s="28"/>
      <c r="I6" s="28"/>
      <c r="J6" s="28"/>
      <c r="K6" s="28"/>
      <c r="L6" s="28"/>
      <c r="M6" s="28"/>
      <c r="N6" s="28"/>
      <c r="O6" s="28"/>
    </row>
    <row r="7" spans="1:15" ht="12.75" customHeight="1" x14ac:dyDescent="0.35">
      <c r="A7" s="28"/>
      <c r="B7" s="28"/>
      <c r="C7" s="28"/>
      <c r="D7" s="28"/>
      <c r="E7" s="28"/>
      <c r="F7" s="28"/>
      <c r="G7" s="28"/>
      <c r="H7" s="28"/>
      <c r="I7" s="28"/>
      <c r="J7" s="28"/>
      <c r="K7" s="28"/>
      <c r="L7" s="28"/>
      <c r="M7" s="28"/>
      <c r="N7" s="28"/>
      <c r="O7" s="28"/>
    </row>
    <row r="8" spans="1:15" ht="12.75" customHeight="1" x14ac:dyDescent="0.35">
      <c r="A8" s="28"/>
      <c r="B8" s="28"/>
      <c r="C8" s="28"/>
      <c r="D8" s="28" t="s">
        <v>1492</v>
      </c>
      <c r="E8" s="28"/>
      <c r="F8" s="28"/>
      <c r="G8" s="28"/>
      <c r="H8" s="28" t="s">
        <v>1250</v>
      </c>
      <c r="I8" s="28"/>
      <c r="J8" s="28"/>
      <c r="K8" s="28"/>
      <c r="L8" s="28"/>
      <c r="M8" s="28"/>
      <c r="N8" s="28"/>
      <c r="O8" s="28"/>
    </row>
    <row r="9" spans="1:15" ht="12.75" customHeight="1" x14ac:dyDescent="0.35">
      <c r="A9" s="28"/>
      <c r="B9" s="28"/>
      <c r="C9" s="28"/>
      <c r="D9" s="28" t="s">
        <v>1494</v>
      </c>
      <c r="E9" s="28"/>
      <c r="F9" s="28"/>
      <c r="G9" s="28"/>
      <c r="H9" s="28"/>
      <c r="I9" s="28"/>
      <c r="J9" s="28"/>
      <c r="K9" s="28"/>
      <c r="L9" s="28"/>
      <c r="M9" s="28"/>
      <c r="N9" s="28"/>
      <c r="O9" s="28"/>
    </row>
    <row r="10" spans="1:15" ht="12.75" customHeight="1" x14ac:dyDescent="0.35">
      <c r="A10" s="28"/>
      <c r="B10" s="28"/>
      <c r="C10" s="28"/>
      <c r="D10" s="28" t="s">
        <v>1496</v>
      </c>
      <c r="E10" s="28"/>
      <c r="F10" s="28"/>
      <c r="G10" s="28"/>
      <c r="H10" s="28" t="s">
        <v>9</v>
      </c>
      <c r="I10" s="28"/>
      <c r="J10" s="28"/>
      <c r="K10" s="28"/>
      <c r="L10" s="28"/>
      <c r="M10" s="28"/>
      <c r="N10" s="28"/>
      <c r="O10" s="28"/>
    </row>
    <row r="11" spans="1:15" ht="12.75" customHeight="1" x14ac:dyDescent="0.35">
      <c r="A11" s="28"/>
      <c r="B11" s="28"/>
      <c r="C11" s="28"/>
      <c r="D11" s="28" t="s">
        <v>1498</v>
      </c>
      <c r="E11" s="28"/>
      <c r="F11" s="28"/>
      <c r="G11" s="28"/>
      <c r="H11" s="1312" t="str">
        <f>"(In the "&amp;IF(CalcPoint=0,"beginning","end")&amp;" of period)"</f>
        <v>(In the beginning of period)</v>
      </c>
      <c r="I11" s="28"/>
      <c r="J11" s="28"/>
      <c r="K11" s="28"/>
      <c r="L11" s="28"/>
      <c r="M11" s="28"/>
      <c r="N11" s="28"/>
      <c r="O11" s="28"/>
    </row>
    <row r="12" spans="1:15" ht="12.75" customHeight="1" x14ac:dyDescent="0.35">
      <c r="A12" s="28"/>
      <c r="B12" s="28"/>
      <c r="C12" s="28"/>
      <c r="D12" s="28"/>
      <c r="E12" s="28"/>
      <c r="F12" s="28"/>
      <c r="G12" s="28"/>
      <c r="H12" s="28"/>
      <c r="I12" s="28"/>
      <c r="J12" s="28"/>
      <c r="K12" s="28"/>
      <c r="L12" s="28"/>
      <c r="M12" s="28"/>
      <c r="N12" s="28"/>
      <c r="O12" s="28"/>
    </row>
    <row r="13" spans="1:15" ht="12.75" customHeight="1" x14ac:dyDescent="0.35">
      <c r="A13" s="28"/>
      <c r="B13" s="28"/>
      <c r="C13" s="28"/>
      <c r="D13" s="28"/>
      <c r="E13" s="28"/>
      <c r="F13" s="28"/>
      <c r="G13" s="28"/>
      <c r="H13" s="28"/>
      <c r="I13" s="28"/>
      <c r="J13" s="28"/>
      <c r="K13" s="28"/>
      <c r="L13" s="28"/>
      <c r="M13" s="28"/>
      <c r="N13" s="28"/>
      <c r="O13" s="28"/>
    </row>
    <row r="14" spans="1:15" ht="12.75" customHeight="1" x14ac:dyDescent="0.35">
      <c r="A14" s="28"/>
      <c r="B14" s="28"/>
      <c r="C14" s="28"/>
      <c r="D14" s="28" t="s">
        <v>1502</v>
      </c>
      <c r="E14" s="28"/>
      <c r="F14" s="28"/>
      <c r="G14" s="28"/>
      <c r="H14" s="28" t="s">
        <v>1503</v>
      </c>
      <c r="I14" s="28"/>
      <c r="J14" s="28"/>
      <c r="K14" s="28"/>
      <c r="L14" s="28"/>
      <c r="M14" s="28"/>
      <c r="N14" s="28"/>
      <c r="O14" s="28"/>
    </row>
    <row r="15" spans="1:15" ht="12.75" customHeight="1" x14ac:dyDescent="0.35">
      <c r="A15" s="28"/>
      <c r="B15" s="28"/>
      <c r="C15" s="28"/>
      <c r="D15" s="28" t="s">
        <v>1298</v>
      </c>
      <c r="E15" s="28"/>
      <c r="F15" s="28"/>
      <c r="G15" s="28"/>
      <c r="H15" s="28"/>
      <c r="I15" s="28"/>
      <c r="J15" s="28"/>
      <c r="K15" s="28"/>
      <c r="L15" s="28"/>
      <c r="M15" s="28"/>
      <c r="N15" s="28"/>
      <c r="O15" s="28"/>
    </row>
    <row r="16" spans="1:15" ht="12.75" customHeight="1" x14ac:dyDescent="0.35">
      <c r="A16" s="28"/>
      <c r="B16" s="28"/>
      <c r="C16" s="28"/>
      <c r="D16" s="28" t="s">
        <v>1507</v>
      </c>
      <c r="E16" s="28"/>
      <c r="F16" s="28"/>
      <c r="G16" s="28"/>
      <c r="H16" s="28"/>
      <c r="I16" s="28"/>
      <c r="J16" s="28"/>
      <c r="K16" s="28"/>
      <c r="L16" s="28"/>
      <c r="M16" s="28"/>
      <c r="N16" s="28"/>
      <c r="O16" s="28"/>
    </row>
    <row r="17" spans="1:15" ht="12.75" customHeight="1" x14ac:dyDescent="0.35">
      <c r="A17" s="28"/>
      <c r="B17" s="28"/>
      <c r="C17" s="28"/>
      <c r="D17" s="28"/>
      <c r="E17" s="28"/>
      <c r="F17" s="28"/>
      <c r="G17" s="28"/>
      <c r="H17" s="28"/>
      <c r="I17" s="28"/>
      <c r="J17" s="28"/>
      <c r="K17" s="28"/>
      <c r="L17" s="28"/>
      <c r="M17" s="28"/>
      <c r="N17" s="28"/>
      <c r="O17" s="28"/>
    </row>
    <row r="18" spans="1:15" ht="12.75" customHeight="1" x14ac:dyDescent="0.35">
      <c r="A18" s="28"/>
      <c r="B18" s="28"/>
      <c r="C18" s="28"/>
      <c r="D18" s="1312" t="str">
        <f>IF(PerpetuityLimitation=1,"Perpetuity","Extrapolation")&amp;" is based on"</f>
        <v>Perpetuity is based on</v>
      </c>
      <c r="E18" s="28"/>
      <c r="F18" s="28"/>
      <c r="G18" s="28"/>
      <c r="H18" s="28"/>
      <c r="I18" s="28"/>
      <c r="J18" s="28"/>
      <c r="K18" s="28"/>
      <c r="L18" s="28"/>
      <c r="M18" s="28"/>
      <c r="N18" s="28"/>
      <c r="O18" s="28"/>
    </row>
    <row r="19" spans="1:15" ht="12.75" customHeight="1" x14ac:dyDescent="0.35">
      <c r="A19" s="28"/>
      <c r="B19" s="28"/>
      <c r="C19" s="28"/>
      <c r="D19" s="28"/>
      <c r="E19" s="28"/>
      <c r="F19" s="28"/>
      <c r="G19" s="28"/>
      <c r="H19" s="28"/>
      <c r="I19" s="28"/>
      <c r="J19" s="28"/>
      <c r="K19" s="28"/>
      <c r="L19" s="28"/>
      <c r="M19" s="28"/>
      <c r="N19" s="28"/>
      <c r="O19" s="28"/>
    </row>
    <row r="20" spans="1:15" ht="12.75" customHeight="1" x14ac:dyDescent="0.35">
      <c r="A20" s="28"/>
      <c r="B20" s="28"/>
      <c r="C20" s="28"/>
      <c r="D20" s="28" t="s">
        <v>1512</v>
      </c>
      <c r="E20" s="28"/>
      <c r="F20" s="28"/>
      <c r="G20" s="28"/>
      <c r="H20" s="97" t="s">
        <v>1513</v>
      </c>
      <c r="I20" s="28"/>
      <c r="J20" s="28"/>
      <c r="K20" s="28"/>
      <c r="L20" s="28"/>
      <c r="M20" s="28"/>
      <c r="N20" s="28"/>
      <c r="O20" s="28"/>
    </row>
    <row r="21" spans="1:15" ht="12.75" customHeight="1" x14ac:dyDescent="0.35">
      <c r="A21" s="28"/>
      <c r="B21" s="28"/>
      <c r="C21" s="28"/>
      <c r="D21" s="28"/>
      <c r="E21" s="28"/>
      <c r="F21" s="28"/>
      <c r="G21" s="28"/>
      <c r="H21" s="28"/>
      <c r="I21" s="28"/>
      <c r="J21" s="28"/>
      <c r="K21" s="28"/>
      <c r="L21" s="28"/>
      <c r="M21" s="28"/>
      <c r="N21" s="28"/>
      <c r="O21" s="28"/>
    </row>
    <row r="22" spans="1:15" ht="12.75" customHeight="1" x14ac:dyDescent="0.35">
      <c r="A22" s="28"/>
      <c r="B22" s="28"/>
      <c r="C22" s="28"/>
      <c r="D22" s="1312" t="str">
        <f>"      Enter annual value"&amp;IF(TRIM($J$5)&lt;&gt;""," ("&amp;$J$5&amp;")","")</f>
        <v xml:space="preserve">      Enter annual value</v>
      </c>
      <c r="E22" s="28"/>
      <c r="F22" s="28"/>
      <c r="G22" s="28"/>
      <c r="H22" s="1312" t="str">
        <f ca="1">"Base value "&amp;Calculations!$N$627</f>
        <v>Base value (12/2024)</v>
      </c>
      <c r="I22" s="28"/>
      <c r="J22" s="28"/>
      <c r="K22" s="28"/>
      <c r="L22" s="28"/>
      <c r="M22" s="28"/>
      <c r="N22" s="28"/>
      <c r="O22" s="28"/>
    </row>
    <row r="23" spans="1:15" ht="12.75" customHeight="1" x14ac:dyDescent="0.35">
      <c r="A23" s="28"/>
      <c r="B23" s="28"/>
      <c r="C23" s="28"/>
      <c r="D23" s="28"/>
      <c r="E23" s="28"/>
      <c r="F23" s="28"/>
      <c r="G23" s="28"/>
      <c r="H23" s="28"/>
      <c r="I23" s="28"/>
      <c r="J23" s="28"/>
      <c r="K23" s="28"/>
      <c r="L23" s="28"/>
      <c r="M23" s="28"/>
      <c r="N23" s="28"/>
      <c r="O23" s="28"/>
    </row>
    <row r="24" spans="1:15" ht="12.75" customHeight="1" x14ac:dyDescent="0.35">
      <c r="A24" s="28"/>
      <c r="B24" s="28"/>
      <c r="C24" s="28"/>
      <c r="D24" s="1312" t="str">
        <f>"Type of "&amp;IF(PerpetuityLimitation=1,"perpetuity","extrapolation")</f>
        <v>Type of perpetuity</v>
      </c>
      <c r="E24" s="28"/>
      <c r="F24" s="28"/>
      <c r="G24" s="28"/>
      <c r="H24" s="28" t="s">
        <v>1518</v>
      </c>
      <c r="I24" s="28"/>
      <c r="J24" s="28"/>
      <c r="K24" s="28"/>
      <c r="L24" s="28"/>
      <c r="M24" s="28"/>
      <c r="N24" s="28"/>
      <c r="O24" s="28"/>
    </row>
    <row r="25" spans="1:15" ht="12.75" customHeight="1" x14ac:dyDescent="0.35">
      <c r="A25" s="28"/>
      <c r="B25" s="28"/>
      <c r="C25" s="28"/>
      <c r="D25" s="28"/>
      <c r="E25" s="28"/>
      <c r="F25" s="28"/>
      <c r="G25" s="28"/>
      <c r="H25" s="28"/>
      <c r="I25" s="28"/>
      <c r="J25" s="28"/>
      <c r="K25" s="28"/>
      <c r="L25" s="28"/>
      <c r="M25" s="28"/>
      <c r="N25" s="28"/>
      <c r="O25" s="28"/>
    </row>
    <row r="26" spans="1:15" ht="12.75" customHeight="1" x14ac:dyDescent="0.35">
      <c r="A26" s="28"/>
      <c r="B26" s="28"/>
      <c r="C26" s="28"/>
      <c r="D26" s="28" t="s">
        <v>1521</v>
      </c>
      <c r="E26" s="28"/>
      <c r="F26" s="28"/>
      <c r="G26" s="28"/>
      <c r="H26" s="1312" t="str">
        <f ca="1">"Value "&amp;Calculations!$N$627</f>
        <v>Value (12/2024)</v>
      </c>
      <c r="I26" s="28"/>
      <c r="J26" s="28"/>
      <c r="K26" s="28"/>
      <c r="L26" s="28"/>
      <c r="M26" s="28"/>
      <c r="N26" s="28"/>
      <c r="O26" s="28"/>
    </row>
    <row r="27" spans="1:15" ht="12.75" customHeight="1" x14ac:dyDescent="0.35">
      <c r="A27" s="28"/>
      <c r="B27" s="28"/>
      <c r="C27" s="28"/>
      <c r="D27" s="28"/>
      <c r="E27" s="28"/>
      <c r="F27" s="28"/>
      <c r="G27" s="28"/>
      <c r="H27" s="28"/>
      <c r="I27" s="28"/>
      <c r="J27" s="28"/>
      <c r="K27" s="28"/>
      <c r="L27" s="28"/>
      <c r="M27" s="28"/>
      <c r="N27" s="28"/>
      <c r="O27" s="28"/>
    </row>
    <row r="28" spans="1:15" ht="12.75" customHeight="1" x14ac:dyDescent="0.35">
      <c r="A28" s="28"/>
      <c r="B28" s="28"/>
      <c r="C28" s="28"/>
      <c r="D28" s="28" t="s">
        <v>1524</v>
      </c>
      <c r="E28" s="28"/>
      <c r="F28" s="28"/>
      <c r="G28" s="28"/>
      <c r="H28" s="1312" t="str">
        <f>"Present value ("&amp;$F$11&amp;")"</f>
        <v>Present value ()</v>
      </c>
      <c r="I28" s="28"/>
      <c r="J28" s="28"/>
      <c r="K28" s="28"/>
      <c r="L28" s="28"/>
      <c r="M28" s="28"/>
      <c r="N28" s="28"/>
      <c r="O28" s="28"/>
    </row>
    <row r="29" spans="1:15" ht="12.75" customHeight="1" x14ac:dyDescent="0.35">
      <c r="A29" s="28"/>
      <c r="B29" s="28"/>
      <c r="C29" s="28"/>
      <c r="D29" s="28"/>
      <c r="E29" s="28"/>
      <c r="F29" s="28"/>
      <c r="G29" s="28"/>
      <c r="H29" s="28"/>
      <c r="I29" s="28"/>
      <c r="J29" s="28"/>
      <c r="K29" s="28"/>
      <c r="L29" s="28"/>
      <c r="M29" s="28"/>
      <c r="N29" s="28"/>
      <c r="O29" s="28"/>
    </row>
    <row r="30" spans="1:15" ht="12.75" customHeight="1" x14ac:dyDescent="0.35">
      <c r="A30" s="28"/>
      <c r="B30" s="28"/>
      <c r="C30" s="28"/>
      <c r="D30" s="28"/>
      <c r="E30" s="28"/>
      <c r="F30" s="28"/>
      <c r="G30" s="28"/>
      <c r="H30" s="28"/>
      <c r="I30" s="28"/>
      <c r="J30" s="28"/>
      <c r="K30" s="28"/>
      <c r="L30" s="28"/>
      <c r="M30" s="28"/>
      <c r="N30" s="28"/>
      <c r="O30" s="28"/>
    </row>
    <row r="31" spans="1:15" ht="12.75" customHeight="1" x14ac:dyDescent="0.35">
      <c r="A31" s="28"/>
      <c r="B31" s="28"/>
      <c r="C31" s="28"/>
      <c r="D31" s="28" t="s">
        <v>1528</v>
      </c>
      <c r="E31" s="28"/>
      <c r="F31" s="28"/>
      <c r="G31" s="28"/>
      <c r="H31" s="28" t="s">
        <v>1530</v>
      </c>
      <c r="I31" s="28"/>
      <c r="J31" s="28"/>
      <c r="K31" s="28"/>
      <c r="L31" s="28"/>
      <c r="M31" s="28"/>
      <c r="N31" s="28"/>
      <c r="O31" s="28"/>
    </row>
    <row r="32" spans="1:15" ht="12.75" customHeight="1" x14ac:dyDescent="0.35">
      <c r="A32" s="28"/>
      <c r="B32" s="28"/>
      <c r="C32" s="28"/>
      <c r="D32" s="28"/>
      <c r="E32" s="28"/>
      <c r="F32" s="28"/>
      <c r="G32" s="28"/>
      <c r="H32" s="28"/>
      <c r="I32" s="28"/>
      <c r="J32" s="28"/>
      <c r="K32" s="28"/>
      <c r="L32" s="28"/>
      <c r="M32" s="28"/>
      <c r="N32" s="28"/>
      <c r="O32" s="28"/>
    </row>
    <row r="33" spans="1:15" ht="12.75" customHeight="1" x14ac:dyDescent="0.35">
      <c r="A33" s="28"/>
      <c r="B33" s="28"/>
      <c r="C33" s="28"/>
      <c r="D33" s="28" t="s">
        <v>1502</v>
      </c>
      <c r="E33" s="28"/>
      <c r="F33" s="28"/>
      <c r="G33" s="28"/>
      <c r="H33" s="28"/>
      <c r="I33" s="28"/>
      <c r="J33" s="28"/>
      <c r="K33" s="28"/>
      <c r="L33" s="28"/>
      <c r="M33" s="28"/>
      <c r="N33" s="28"/>
      <c r="O33" s="28"/>
    </row>
    <row r="34" spans="1:15" ht="12.75" customHeight="1" x14ac:dyDescent="0.35">
      <c r="A34" s="28"/>
      <c r="B34" s="28"/>
      <c r="C34" s="28"/>
      <c r="D34" s="28"/>
      <c r="E34" s="28"/>
      <c r="F34" s="28"/>
      <c r="G34" s="28"/>
      <c r="H34" s="28"/>
      <c r="I34" s="28"/>
      <c r="J34" s="28"/>
      <c r="K34" s="28"/>
      <c r="L34" s="28"/>
      <c r="M34" s="28"/>
      <c r="N34" s="28"/>
      <c r="O34" s="28"/>
    </row>
    <row r="35" spans="1:15" ht="12.75" customHeight="1" x14ac:dyDescent="0.35">
      <c r="A35" s="28"/>
      <c r="B35" s="28"/>
      <c r="C35" s="28"/>
      <c r="D35" s="28" t="s">
        <v>5076</v>
      </c>
      <c r="E35" s="28"/>
      <c r="F35" s="28"/>
      <c r="G35" s="28"/>
      <c r="H35" s="28"/>
      <c r="I35" s="28"/>
      <c r="J35" s="28"/>
      <c r="K35" s="28"/>
      <c r="L35" s="28"/>
      <c r="M35" s="28"/>
      <c r="N35" s="28"/>
      <c r="O35" s="28"/>
    </row>
    <row r="36" spans="1:15" ht="12.75" customHeight="1" x14ac:dyDescent="0.35">
      <c r="A36" s="28"/>
      <c r="B36" s="28"/>
      <c r="C36" s="28"/>
      <c r="D36" s="28" t="s">
        <v>1536</v>
      </c>
      <c r="E36" s="28"/>
      <c r="F36" s="28"/>
      <c r="G36" s="28"/>
      <c r="H36" s="28"/>
      <c r="I36" s="28"/>
      <c r="J36" s="28"/>
      <c r="K36" s="28"/>
      <c r="L36" s="28"/>
      <c r="M36" s="28"/>
      <c r="N36" s="28"/>
      <c r="O36" s="28"/>
    </row>
    <row r="37" spans="1:15" ht="12.75" customHeight="1" x14ac:dyDescent="0.35">
      <c r="A37" s="28"/>
      <c r="B37" s="28"/>
      <c r="C37" s="28"/>
      <c r="D37" s="28"/>
      <c r="E37" s="28"/>
      <c r="F37" s="28"/>
      <c r="G37" s="28"/>
      <c r="H37" s="28"/>
      <c r="I37" s="28"/>
      <c r="J37" s="28"/>
      <c r="K37" s="28"/>
      <c r="L37" s="28"/>
      <c r="M37" s="28"/>
      <c r="N37" s="28"/>
      <c r="O37" s="28"/>
    </row>
    <row r="38" spans="1:15" ht="12.75" customHeight="1" x14ac:dyDescent="0.35">
      <c r="A38" s="28"/>
      <c r="B38" s="28"/>
      <c r="C38" s="28"/>
      <c r="D38" s="110" t="s">
        <v>1266</v>
      </c>
      <c r="E38" s="111"/>
      <c r="F38" s="112"/>
      <c r="G38" s="2"/>
      <c r="H38" s="2"/>
      <c r="I38" s="28"/>
      <c r="J38" s="28"/>
      <c r="K38" s="28"/>
      <c r="L38" s="28"/>
      <c r="M38" s="28"/>
      <c r="N38" s="28"/>
      <c r="O38" s="28"/>
    </row>
    <row r="39" spans="1:15" ht="12.75" customHeight="1" x14ac:dyDescent="0.35">
      <c r="A39" s="28"/>
      <c r="B39" s="28"/>
      <c r="C39" s="28"/>
      <c r="D39" s="110"/>
      <c r="E39" s="111"/>
      <c r="F39" s="112"/>
      <c r="G39" s="2"/>
      <c r="H39" s="2"/>
      <c r="I39" s="28"/>
      <c r="J39" s="28"/>
      <c r="K39" s="28"/>
      <c r="L39" s="28"/>
      <c r="M39" s="28"/>
      <c r="N39" s="28"/>
      <c r="O39" s="28"/>
    </row>
    <row r="40" spans="1:15" ht="12.75" customHeight="1" x14ac:dyDescent="0.35">
      <c r="A40" s="28"/>
      <c r="B40" s="28"/>
      <c r="C40" s="28"/>
      <c r="D40" s="110"/>
      <c r="E40" s="111"/>
      <c r="F40" s="112"/>
      <c r="G40" s="2"/>
      <c r="H40" s="2"/>
      <c r="I40" s="28"/>
      <c r="J40" s="28"/>
      <c r="K40" s="28"/>
      <c r="L40" s="28"/>
      <c r="M40" s="28"/>
      <c r="N40" s="28"/>
      <c r="O40" s="28"/>
    </row>
    <row r="41" spans="1:15" ht="12.75" customHeight="1" x14ac:dyDescent="0.35">
      <c r="A41" s="28"/>
      <c r="B41" s="28"/>
      <c r="C41" s="28"/>
      <c r="D41" s="110"/>
      <c r="E41" s="111"/>
      <c r="F41" s="112"/>
      <c r="G41" s="2"/>
      <c r="H41" s="2"/>
      <c r="I41" s="28"/>
      <c r="J41" s="28"/>
      <c r="K41" s="28"/>
      <c r="L41" s="28"/>
      <c r="M41" s="28"/>
      <c r="N41" s="28"/>
      <c r="O41" s="28"/>
    </row>
    <row r="42" spans="1:15" ht="12.75" customHeight="1" x14ac:dyDescent="0.35">
      <c r="A42" s="28"/>
      <c r="B42" s="28"/>
      <c r="C42" s="28"/>
      <c r="D42" s="110"/>
      <c r="E42" s="111"/>
      <c r="F42" s="112"/>
      <c r="G42" s="2"/>
      <c r="H42" s="2"/>
      <c r="I42" s="28"/>
      <c r="J42" s="28"/>
      <c r="K42" s="28"/>
      <c r="L42" s="28"/>
      <c r="M42" s="28"/>
      <c r="N42" s="28"/>
      <c r="O42" s="28"/>
    </row>
    <row r="43" spans="1:15" ht="12.75" customHeight="1" x14ac:dyDescent="0.35">
      <c r="A43" s="28"/>
      <c r="B43" s="28"/>
      <c r="C43" s="28"/>
      <c r="D43" s="110"/>
      <c r="E43" s="111"/>
      <c r="F43" s="112"/>
      <c r="G43" s="2"/>
      <c r="H43" s="2"/>
      <c r="I43" s="28"/>
      <c r="J43" s="28"/>
      <c r="K43" s="28"/>
      <c r="L43" s="28"/>
      <c r="M43" s="28"/>
      <c r="N43" s="28"/>
      <c r="O43" s="28"/>
    </row>
    <row r="44" spans="1:15" ht="12.75" customHeight="1" x14ac:dyDescent="0.35">
      <c r="A44" s="28"/>
      <c r="B44" s="28"/>
      <c r="C44" s="28"/>
      <c r="D44" s="110"/>
      <c r="E44" s="111"/>
      <c r="F44" s="112"/>
      <c r="G44" s="2"/>
      <c r="H44" s="2"/>
      <c r="I44" s="28"/>
      <c r="J44" s="28"/>
      <c r="K44" s="28"/>
      <c r="L44" s="28"/>
      <c r="M44" s="28"/>
      <c r="N44" s="28"/>
      <c r="O44" s="28"/>
    </row>
    <row r="45" spans="1:15" ht="12.75" customHeight="1" x14ac:dyDescent="0.35">
      <c r="A45" s="28"/>
      <c r="B45" s="28"/>
      <c r="C45" s="28"/>
      <c r="D45" s="110"/>
      <c r="E45" s="111"/>
      <c r="F45" s="112"/>
      <c r="G45" s="2"/>
      <c r="H45" s="2"/>
      <c r="I45" s="28"/>
      <c r="J45" s="28"/>
      <c r="K45" s="28"/>
      <c r="L45" s="28"/>
      <c r="M45" s="28"/>
      <c r="N45" s="28"/>
      <c r="O45" s="28"/>
    </row>
    <row r="46" spans="1:15" ht="12.75" customHeight="1" x14ac:dyDescent="0.35">
      <c r="A46" s="28"/>
      <c r="B46" s="28"/>
      <c r="C46" s="28"/>
      <c r="D46" s="110"/>
      <c r="E46" s="111"/>
      <c r="F46" s="112"/>
      <c r="G46" s="2"/>
      <c r="H46" s="2"/>
      <c r="I46" s="28"/>
      <c r="J46" s="28"/>
      <c r="K46" s="28"/>
      <c r="L46" s="28"/>
      <c r="M46" s="28"/>
      <c r="N46" s="28"/>
      <c r="O46" s="28"/>
    </row>
    <row r="47" spans="1:15" ht="12.75" customHeight="1" x14ac:dyDescent="0.35">
      <c r="A47" s="28"/>
      <c r="B47" s="28"/>
      <c r="C47" s="28"/>
      <c r="D47" s="110"/>
      <c r="E47" s="111"/>
      <c r="F47" s="112"/>
      <c r="G47" s="2"/>
      <c r="H47" s="2"/>
      <c r="I47" s="28"/>
      <c r="J47" s="28"/>
      <c r="K47" s="28"/>
      <c r="L47" s="28"/>
      <c r="M47" s="28"/>
      <c r="N47" s="28"/>
      <c r="O47" s="28"/>
    </row>
    <row r="48" spans="1:15" ht="12.75" customHeight="1" x14ac:dyDescent="0.35">
      <c r="A48" s="28"/>
      <c r="B48" s="28"/>
      <c r="C48" s="28"/>
      <c r="D48" s="111" t="s">
        <v>1549</v>
      </c>
      <c r="E48" s="111"/>
      <c r="F48" s="112"/>
      <c r="G48" s="2"/>
      <c r="H48" s="2"/>
      <c r="I48" s="28"/>
      <c r="J48" s="28"/>
      <c r="K48" s="28"/>
      <c r="L48" s="28"/>
      <c r="M48" s="28"/>
      <c r="N48" s="28"/>
      <c r="O48" s="28"/>
    </row>
    <row r="49" spans="1:15" ht="12.75" customHeight="1" x14ac:dyDescent="0.35">
      <c r="A49" s="28"/>
      <c r="B49" s="28"/>
      <c r="C49" s="28"/>
      <c r="D49" s="111" t="s">
        <v>1551</v>
      </c>
      <c r="E49" s="111"/>
      <c r="F49" s="112"/>
      <c r="G49" s="2"/>
      <c r="H49" s="2" t="s">
        <v>1552</v>
      </c>
      <c r="I49" s="28"/>
      <c r="J49" s="28"/>
      <c r="K49" s="28"/>
      <c r="L49" s="28"/>
      <c r="M49" s="28"/>
      <c r="N49" s="28"/>
      <c r="O49" s="28"/>
    </row>
    <row r="50" spans="1:15" ht="12.75" customHeight="1" x14ac:dyDescent="0.35">
      <c r="A50" s="28"/>
      <c r="B50" s="28"/>
      <c r="C50" s="28"/>
      <c r="D50" s="111"/>
      <c r="E50" s="111"/>
      <c r="F50" s="112"/>
      <c r="G50" s="2"/>
      <c r="H50" s="2"/>
      <c r="I50" s="28"/>
      <c r="J50" s="28"/>
      <c r="K50" s="28"/>
      <c r="L50" s="28"/>
      <c r="M50" s="28"/>
      <c r="N50" s="28"/>
      <c r="O50" s="28"/>
    </row>
    <row r="51" spans="1:15" ht="12.75" customHeight="1" x14ac:dyDescent="0.35">
      <c r="A51" s="28"/>
      <c r="B51" s="28"/>
      <c r="C51" s="28"/>
      <c r="D51" s="28" t="s">
        <v>1555</v>
      </c>
      <c r="E51" s="28" t="s">
        <v>1556</v>
      </c>
      <c r="F51" s="28" t="s">
        <v>1185</v>
      </c>
      <c r="G51" s="28"/>
      <c r="H51" s="28"/>
      <c r="I51" s="28"/>
      <c r="J51" s="28"/>
      <c r="K51" s="28"/>
      <c r="L51" s="28"/>
      <c r="M51" s="28"/>
      <c r="N51" s="28"/>
      <c r="O51" s="28"/>
    </row>
    <row r="52" spans="1:15" ht="12.75" customHeight="1" x14ac:dyDescent="0.35">
      <c r="A52" s="28"/>
      <c r="B52" s="28"/>
      <c r="C52" s="28"/>
      <c r="D52" s="28" t="s">
        <v>1558</v>
      </c>
      <c r="E52" s="28"/>
      <c r="F52" s="28"/>
      <c r="G52" s="28"/>
      <c r="H52" s="28"/>
      <c r="I52" s="28"/>
      <c r="J52" s="28"/>
      <c r="K52" s="28"/>
      <c r="L52" s="28"/>
      <c r="M52" s="28"/>
      <c r="N52" s="28"/>
      <c r="O52" s="28"/>
    </row>
    <row r="53" spans="1:15" ht="12.75" customHeight="1" x14ac:dyDescent="0.35">
      <c r="A53" s="28"/>
      <c r="B53" s="28"/>
      <c r="C53" s="28"/>
      <c r="D53" s="28" t="s">
        <v>1560</v>
      </c>
      <c r="E53" s="28"/>
      <c r="F53" s="28"/>
      <c r="G53" s="28"/>
      <c r="H53" s="28"/>
      <c r="I53" s="28"/>
      <c r="J53" s="28"/>
      <c r="K53" s="28"/>
      <c r="L53" s="28"/>
      <c r="M53" s="28"/>
      <c r="N53" s="28"/>
      <c r="O53" s="28"/>
    </row>
    <row r="54" spans="1:15" ht="12.75" customHeight="1" x14ac:dyDescent="0.35">
      <c r="A54" s="28"/>
      <c r="B54" s="28"/>
      <c r="C54" s="28"/>
      <c r="D54" s="28" t="s">
        <v>1562</v>
      </c>
      <c r="E54" s="28"/>
      <c r="F54" s="28"/>
      <c r="G54" s="28"/>
      <c r="H54" s="28"/>
      <c r="I54" s="28"/>
      <c r="J54" s="28"/>
      <c r="K54" s="28"/>
      <c r="L54" s="28"/>
      <c r="M54" s="28"/>
      <c r="N54" s="28"/>
      <c r="O54" s="28"/>
    </row>
    <row r="55" spans="1:15" ht="12.75" customHeight="1" x14ac:dyDescent="0.35">
      <c r="A55" s="28"/>
      <c r="B55" s="28"/>
      <c r="C55" s="28"/>
      <c r="D55" s="28" t="s">
        <v>1555</v>
      </c>
      <c r="E55" s="28"/>
      <c r="F55" s="28"/>
      <c r="G55" s="28"/>
      <c r="H55" s="28"/>
      <c r="I55" s="28"/>
      <c r="J55" s="28"/>
      <c r="K55" s="28"/>
      <c r="L55" s="28"/>
      <c r="M55" s="28"/>
      <c r="N55" s="28"/>
      <c r="O55" s="28"/>
    </row>
    <row r="56" spans="1:15" ht="12.75" customHeight="1" x14ac:dyDescent="0.35">
      <c r="A56" s="28"/>
      <c r="B56" s="28"/>
      <c r="C56" s="28"/>
      <c r="D56" s="28"/>
      <c r="E56" s="28"/>
      <c r="F56" s="28"/>
      <c r="G56" s="28"/>
      <c r="H56" s="28"/>
      <c r="I56" s="28"/>
      <c r="J56" s="28"/>
      <c r="K56" s="28"/>
      <c r="L56" s="28"/>
      <c r="M56" s="28"/>
      <c r="N56" s="28"/>
      <c r="O56" s="28"/>
    </row>
    <row r="57" spans="1:15" ht="12.75" customHeight="1" x14ac:dyDescent="0.35">
      <c r="A57" s="28" t="s">
        <v>1566</v>
      </c>
      <c r="B57" s="28"/>
      <c r="C57" s="28"/>
      <c r="D57" s="28" t="s">
        <v>1567</v>
      </c>
      <c r="E57" s="28"/>
      <c r="F57" s="28"/>
      <c r="G57" s="28"/>
      <c r="H57" s="28"/>
      <c r="I57" s="28"/>
      <c r="J57" s="28"/>
      <c r="K57" s="28"/>
      <c r="L57" s="28"/>
      <c r="M57" s="28"/>
      <c r="N57" s="28"/>
      <c r="O57" s="28"/>
    </row>
    <row r="58" spans="1:15" ht="12.75" customHeight="1" x14ac:dyDescent="0.35">
      <c r="A58" s="28" t="s">
        <v>1569</v>
      </c>
      <c r="B58" s="28"/>
      <c r="C58" s="28"/>
      <c r="D58" s="111" t="s">
        <v>1570</v>
      </c>
      <c r="E58" s="111"/>
      <c r="F58" s="112"/>
      <c r="G58" s="2"/>
      <c r="H58" s="2"/>
      <c r="K58" s="28"/>
      <c r="L58" s="28"/>
      <c r="M58" s="28"/>
      <c r="N58" s="28"/>
      <c r="O58" s="28"/>
    </row>
    <row r="59" spans="1:15" ht="12.75" customHeight="1" x14ac:dyDescent="0.35">
      <c r="A59" s="28"/>
      <c r="B59" s="28"/>
      <c r="C59" s="28"/>
      <c r="D59" s="111"/>
      <c r="E59" s="111"/>
      <c r="F59" s="112"/>
      <c r="G59" s="2"/>
      <c r="H59" s="2"/>
      <c r="I59" s="28"/>
      <c r="J59" s="28"/>
      <c r="K59" s="28"/>
      <c r="L59" s="28"/>
      <c r="M59" s="28"/>
      <c r="N59" s="28"/>
      <c r="O59" s="28"/>
    </row>
    <row r="60" spans="1:15" ht="12.75" customHeight="1" x14ac:dyDescent="0.35">
      <c r="A60" s="28"/>
      <c r="B60" s="28"/>
      <c r="C60" s="28"/>
      <c r="D60" s="6" t="s">
        <v>1573</v>
      </c>
      <c r="E60" s="6"/>
      <c r="F60" s="7"/>
      <c r="G60" s="1"/>
      <c r="H60" s="6" t="s">
        <v>1574</v>
      </c>
      <c r="I60" s="28"/>
      <c r="J60" s="28"/>
      <c r="K60" s="28"/>
      <c r="L60" s="28"/>
      <c r="M60" s="28"/>
      <c r="N60" s="28"/>
      <c r="O60" s="28"/>
    </row>
    <row r="61" spans="1:15" ht="12.75" customHeight="1" x14ac:dyDescent="0.35">
      <c r="A61" s="28"/>
      <c r="B61" s="28"/>
      <c r="C61" s="28"/>
      <c r="D61" s="6"/>
      <c r="E61" s="6"/>
      <c r="F61" s="7"/>
      <c r="G61" s="1"/>
      <c r="H61" s="6"/>
      <c r="I61" s="28"/>
      <c r="J61" s="28"/>
      <c r="K61" s="28"/>
      <c r="L61" s="28"/>
      <c r="M61" s="28"/>
      <c r="N61" s="28"/>
      <c r="O61" s="28"/>
    </row>
    <row r="62" spans="1:15" ht="12.75" customHeight="1" x14ac:dyDescent="0.35">
      <c r="A62" s="28"/>
      <c r="B62" s="28"/>
      <c r="C62" s="28"/>
      <c r="D62" s="6" t="s">
        <v>1016</v>
      </c>
      <c r="E62" s="6"/>
      <c r="F62" s="7"/>
      <c r="G62" s="1"/>
      <c r="H62" s="6"/>
      <c r="I62" s="28"/>
      <c r="J62" s="28"/>
      <c r="K62" s="28"/>
      <c r="L62" s="28"/>
      <c r="M62" s="28"/>
      <c r="N62" s="28"/>
      <c r="O62" s="28"/>
    </row>
    <row r="63" spans="1:15" ht="12.75" customHeight="1" x14ac:dyDescent="0.35">
      <c r="A63" s="28"/>
      <c r="B63" s="28"/>
      <c r="C63" s="28"/>
      <c r="D63" s="6" t="s">
        <v>1578</v>
      </c>
      <c r="E63" s="6"/>
      <c r="F63" s="7"/>
      <c r="G63" s="1"/>
      <c r="H63" s="6"/>
      <c r="I63" s="28"/>
      <c r="J63" s="28"/>
      <c r="K63" s="28"/>
      <c r="L63" s="28"/>
      <c r="M63" s="28"/>
      <c r="N63" s="28"/>
      <c r="O63" s="28"/>
    </row>
    <row r="64" spans="1:15" ht="12.75" customHeight="1" x14ac:dyDescent="0.35">
      <c r="A64" s="28"/>
      <c r="B64" s="28"/>
      <c r="C64" s="28"/>
      <c r="D64" s="6" t="s">
        <v>1580</v>
      </c>
      <c r="E64" s="6"/>
      <c r="F64" s="7"/>
      <c r="G64" s="1"/>
      <c r="H64" s="6"/>
      <c r="I64" s="28"/>
      <c r="J64" s="28"/>
      <c r="K64" s="28"/>
      <c r="L64" s="28"/>
      <c r="M64" s="28"/>
      <c r="N64" s="28"/>
      <c r="O64" s="28"/>
    </row>
    <row r="65" spans="1:15" ht="12.75" customHeight="1" x14ac:dyDescent="0.35">
      <c r="A65" s="28"/>
      <c r="B65" s="28"/>
      <c r="C65" s="28"/>
      <c r="D65" s="1314" t="str">
        <f ca="1">IF(ResultControlValue&lt;0,"Impairment loss","Control value")&amp;" (B - A)"</f>
        <v>Control value (B - A)</v>
      </c>
      <c r="E65" s="6"/>
      <c r="F65" s="7"/>
      <c r="G65" s="1"/>
      <c r="H65" s="6"/>
      <c r="I65" s="28"/>
      <c r="J65" s="28"/>
      <c r="K65" s="28"/>
      <c r="L65" s="28"/>
      <c r="M65" s="28"/>
      <c r="N65" s="28"/>
      <c r="O65" s="28"/>
    </row>
    <row r="66" spans="1:15" ht="12.75" customHeight="1" x14ac:dyDescent="0.35">
      <c r="A66" s="28"/>
      <c r="B66" s="28"/>
      <c r="C66" s="28"/>
      <c r="D66" s="6"/>
      <c r="E66" s="6"/>
      <c r="F66" s="7"/>
      <c r="G66" s="1"/>
      <c r="H66" s="6"/>
      <c r="I66" s="28"/>
      <c r="J66" s="28"/>
      <c r="K66" s="28"/>
      <c r="L66" s="28"/>
      <c r="M66" s="28"/>
      <c r="N66" s="28"/>
      <c r="O66" s="28"/>
    </row>
    <row r="67" spans="1:15" ht="12.75" customHeight="1" x14ac:dyDescent="0.35">
      <c r="A67" s="28"/>
      <c r="B67" s="28"/>
      <c r="C67" s="28"/>
      <c r="D67" s="28" t="s">
        <v>1584</v>
      </c>
      <c r="E67" s="28"/>
      <c r="F67" s="28"/>
      <c r="G67" s="28"/>
      <c r="H67" s="28"/>
      <c r="I67" s="28"/>
      <c r="J67" s="28"/>
      <c r="K67" s="28"/>
      <c r="L67" s="28"/>
      <c r="M67" s="28"/>
      <c r="N67" s="28"/>
      <c r="O67" s="28"/>
    </row>
    <row r="68" spans="1:15" ht="12.75" customHeight="1" x14ac:dyDescent="0.35">
      <c r="A68" s="28"/>
      <c r="B68" s="28"/>
      <c r="C68" s="28"/>
      <c r="D68" s="28" t="s">
        <v>1586</v>
      </c>
      <c r="E68" s="28"/>
      <c r="F68" s="28"/>
      <c r="G68" s="28"/>
      <c r="H68" s="28"/>
      <c r="I68" s="28"/>
      <c r="J68" s="28"/>
      <c r="K68" s="28"/>
      <c r="L68" s="28"/>
      <c r="M68" s="28"/>
      <c r="N68" s="28"/>
      <c r="O68" s="28"/>
    </row>
    <row r="69" spans="1:15" ht="12.75" customHeight="1" x14ac:dyDescent="0.35">
      <c r="A69" s="28"/>
      <c r="B69" s="28"/>
      <c r="C69" s="28"/>
      <c r="D69" s="114" t="s">
        <v>1588</v>
      </c>
      <c r="E69" s="28"/>
      <c r="F69" s="28"/>
      <c r="G69" s="28"/>
      <c r="H69" s="28"/>
      <c r="I69" s="28"/>
      <c r="J69" s="28"/>
      <c r="K69" s="28"/>
      <c r="L69" s="28"/>
      <c r="M69" s="28"/>
      <c r="N69" s="28"/>
      <c r="O69" s="28"/>
    </row>
    <row r="70" spans="1:15" ht="12.75" customHeight="1" x14ac:dyDescent="0.35">
      <c r="A70" s="28"/>
      <c r="B70" s="28"/>
      <c r="C70" s="28"/>
      <c r="D70" s="28" t="s">
        <v>1590</v>
      </c>
      <c r="E70" s="28"/>
      <c r="F70" s="28"/>
      <c r="G70" s="28"/>
      <c r="H70" s="28"/>
      <c r="I70" s="28"/>
      <c r="J70" s="28"/>
      <c r="K70" s="28"/>
      <c r="L70" s="28"/>
      <c r="M70" s="28"/>
      <c r="N70" s="28"/>
      <c r="O70" s="28"/>
    </row>
    <row r="71" spans="1:15" ht="12.75" customHeight="1" x14ac:dyDescent="0.35">
      <c r="A71" s="28"/>
      <c r="B71" s="28"/>
      <c r="C71" s="28"/>
      <c r="D71" s="28"/>
      <c r="E71" s="28"/>
      <c r="F71" s="28"/>
      <c r="G71" s="28"/>
      <c r="H71" s="28"/>
      <c r="I71" s="28"/>
      <c r="J71" s="28"/>
      <c r="K71" s="28"/>
      <c r="L71" s="28"/>
      <c r="M71" s="28"/>
      <c r="N71" s="28"/>
      <c r="O71" s="28"/>
    </row>
    <row r="72" spans="1:15" ht="12.75" customHeight="1" x14ac:dyDescent="0.35">
      <c r="A72" s="28"/>
      <c r="B72" s="28"/>
      <c r="C72" s="28"/>
      <c r="D72" s="28" t="s">
        <v>1593</v>
      </c>
      <c r="E72" s="28"/>
      <c r="F72" s="28"/>
      <c r="G72" s="28"/>
      <c r="H72" s="28" t="s">
        <v>1594</v>
      </c>
      <c r="I72" s="28"/>
      <c r="J72" s="28"/>
      <c r="K72" s="28"/>
      <c r="L72" s="28"/>
      <c r="M72" s="28"/>
      <c r="N72" s="28"/>
      <c r="O72" s="28"/>
    </row>
    <row r="73" spans="1:15" ht="12.75" customHeight="1" x14ac:dyDescent="0.35">
      <c r="A73" s="28"/>
      <c r="B73" s="28"/>
      <c r="C73" s="28"/>
      <c r="D73" s="1312" t="str">
        <f ca="1">"Cumulative discounted free cash flow "&amp;IF(ISERROR($I$131),"",OFFSET(Calculations!$G$11,0,CalcPointPB))&amp;"-&gt;"&amp;IF(ISERROR(D77),F77,D77)</f>
        <v>Cumulative discounted free cash flow 9/2019-&gt;</v>
      </c>
      <c r="E73" s="28"/>
      <c r="F73" s="28"/>
      <c r="G73" s="28"/>
      <c r="H73" s="28"/>
      <c r="I73" s="28"/>
      <c r="J73" s="28"/>
      <c r="K73" s="28"/>
      <c r="L73" s="28"/>
      <c r="M73" s="28"/>
      <c r="N73" s="28"/>
      <c r="O73" s="28"/>
    </row>
    <row r="74" spans="1:15" ht="12.75" customHeight="1" x14ac:dyDescent="0.35">
      <c r="A74" s="28"/>
      <c r="B74" s="28"/>
      <c r="C74" s="28"/>
      <c r="D74" s="1312" t="str">
        <f ca="1">"Cumulative discounted free cash flow "&amp;IF(ISERROR($I$131),"",OFFSET(Calculations!$G$11,0,CalcPointPB))&amp;"-&gt;"&amp;IF(ISERROR(E77),F77,IF(E77=D77,F77,E77))</f>
        <v>Cumulative discounted free cash flow 9/2019-&gt;</v>
      </c>
      <c r="E74" s="28"/>
      <c r="F74" s="28"/>
      <c r="G74" s="28"/>
      <c r="H74" s="28"/>
      <c r="I74" s="28"/>
      <c r="J74" s="28"/>
      <c r="K74" s="28"/>
      <c r="L74" s="28"/>
      <c r="M74" s="28"/>
      <c r="N74" s="28"/>
      <c r="O74" s="28"/>
    </row>
    <row r="75" spans="1:15" ht="12.75" customHeight="1" x14ac:dyDescent="0.35">
      <c r="A75" s="28"/>
      <c r="B75" s="28"/>
      <c r="C75" s="28"/>
      <c r="D75" s="28" t="s">
        <v>1598</v>
      </c>
      <c r="E75" s="28"/>
      <c r="F75" s="28"/>
      <c r="G75" s="28"/>
      <c r="H75" s="28"/>
      <c r="I75" s="28"/>
      <c r="J75" s="28"/>
      <c r="K75" s="28"/>
      <c r="L75" s="28"/>
      <c r="M75" s="28"/>
      <c r="N75" s="28"/>
      <c r="O75" s="28"/>
    </row>
    <row r="76" spans="1:15" ht="12.75" customHeight="1" x14ac:dyDescent="0.35">
      <c r="A76" s="28"/>
      <c r="B76" s="28"/>
      <c r="C76" s="28"/>
      <c r="D76" s="28" t="s">
        <v>1600</v>
      </c>
      <c r="E76" s="28"/>
      <c r="F76" s="28"/>
      <c r="G76" s="28"/>
      <c r="H76" s="28" t="s">
        <v>1601</v>
      </c>
      <c r="I76" s="28"/>
      <c r="J76" s="28"/>
      <c r="K76" s="28"/>
      <c r="L76" s="28"/>
      <c r="M76" s="28"/>
      <c r="N76" s="28"/>
      <c r="O76" s="28"/>
    </row>
    <row r="77" spans="1:15" ht="12.75" customHeight="1" x14ac:dyDescent="0.35">
      <c r="A77" s="28"/>
      <c r="B77" s="28"/>
      <c r="C77" s="28"/>
      <c r="D77" s="28"/>
      <c r="E77" s="28"/>
      <c r="F77" s="28"/>
      <c r="G77" s="28"/>
      <c r="H77" s="28"/>
      <c r="I77" s="28"/>
      <c r="J77" s="28"/>
      <c r="K77" s="28"/>
      <c r="L77" s="28"/>
      <c r="M77" s="28"/>
      <c r="N77" s="28"/>
      <c r="O77" s="28"/>
    </row>
    <row r="78" spans="1:15" ht="12.75" customHeight="1" x14ac:dyDescent="0.35">
      <c r="A78" s="28"/>
      <c r="B78" s="28"/>
      <c r="C78" s="28"/>
      <c r="D78" s="28" t="s">
        <v>641</v>
      </c>
      <c r="E78" s="28"/>
      <c r="F78" s="28"/>
      <c r="G78" s="28"/>
      <c r="H78" s="1312" t="str">
        <f>"Average "&amp;IF(NOT(ISERROR($N78)),$N78&amp;" years","-")</f>
        <v>Average  years</v>
      </c>
      <c r="I78" s="28"/>
      <c r="J78" s="28"/>
      <c r="K78" s="28"/>
      <c r="L78" s="28"/>
      <c r="M78" s="28"/>
      <c r="N78" s="28"/>
      <c r="O78" s="28"/>
    </row>
    <row r="79" spans="1:15" ht="12.75" customHeight="1" x14ac:dyDescent="0.35">
      <c r="A79" s="28"/>
      <c r="B79" s="28"/>
      <c r="C79" s="28"/>
      <c r="D79" s="28" t="s">
        <v>643</v>
      </c>
      <c r="E79" s="28"/>
      <c r="F79" s="28"/>
      <c r="G79" s="28"/>
      <c r="H79" s="1312" t="str">
        <f>"Average "&amp;IF(NOT(ISERROR($N79)),$N79&amp;" years","-")</f>
        <v>Average  years</v>
      </c>
      <c r="I79" s="28"/>
      <c r="J79" s="28"/>
      <c r="K79" s="28"/>
      <c r="L79" s="28"/>
      <c r="M79" s="28"/>
      <c r="N79" s="28"/>
      <c r="O79" s="28"/>
    </row>
    <row r="80" spans="1:15" ht="12.75" customHeight="1" x14ac:dyDescent="0.35">
      <c r="A80" s="28"/>
      <c r="B80" s="28"/>
      <c r="C80" s="28"/>
      <c r="D80" s="28"/>
      <c r="E80" s="28"/>
      <c r="F80" s="28"/>
      <c r="G80" s="28"/>
      <c r="H80" s="28"/>
      <c r="I80" s="28"/>
      <c r="J80" s="28"/>
      <c r="K80" s="28"/>
      <c r="L80" s="28"/>
      <c r="M80" s="28"/>
      <c r="N80" s="28"/>
      <c r="O80" s="28"/>
    </row>
    <row r="81" spans="1:15" ht="12.75" customHeight="1" x14ac:dyDescent="0.35">
      <c r="A81" s="28"/>
      <c r="B81" s="28"/>
      <c r="C81" s="28"/>
      <c r="D81" s="111" t="s">
        <v>645</v>
      </c>
      <c r="E81" s="111"/>
      <c r="F81" s="112"/>
      <c r="G81" s="2"/>
      <c r="H81" s="2"/>
      <c r="I81" s="28"/>
      <c r="J81" s="28"/>
      <c r="K81" s="28"/>
      <c r="L81" s="28"/>
      <c r="M81" s="28"/>
      <c r="N81" s="28"/>
      <c r="O81" s="28"/>
    </row>
    <row r="82" spans="1:15" ht="12.75" customHeight="1" x14ac:dyDescent="0.35">
      <c r="A82" s="28"/>
      <c r="B82" s="28"/>
      <c r="C82" s="28"/>
      <c r="D82" s="111"/>
      <c r="E82" s="111"/>
      <c r="F82" s="112"/>
      <c r="G82" s="2"/>
      <c r="H82" s="2"/>
      <c r="I82" s="28"/>
      <c r="J82" s="28"/>
      <c r="K82" s="28"/>
      <c r="L82" s="28"/>
      <c r="M82" s="28"/>
      <c r="N82" s="28"/>
      <c r="O82" s="28"/>
    </row>
    <row r="83" spans="1:15" ht="12.75" customHeight="1" x14ac:dyDescent="0.35">
      <c r="A83" s="28"/>
      <c r="B83" s="28"/>
      <c r="C83" s="28"/>
      <c r="D83" s="111" t="s">
        <v>1609</v>
      </c>
      <c r="E83" s="111"/>
      <c r="F83" s="112"/>
      <c r="G83" s="2"/>
      <c r="H83" s="2"/>
      <c r="I83" s="28"/>
      <c r="J83" s="28"/>
      <c r="K83" s="28"/>
      <c r="L83" s="28"/>
      <c r="M83" s="28"/>
      <c r="N83" s="28"/>
      <c r="O83" s="28"/>
    </row>
    <row r="84" spans="1:15" ht="12.75" customHeight="1" x14ac:dyDescent="0.35">
      <c r="A84" s="28"/>
      <c r="B84" s="28"/>
      <c r="C84" s="28"/>
      <c r="D84" s="111" t="s">
        <v>1611</v>
      </c>
      <c r="E84" s="111"/>
      <c r="F84" s="112"/>
      <c r="G84" s="2"/>
      <c r="H84" s="2"/>
      <c r="I84" s="28"/>
      <c r="J84" s="28"/>
      <c r="K84" s="28"/>
      <c r="L84" s="28"/>
      <c r="M84" s="28"/>
      <c r="N84" s="28"/>
      <c r="O84" s="28"/>
    </row>
    <row r="85" spans="1:15" ht="12.75" customHeight="1" x14ac:dyDescent="0.35">
      <c r="A85" s="28"/>
      <c r="B85" s="28"/>
      <c r="C85" s="28"/>
      <c r="D85" s="111"/>
      <c r="E85" s="111"/>
      <c r="F85" s="112"/>
      <c r="G85" s="2"/>
      <c r="H85" s="2"/>
      <c r="I85" s="28"/>
      <c r="J85" s="28"/>
      <c r="K85" s="28"/>
      <c r="L85" s="28"/>
      <c r="M85" s="28"/>
      <c r="N85" s="28"/>
      <c r="O85" s="28"/>
    </row>
    <row r="86" spans="1:15" ht="12.75" customHeight="1" x14ac:dyDescent="0.35">
      <c r="A86" s="28"/>
      <c r="B86" s="28"/>
      <c r="C86" s="28"/>
      <c r="D86" s="111" t="s">
        <v>1614</v>
      </c>
      <c r="E86" s="111"/>
      <c r="F86" s="112"/>
      <c r="G86" s="2"/>
      <c r="H86" s="2"/>
      <c r="I86" s="28"/>
      <c r="J86" s="28"/>
      <c r="K86" s="28"/>
      <c r="L86" s="28"/>
      <c r="M86" s="28"/>
      <c r="N86" s="28"/>
      <c r="O86" s="28"/>
    </row>
    <row r="87" spans="1:15" ht="12.75" customHeight="1" x14ac:dyDescent="0.35">
      <c r="A87" s="28"/>
      <c r="B87" s="28"/>
      <c r="C87" s="28"/>
      <c r="D87" s="1315" t="str">
        <f ca="1">"Cumulative discounted value added "&amp;IF(ISERROR($I$132),"",OFFSET(Calculations!$G$11,0,CalcPointPB))&amp;"-&gt;"&amp;IF(ISERROR($D$90),$F$90,$D$90)</f>
        <v>Cumulative discounted value added 9/2019-&gt;</v>
      </c>
      <c r="E87" s="111"/>
      <c r="F87" s="112"/>
      <c r="G87" s="2"/>
      <c r="H87" s="2"/>
      <c r="I87" s="28"/>
      <c r="J87" s="28"/>
      <c r="K87" s="28"/>
      <c r="L87" s="28"/>
      <c r="M87" s="28"/>
      <c r="N87" s="28"/>
      <c r="O87" s="28"/>
    </row>
    <row r="88" spans="1:15" ht="12.75" customHeight="1" x14ac:dyDescent="0.35">
      <c r="A88" s="28"/>
      <c r="B88" s="28"/>
      <c r="C88" s="28"/>
      <c r="D88" s="1315" t="str">
        <f ca="1">"Cumulative discounted value added "&amp;IF(ISERROR($I$132),"",OFFSET(Calculations!$G$11,0,CalcPointPB))&amp;"-&gt;"&amp;IF(ISERROR($E$90),$F$90,IF($E$90=$D$90,$F$90,$E$90))</f>
        <v>Cumulative discounted value added 9/2019-&gt;</v>
      </c>
      <c r="E88" s="111"/>
      <c r="F88" s="112"/>
      <c r="G88" s="2"/>
      <c r="H88" s="2"/>
      <c r="I88" s="28"/>
      <c r="J88" s="28"/>
      <c r="K88" s="28"/>
      <c r="L88" s="28"/>
      <c r="M88" s="28"/>
      <c r="N88" s="28"/>
      <c r="O88" s="28"/>
    </row>
    <row r="89" spans="1:15" ht="12.75" customHeight="1" x14ac:dyDescent="0.35">
      <c r="A89" s="28"/>
      <c r="B89" s="28"/>
      <c r="C89" s="28"/>
      <c r="D89" s="111" t="s">
        <v>1598</v>
      </c>
      <c r="E89" s="111"/>
      <c r="F89" s="112"/>
      <c r="G89" s="2"/>
      <c r="H89" s="2"/>
      <c r="I89" s="28"/>
      <c r="J89" s="28"/>
      <c r="K89" s="28"/>
      <c r="L89" s="28"/>
      <c r="M89" s="28"/>
      <c r="N89" s="28"/>
      <c r="O89" s="28"/>
    </row>
    <row r="90" spans="1:15" ht="12.75" customHeight="1" x14ac:dyDescent="0.35">
      <c r="A90" s="28"/>
      <c r="B90" s="28"/>
      <c r="C90" s="28"/>
      <c r="D90" s="111"/>
      <c r="E90" s="111"/>
      <c r="F90" s="112"/>
      <c r="G90" s="2"/>
      <c r="H90" s="2"/>
      <c r="I90" s="28"/>
      <c r="J90" s="28"/>
      <c r="K90" s="28"/>
      <c r="L90" s="28"/>
      <c r="M90" s="28"/>
      <c r="N90" s="28"/>
      <c r="O90" s="28"/>
    </row>
    <row r="91" spans="1:15" ht="12.75" customHeight="1" x14ac:dyDescent="0.35">
      <c r="A91" s="28"/>
      <c r="B91" s="28"/>
      <c r="C91" s="28"/>
      <c r="D91" s="28" t="s">
        <v>1620</v>
      </c>
      <c r="E91" s="28"/>
      <c r="F91" s="28"/>
      <c r="G91" s="28"/>
      <c r="H91" s="28"/>
      <c r="I91" s="28"/>
      <c r="J91" s="28"/>
      <c r="K91" s="28"/>
      <c r="L91" s="28"/>
      <c r="M91" s="28"/>
      <c r="N91" s="28"/>
      <c r="O91" s="28"/>
    </row>
    <row r="92" spans="1:15" ht="12.75" customHeight="1" x14ac:dyDescent="0.35">
      <c r="A92" s="28"/>
      <c r="B92" s="28"/>
      <c r="C92" s="28"/>
      <c r="D92" s="28"/>
      <c r="E92" s="28"/>
      <c r="F92" s="28"/>
      <c r="G92" s="28"/>
      <c r="H92" s="28"/>
      <c r="I92" s="28"/>
      <c r="J92" s="28"/>
      <c r="K92" s="28"/>
      <c r="L92" s="28"/>
      <c r="M92" s="28"/>
      <c r="N92" s="28"/>
      <c r="O92" s="28"/>
    </row>
    <row r="93" spans="1:15" ht="12.75" customHeight="1" x14ac:dyDescent="0.35">
      <c r="A93" s="28"/>
      <c r="B93" s="28"/>
      <c r="C93" s="28"/>
      <c r="D93" s="28" t="s">
        <v>1623</v>
      </c>
      <c r="E93" s="28"/>
      <c r="F93" s="28"/>
      <c r="G93" s="28"/>
      <c r="H93" s="28"/>
      <c r="I93" s="28"/>
      <c r="J93" s="28"/>
      <c r="K93" s="28"/>
      <c r="L93" s="28"/>
      <c r="M93" s="28"/>
      <c r="N93" s="28"/>
      <c r="O93" s="28"/>
    </row>
    <row r="94" spans="1:15" ht="12.75" customHeight="1" x14ac:dyDescent="0.35">
      <c r="A94" s="28"/>
      <c r="B94" s="28"/>
      <c r="C94" s="28"/>
      <c r="D94" s="28"/>
      <c r="E94" s="28"/>
      <c r="F94" s="28"/>
      <c r="G94" s="28"/>
      <c r="H94" s="28"/>
      <c r="I94" s="28"/>
      <c r="J94" s="28"/>
      <c r="K94" s="28"/>
      <c r="L94" s="28"/>
      <c r="M94" s="28"/>
      <c r="N94" s="28"/>
      <c r="O94" s="28"/>
    </row>
    <row r="95" spans="1:15" ht="12.75" customHeight="1" x14ac:dyDescent="0.35">
      <c r="A95" s="28"/>
      <c r="B95" s="28"/>
      <c r="C95" s="28"/>
      <c r="D95" s="28" t="s">
        <v>1626</v>
      </c>
      <c r="E95" s="28"/>
      <c r="F95" s="28"/>
      <c r="G95" s="28"/>
      <c r="H95" s="28"/>
      <c r="I95" s="28"/>
      <c r="J95" s="28"/>
      <c r="K95" s="28"/>
      <c r="L95" s="28"/>
      <c r="M95" s="28"/>
      <c r="N95" s="28"/>
      <c r="O95" s="28"/>
    </row>
    <row r="96" spans="1:15" ht="12.75" customHeight="1" x14ac:dyDescent="0.35">
      <c r="A96" s="28"/>
      <c r="B96" s="28"/>
      <c r="C96" s="28"/>
      <c r="D96" s="28" t="s">
        <v>1628</v>
      </c>
      <c r="E96" s="28"/>
      <c r="F96" s="28"/>
      <c r="G96" s="28"/>
      <c r="H96" s="28"/>
      <c r="I96" s="28"/>
      <c r="J96" s="28"/>
      <c r="K96" s="28"/>
      <c r="L96" s="28"/>
      <c r="M96" s="28"/>
      <c r="N96" s="28"/>
      <c r="O96" s="28"/>
    </row>
    <row r="97" spans="1:15" ht="12.75" customHeight="1" x14ac:dyDescent="0.35">
      <c r="A97" s="28"/>
      <c r="B97" s="28"/>
      <c r="C97" s="28"/>
      <c r="D97" s="28"/>
      <c r="E97" s="28"/>
      <c r="F97" s="28"/>
      <c r="G97" s="28"/>
      <c r="H97" s="28"/>
      <c r="I97" s="28"/>
      <c r="J97" s="28"/>
      <c r="K97" s="28"/>
      <c r="L97" s="28"/>
      <c r="M97" s="28"/>
      <c r="N97" s="28"/>
      <c r="O97" s="28"/>
    </row>
    <row r="98" spans="1:15" ht="12.75" customHeight="1" x14ac:dyDescent="0.35">
      <c r="A98" s="28"/>
      <c r="B98" s="28"/>
      <c r="C98" s="28"/>
      <c r="D98" s="1312" t="str">
        <f>IF(PerpetuityLimitationEquity=1,"Perpetuity","Extrapolation")&amp;" is based on"</f>
        <v>Perpetuity is based on</v>
      </c>
      <c r="E98" s="28"/>
      <c r="F98" s="28"/>
      <c r="G98" s="28"/>
      <c r="H98" s="28"/>
      <c r="I98" s="28"/>
      <c r="J98" s="28"/>
      <c r="K98" s="28"/>
      <c r="L98" s="28"/>
      <c r="M98" s="28"/>
      <c r="N98" s="28"/>
      <c r="O98" s="28"/>
    </row>
    <row r="99" spans="1:15" ht="12.75" customHeight="1" x14ac:dyDescent="0.35">
      <c r="A99" s="28"/>
      <c r="B99" s="28"/>
      <c r="C99" s="28"/>
      <c r="D99" s="28"/>
      <c r="E99" s="28"/>
      <c r="F99" s="28"/>
      <c r="G99" s="28"/>
      <c r="H99" s="28"/>
      <c r="I99" s="28"/>
      <c r="J99" s="28"/>
      <c r="K99" s="28"/>
      <c r="L99" s="28"/>
      <c r="M99" s="28"/>
      <c r="N99" s="28"/>
      <c r="O99" s="28"/>
    </row>
    <row r="100" spans="1:15" ht="12.75" customHeight="1" x14ac:dyDescent="0.35">
      <c r="A100" s="28"/>
      <c r="B100" s="28"/>
      <c r="C100" s="28"/>
      <c r="D100" s="28" t="s">
        <v>1512</v>
      </c>
      <c r="E100" s="28"/>
      <c r="F100" s="28"/>
      <c r="G100" s="28"/>
      <c r="H100" s="97" t="s">
        <v>1513</v>
      </c>
      <c r="I100" s="28"/>
      <c r="J100" s="28"/>
      <c r="K100" s="28"/>
      <c r="L100" s="28"/>
      <c r="M100" s="28"/>
      <c r="N100" s="28"/>
      <c r="O100" s="28"/>
    </row>
    <row r="101" spans="1:15" ht="12.75" customHeight="1" x14ac:dyDescent="0.35">
      <c r="A101" s="28"/>
      <c r="B101" s="28"/>
      <c r="C101" s="28"/>
      <c r="D101" s="28"/>
      <c r="E101" s="28"/>
      <c r="F101" s="28"/>
      <c r="G101" s="28"/>
      <c r="H101" s="28"/>
      <c r="I101" s="28"/>
      <c r="J101" s="28"/>
      <c r="K101" s="28"/>
      <c r="L101" s="28"/>
      <c r="M101" s="28"/>
      <c r="N101" s="28"/>
      <c r="O101" s="28"/>
    </row>
    <row r="102" spans="1:15" ht="12.75" customHeight="1" x14ac:dyDescent="0.35">
      <c r="A102" s="28"/>
      <c r="B102" s="28"/>
      <c r="C102" s="28"/>
      <c r="D102" s="1312" t="str">
        <f>"      Enter annual value "&amp;IF(TRIM($J$5)&lt;&gt;"","("&amp;$J$5&amp;")","")</f>
        <v xml:space="preserve">      Enter annual value </v>
      </c>
      <c r="E102" s="28"/>
      <c r="F102" s="28"/>
      <c r="G102" s="28"/>
      <c r="H102" s="1312" t="str">
        <f ca="1">"Base value "&amp;Calculations!$N$627&amp;""</f>
        <v>Base value (12/2024)</v>
      </c>
      <c r="I102" s="28"/>
      <c r="J102" s="28"/>
      <c r="K102" s="28"/>
      <c r="L102" s="28"/>
      <c r="M102" s="28"/>
      <c r="N102" s="28"/>
      <c r="O102" s="28"/>
    </row>
    <row r="103" spans="1:15" ht="12.75" customHeight="1" x14ac:dyDescent="0.35">
      <c r="A103" s="28"/>
      <c r="B103" s="28"/>
      <c r="C103" s="28"/>
      <c r="D103" s="28"/>
      <c r="E103" s="28"/>
      <c r="F103" s="28"/>
      <c r="G103" s="28"/>
      <c r="H103" s="28"/>
      <c r="I103" s="28"/>
      <c r="J103" s="28"/>
      <c r="K103" s="28"/>
      <c r="L103" s="28"/>
      <c r="M103" s="28"/>
      <c r="N103" s="28"/>
      <c r="O103" s="28"/>
    </row>
    <row r="104" spans="1:15" ht="12.75" customHeight="1" x14ac:dyDescent="0.35">
      <c r="A104" s="28"/>
      <c r="B104" s="28"/>
      <c r="C104" s="28"/>
      <c r="D104" s="1312" t="str">
        <f>"Type of "&amp;IF(PerpetuityLimitationEquity=1,"perpetuity","extrapolation")</f>
        <v>Type of perpetuity</v>
      </c>
      <c r="E104" s="28"/>
      <c r="F104" s="28"/>
      <c r="G104" s="28"/>
      <c r="H104" s="28" t="s">
        <v>1518</v>
      </c>
      <c r="I104" s="28"/>
      <c r="J104" s="28"/>
      <c r="K104" s="28"/>
      <c r="L104" s="28"/>
      <c r="M104" s="28"/>
      <c r="N104" s="28"/>
      <c r="O104" s="28"/>
    </row>
    <row r="105" spans="1:15" ht="12.75" customHeight="1" x14ac:dyDescent="0.35">
      <c r="A105" s="28"/>
      <c r="B105" s="28"/>
      <c r="C105" s="28"/>
      <c r="D105" s="28"/>
      <c r="E105" s="28"/>
      <c r="F105" s="28"/>
      <c r="G105" s="28"/>
      <c r="H105" s="28"/>
      <c r="I105" s="28"/>
      <c r="J105" s="28"/>
      <c r="K105" s="28"/>
      <c r="L105" s="28"/>
      <c r="M105" s="28"/>
      <c r="N105" s="28"/>
      <c r="O105" s="28"/>
    </row>
    <row r="106" spans="1:15" ht="12.75" customHeight="1" x14ac:dyDescent="0.35">
      <c r="A106" s="28"/>
      <c r="B106" s="28"/>
      <c r="C106" s="28"/>
      <c r="D106" s="28" t="s">
        <v>1521</v>
      </c>
      <c r="E106" s="28"/>
      <c r="F106" s="28"/>
      <c r="G106" s="28"/>
      <c r="H106" s="1312" t="str">
        <f ca="1">"Value "&amp;Calculations!$N$627&amp;""</f>
        <v>Value (12/2024)</v>
      </c>
      <c r="I106" s="28"/>
      <c r="J106" s="28"/>
      <c r="K106" s="28"/>
      <c r="L106" s="28"/>
      <c r="M106" s="28"/>
      <c r="N106" s="28"/>
      <c r="O106" s="28"/>
    </row>
    <row r="107" spans="1:15" ht="12.75" customHeight="1" x14ac:dyDescent="0.35">
      <c r="A107" s="28"/>
      <c r="B107" s="28"/>
      <c r="C107" s="28"/>
      <c r="D107" s="28"/>
      <c r="E107" s="28"/>
      <c r="F107" s="28"/>
      <c r="G107" s="28"/>
      <c r="H107" s="28"/>
      <c r="I107" s="28"/>
      <c r="J107" s="28"/>
      <c r="K107" s="28"/>
      <c r="L107" s="28"/>
      <c r="M107" s="28"/>
      <c r="N107" s="28"/>
      <c r="O107" s="28"/>
    </row>
    <row r="108" spans="1:15" ht="12.75" customHeight="1" x14ac:dyDescent="0.35">
      <c r="A108" s="28"/>
      <c r="B108" s="28"/>
      <c r="C108" s="28"/>
      <c r="D108" s="28" t="s">
        <v>1524</v>
      </c>
      <c r="E108" s="28"/>
      <c r="F108" s="28"/>
      <c r="G108" s="28"/>
      <c r="H108" s="1312" t="str">
        <f>"Present value ("&amp;$F$11&amp;")"</f>
        <v>Present value ()</v>
      </c>
      <c r="I108" s="28"/>
      <c r="J108" s="28"/>
      <c r="K108" s="28"/>
      <c r="L108" s="28"/>
      <c r="M108" s="28"/>
      <c r="N108" s="28"/>
      <c r="O108" s="28"/>
    </row>
    <row r="109" spans="1:15" ht="12.75" customHeight="1" x14ac:dyDescent="0.35">
      <c r="A109" s="28"/>
      <c r="B109" s="28"/>
      <c r="C109" s="28"/>
      <c r="D109" s="28"/>
      <c r="E109" s="28"/>
      <c r="F109" s="28"/>
      <c r="G109" s="28"/>
      <c r="H109" s="28"/>
      <c r="I109" s="28"/>
      <c r="J109" s="28"/>
      <c r="K109" s="28"/>
      <c r="L109" s="28"/>
      <c r="M109" s="28"/>
      <c r="N109" s="28"/>
      <c r="O109" s="28"/>
    </row>
    <row r="110" spans="1:15" ht="12.75" customHeight="1" x14ac:dyDescent="0.35">
      <c r="A110" s="28"/>
      <c r="B110" s="28"/>
      <c r="C110" s="28"/>
      <c r="D110" s="28" t="s">
        <v>1643</v>
      </c>
      <c r="E110" s="28"/>
      <c r="F110" s="28"/>
      <c r="G110" s="28"/>
      <c r="H110" s="28"/>
      <c r="I110" s="28"/>
      <c r="J110" s="28"/>
      <c r="K110" s="28"/>
      <c r="L110" s="28"/>
      <c r="M110" s="28"/>
      <c r="N110" s="28"/>
      <c r="O110" s="28"/>
    </row>
    <row r="111" spans="1:15" ht="12.75" customHeight="1" x14ac:dyDescent="0.35">
      <c r="A111" s="28"/>
      <c r="B111" s="28"/>
      <c r="C111" s="28"/>
      <c r="D111" s="28" t="s">
        <v>1645</v>
      </c>
      <c r="E111" s="28"/>
      <c r="F111" s="28"/>
      <c r="G111" s="28"/>
      <c r="H111" s="28"/>
      <c r="I111" s="28"/>
      <c r="J111" s="28"/>
      <c r="K111" s="28"/>
      <c r="L111" s="28"/>
      <c r="M111" s="28"/>
      <c r="N111" s="28"/>
      <c r="O111" s="28"/>
    </row>
    <row r="112" spans="1:15" ht="12.75" customHeight="1" x14ac:dyDescent="0.35">
      <c r="A112" s="28"/>
      <c r="B112" s="28"/>
      <c r="C112" s="28"/>
      <c r="D112" s="28" t="s">
        <v>1647</v>
      </c>
      <c r="E112" s="28"/>
      <c r="F112" s="28"/>
      <c r="G112" s="28"/>
      <c r="H112" s="28"/>
      <c r="I112" s="28"/>
      <c r="J112" s="28"/>
      <c r="K112" s="28"/>
      <c r="L112" s="28"/>
      <c r="M112" s="28"/>
      <c r="N112" s="28"/>
      <c r="O112" s="28"/>
    </row>
    <row r="113" spans="1:15" ht="12.75" customHeight="1" x14ac:dyDescent="0.35">
      <c r="A113" s="28"/>
      <c r="B113" s="28"/>
      <c r="C113" s="28"/>
      <c r="D113" s="28"/>
      <c r="E113" s="28"/>
      <c r="F113" s="28"/>
      <c r="G113" s="28"/>
      <c r="H113" s="28"/>
      <c r="I113" s="28"/>
      <c r="J113" s="28"/>
      <c r="K113" s="28"/>
      <c r="L113" s="28"/>
      <c r="M113" s="28"/>
      <c r="N113" s="28"/>
      <c r="O113" s="28"/>
    </row>
    <row r="114" spans="1:15" ht="12.75" customHeight="1" x14ac:dyDescent="0.35">
      <c r="A114" s="28"/>
      <c r="B114" s="28"/>
      <c r="C114" s="28"/>
      <c r="D114" s="28" t="s">
        <v>1650</v>
      </c>
      <c r="E114" s="28"/>
      <c r="F114" s="28"/>
      <c r="G114" s="28"/>
      <c r="H114" s="28"/>
      <c r="I114" s="28"/>
      <c r="J114" s="28"/>
      <c r="K114" s="28"/>
      <c r="L114" s="28"/>
      <c r="M114" s="28"/>
      <c r="N114" s="28"/>
      <c r="O114" s="28"/>
    </row>
    <row r="115" spans="1:15" ht="12.75" customHeight="1" x14ac:dyDescent="0.35">
      <c r="A115" s="28"/>
      <c r="B115" s="28"/>
      <c r="C115" s="28"/>
      <c r="D115" s="28" t="s">
        <v>1652</v>
      </c>
      <c r="E115" s="28"/>
      <c r="F115" s="28"/>
      <c r="G115" s="28"/>
      <c r="H115" s="28"/>
      <c r="I115" s="28"/>
      <c r="J115" s="28"/>
      <c r="K115" s="28"/>
      <c r="L115" s="28"/>
      <c r="M115" s="28"/>
      <c r="N115" s="28"/>
      <c r="O115" s="28"/>
    </row>
    <row r="116" spans="1:15" ht="12.75" customHeight="1" x14ac:dyDescent="0.35">
      <c r="A116" s="28"/>
      <c r="B116" s="28"/>
      <c r="C116" s="28"/>
      <c r="D116" s="28" t="s">
        <v>1654</v>
      </c>
      <c r="E116" s="28"/>
      <c r="F116" s="28"/>
      <c r="G116" s="28"/>
      <c r="H116" s="28"/>
      <c r="I116" s="28"/>
      <c r="J116" s="28"/>
      <c r="K116" s="28"/>
      <c r="L116" s="28"/>
      <c r="M116" s="28"/>
      <c r="N116" s="28"/>
      <c r="O116" s="28"/>
    </row>
    <row r="117" spans="1:15" ht="12.75" customHeight="1" x14ac:dyDescent="0.35">
      <c r="A117" s="28"/>
      <c r="B117" s="28"/>
      <c r="C117" s="28"/>
      <c r="D117" s="28"/>
      <c r="E117" s="28"/>
      <c r="F117" s="28"/>
      <c r="G117" s="28"/>
      <c r="H117" s="28"/>
      <c r="I117" s="28"/>
      <c r="J117" s="28"/>
      <c r="K117" s="28"/>
      <c r="L117" s="28"/>
      <c r="M117" s="28"/>
      <c r="N117" s="28"/>
      <c r="O117" s="28"/>
    </row>
    <row r="118" spans="1:15" ht="12.75" customHeight="1" x14ac:dyDescent="0.35">
      <c r="A118" s="28"/>
      <c r="B118" s="28"/>
      <c r="C118" s="28"/>
      <c r="D118" s="28" t="s">
        <v>1657</v>
      </c>
      <c r="E118" s="28"/>
      <c r="F118" s="28"/>
      <c r="G118" s="28"/>
      <c r="H118" s="6" t="s">
        <v>1658</v>
      </c>
      <c r="I118" s="28"/>
      <c r="J118" s="28"/>
      <c r="K118" s="28"/>
      <c r="L118" s="28"/>
      <c r="M118" s="28"/>
      <c r="N118" s="28"/>
      <c r="O118" s="28"/>
    </row>
    <row r="119" spans="1:15" ht="12.75" customHeight="1" x14ac:dyDescent="0.35">
      <c r="A119" s="28"/>
      <c r="B119" s="28"/>
      <c r="C119" s="28"/>
      <c r="D119" s="1312" t="str">
        <f ca="1">"Cumulative discounted FCFE "&amp;IF(ISERROR($G$131),"",OFFSET(Calculations!$G$11,0,CalcPointPB))&amp;"-&gt;"&amp;IF(ISERROR($D$123),$F$123,$D$123)</f>
        <v>Cumulative discounted FCFE 9/2019-&gt;</v>
      </c>
      <c r="E119" s="28"/>
      <c r="F119" s="28"/>
      <c r="G119" s="28"/>
      <c r="H119" s="28"/>
      <c r="I119" s="28"/>
      <c r="J119" s="28"/>
      <c r="K119" s="28"/>
      <c r="L119" s="28"/>
      <c r="M119" s="28"/>
      <c r="N119" s="28"/>
      <c r="O119" s="28"/>
    </row>
    <row r="120" spans="1:15" ht="12.75" customHeight="1" x14ac:dyDescent="0.35">
      <c r="A120" s="28"/>
      <c r="B120" s="28"/>
      <c r="C120" s="28"/>
      <c r="D120" s="1312" t="str">
        <f ca="1">"Cumulative discounted FCFE "&amp;IF(ISERROR($G$131),"",OFFSET(Calculations!$G$11,0,CalcPointPB))&amp;"-&gt;"&amp;IF(ISERROR($E$123),$F$123,IF($E$123=$D$123,$F$123,$E$123))</f>
        <v>Cumulative discounted FCFE 9/2019-&gt;</v>
      </c>
      <c r="E120" s="28"/>
      <c r="F120" s="28"/>
      <c r="G120" s="28"/>
      <c r="H120" s="28"/>
      <c r="I120" s="28"/>
      <c r="J120" s="28"/>
      <c r="K120" s="28"/>
      <c r="L120" s="28"/>
      <c r="M120" s="28"/>
      <c r="N120" s="28"/>
      <c r="O120" s="28"/>
    </row>
    <row r="121" spans="1:15" ht="12.75" customHeight="1" x14ac:dyDescent="0.35">
      <c r="A121" s="28"/>
      <c r="B121" s="28"/>
      <c r="C121" s="28"/>
      <c r="D121" s="28" t="s">
        <v>1598</v>
      </c>
      <c r="E121" s="28"/>
      <c r="F121" s="28"/>
      <c r="G121" s="28"/>
      <c r="I121" s="28"/>
      <c r="J121" s="28"/>
      <c r="K121" s="28"/>
      <c r="L121" s="28"/>
      <c r="M121" s="28"/>
      <c r="N121" s="28"/>
      <c r="O121" s="28"/>
    </row>
    <row r="122" spans="1:15" ht="12.75" customHeight="1" x14ac:dyDescent="0.35">
      <c r="A122" s="28"/>
      <c r="B122" s="28"/>
      <c r="C122" s="28"/>
      <c r="D122" s="28" t="s">
        <v>1663</v>
      </c>
      <c r="E122" s="28"/>
      <c r="F122" s="28"/>
      <c r="G122" s="28"/>
      <c r="H122" s="6" t="s">
        <v>1664</v>
      </c>
      <c r="I122" s="28"/>
      <c r="J122" s="28"/>
      <c r="K122" s="28"/>
      <c r="L122" s="28"/>
      <c r="M122" s="28"/>
      <c r="N122" s="28"/>
      <c r="O122" s="28"/>
    </row>
    <row r="123" spans="1:15" ht="12.75" customHeight="1" x14ac:dyDescent="0.35">
      <c r="A123" s="28"/>
      <c r="B123" s="28"/>
      <c r="C123" s="28"/>
      <c r="D123" s="28"/>
      <c r="E123" s="28"/>
      <c r="F123" s="28"/>
      <c r="G123" s="28"/>
      <c r="H123" s="28"/>
      <c r="I123" s="28"/>
      <c r="J123" s="28"/>
      <c r="K123" s="28"/>
      <c r="L123" s="28"/>
      <c r="M123" s="28"/>
      <c r="N123" s="28"/>
      <c r="O123" s="28"/>
    </row>
    <row r="124" spans="1:15" ht="12.75" customHeight="1" x14ac:dyDescent="0.35">
      <c r="A124" s="28"/>
      <c r="B124" s="28"/>
      <c r="C124" s="28"/>
      <c r="D124" s="28"/>
      <c r="E124" s="28"/>
      <c r="F124" s="28"/>
      <c r="G124" s="28"/>
      <c r="H124" s="28"/>
      <c r="I124" s="28"/>
      <c r="J124" s="28"/>
      <c r="K124" s="28"/>
      <c r="L124" s="28"/>
      <c r="M124" s="28"/>
      <c r="N124" s="28"/>
      <c r="O124" s="28"/>
    </row>
    <row r="125" spans="1:15" ht="12.75" customHeight="1" x14ac:dyDescent="0.35">
      <c r="A125" s="28"/>
      <c r="B125" s="28"/>
      <c r="C125" s="28"/>
      <c r="D125" s="28" t="s">
        <v>1668</v>
      </c>
      <c r="E125" s="28"/>
      <c r="F125" s="28"/>
      <c r="G125" s="28"/>
      <c r="H125" s="28"/>
      <c r="I125" s="28"/>
      <c r="J125" s="28"/>
      <c r="K125" s="28"/>
      <c r="L125" s="28"/>
      <c r="M125" s="28"/>
      <c r="N125" s="28"/>
      <c r="O125" s="28"/>
    </row>
    <row r="126" spans="1:15" ht="12.75" customHeight="1" x14ac:dyDescent="0.35">
      <c r="A126" s="28"/>
      <c r="B126" s="28"/>
      <c r="C126" s="28"/>
      <c r="D126" s="28" t="s">
        <v>3872</v>
      </c>
      <c r="E126" s="28"/>
      <c r="F126" s="28"/>
      <c r="G126" s="28"/>
      <c r="H126" s="28"/>
      <c r="I126" s="28"/>
      <c r="J126" s="28"/>
      <c r="K126" s="28"/>
      <c r="L126" s="28"/>
      <c r="M126" s="28"/>
      <c r="N126" s="28"/>
      <c r="O126" s="28"/>
    </row>
    <row r="127" spans="1:15" ht="12.75" customHeight="1" x14ac:dyDescent="0.35">
      <c r="A127" s="28"/>
      <c r="B127" s="28"/>
      <c r="C127" s="28"/>
      <c r="D127" s="28"/>
      <c r="E127" s="28"/>
      <c r="F127" s="28"/>
      <c r="G127" s="28"/>
      <c r="H127" s="28"/>
      <c r="I127" s="28"/>
      <c r="J127" s="28"/>
      <c r="K127" s="28"/>
      <c r="L127" s="28"/>
      <c r="M127" s="28"/>
      <c r="N127" s="28"/>
      <c r="O127" s="28"/>
    </row>
    <row r="128" spans="1:15" ht="12.75" customHeight="1" x14ac:dyDescent="0.35">
      <c r="A128" s="28"/>
      <c r="B128" s="28"/>
      <c r="C128" s="28"/>
      <c r="D128" s="28"/>
      <c r="E128" s="28"/>
      <c r="F128" s="28"/>
      <c r="G128" s="28"/>
      <c r="H128" s="28"/>
      <c r="I128" s="28"/>
      <c r="J128" s="28"/>
      <c r="K128" s="28"/>
      <c r="L128" s="28"/>
      <c r="M128" s="28"/>
      <c r="N128" s="28"/>
      <c r="O128" s="28"/>
    </row>
    <row r="129" spans="1:15" ht="12.75" customHeight="1" x14ac:dyDescent="0.35">
      <c r="A129" s="28"/>
      <c r="B129" s="28"/>
      <c r="C129" s="28"/>
      <c r="D129" s="28"/>
      <c r="E129" s="28"/>
      <c r="F129" s="28"/>
      <c r="G129" s="28"/>
      <c r="H129" s="28"/>
      <c r="I129" s="28"/>
      <c r="J129" s="28"/>
      <c r="K129" s="28"/>
      <c r="L129" s="28"/>
      <c r="M129" s="28"/>
      <c r="N129" s="28"/>
      <c r="O129" s="28"/>
    </row>
    <row r="130" spans="1:15" ht="12.75" customHeight="1" x14ac:dyDescent="0.35">
      <c r="A130" s="28"/>
      <c r="B130" s="28"/>
      <c r="C130" s="28"/>
      <c r="D130" s="28" t="s">
        <v>1672</v>
      </c>
      <c r="E130" s="28"/>
      <c r="F130" s="28"/>
      <c r="G130" s="28"/>
      <c r="H130" s="28"/>
      <c r="I130" s="28"/>
      <c r="J130" s="28"/>
      <c r="K130" s="28"/>
      <c r="L130" s="28"/>
      <c r="M130" s="28"/>
      <c r="N130" s="28"/>
      <c r="O130" s="28"/>
    </row>
  </sheetData>
  <printOptions gridLines="1"/>
  <pageMargins left="0.75" right="0.75" top="1" bottom="1" header="0.5" footer="0.5"/>
  <pageSetup paperSize="9" orientation="portrait" r:id="rId1"/>
  <headerFooter>
    <oddHeader>&amp;C&amp;A</oddHeader>
    <oddFooter>&amp;CPage &amp;P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pageSetUpPr autoPageBreaks="0"/>
  </sheetPr>
  <dimension ref="A1:O130"/>
  <sheetViews>
    <sheetView topLeftCell="A88" workbookViewId="0">
      <selection activeCell="D112" sqref="D112"/>
    </sheetView>
  </sheetViews>
  <sheetFormatPr defaultColWidth="9.1796875" defaultRowHeight="14.5" x14ac:dyDescent="0.35"/>
  <cols>
    <col min="1" max="2" width="4" style="97" customWidth="1"/>
    <col min="3" max="16384" width="9.1796875" style="97"/>
  </cols>
  <sheetData>
    <row r="1" spans="1:15" ht="12.75" customHeight="1" x14ac:dyDescent="0.35">
      <c r="A1" s="28"/>
      <c r="B1" s="28"/>
      <c r="C1" s="28" t="s">
        <v>3873</v>
      </c>
      <c r="D1" s="28"/>
      <c r="E1" s="28"/>
      <c r="F1" s="28"/>
      <c r="G1" s="28"/>
      <c r="H1" s="28"/>
      <c r="I1" s="28"/>
      <c r="K1" s="28"/>
      <c r="L1" s="28"/>
      <c r="M1" s="28"/>
      <c r="N1" s="28" t="s">
        <v>3874</v>
      </c>
      <c r="O1" s="28" t="s">
        <v>3875</v>
      </c>
    </row>
    <row r="2" spans="1:15" ht="12.75" customHeight="1" x14ac:dyDescent="0.35">
      <c r="A2" s="28"/>
      <c r="B2" s="28"/>
      <c r="C2" s="28"/>
      <c r="D2" s="28"/>
      <c r="E2" s="28"/>
      <c r="F2" s="28"/>
      <c r="G2" s="28"/>
      <c r="H2" s="28"/>
      <c r="I2" s="28"/>
      <c r="J2" s="28"/>
      <c r="K2" s="28"/>
      <c r="L2" s="28"/>
      <c r="M2" s="28"/>
      <c r="N2" s="28"/>
      <c r="O2" s="28"/>
    </row>
    <row r="3" spans="1:15" ht="12.75" customHeight="1" x14ac:dyDescent="0.35">
      <c r="A3" s="28"/>
      <c r="B3" s="28"/>
      <c r="C3" s="28" t="s">
        <v>3876</v>
      </c>
      <c r="D3" s="28"/>
      <c r="E3" s="28"/>
      <c r="F3" s="28"/>
      <c r="G3" s="28"/>
      <c r="H3" s="28"/>
      <c r="I3" s="28"/>
      <c r="J3" s="28"/>
      <c r="K3" s="28"/>
      <c r="L3" s="28"/>
      <c r="M3" s="28"/>
      <c r="N3" s="28"/>
      <c r="O3" s="28"/>
    </row>
    <row r="4" spans="1:15" ht="12.75" customHeight="1" x14ac:dyDescent="0.35">
      <c r="A4" s="28"/>
      <c r="B4" s="28"/>
      <c r="C4" s="28"/>
      <c r="D4" s="28"/>
      <c r="E4" s="28"/>
      <c r="F4" s="28"/>
      <c r="G4" s="28"/>
      <c r="H4" s="28"/>
      <c r="I4" s="28"/>
      <c r="J4" s="28"/>
      <c r="K4" s="28"/>
      <c r="L4" s="28"/>
      <c r="M4" s="28"/>
      <c r="N4" s="28"/>
      <c r="O4" s="28"/>
    </row>
    <row r="5" spans="1:15" ht="12.75" customHeight="1" x14ac:dyDescent="0.35">
      <c r="A5" s="28"/>
      <c r="B5" s="28"/>
      <c r="C5" s="28"/>
      <c r="D5" s="28" t="s">
        <v>3877</v>
      </c>
      <c r="E5" s="28"/>
      <c r="F5" s="28"/>
      <c r="G5" s="28"/>
      <c r="H5" s="28"/>
      <c r="I5" s="28"/>
      <c r="J5" s="28"/>
      <c r="K5" s="28"/>
      <c r="L5" s="28"/>
      <c r="M5" s="28"/>
      <c r="N5" s="28"/>
      <c r="O5" s="28"/>
    </row>
    <row r="6" spans="1:15" ht="12.75" customHeight="1" x14ac:dyDescent="0.35">
      <c r="A6" s="28"/>
      <c r="B6" s="28"/>
      <c r="C6" s="28"/>
      <c r="D6" s="28" t="s">
        <v>3878</v>
      </c>
      <c r="E6" s="28"/>
      <c r="F6" s="28"/>
      <c r="G6" s="28"/>
      <c r="H6" s="28"/>
      <c r="I6" s="28"/>
      <c r="J6" s="28"/>
      <c r="K6" s="28"/>
      <c r="L6" s="28"/>
      <c r="M6" s="28"/>
      <c r="N6" s="28"/>
      <c r="O6" s="28"/>
    </row>
    <row r="7" spans="1:15" ht="12.75" customHeight="1" x14ac:dyDescent="0.35">
      <c r="A7" s="28"/>
      <c r="B7" s="28"/>
      <c r="C7" s="28"/>
      <c r="D7" s="28"/>
      <c r="E7" s="28"/>
      <c r="F7" s="28"/>
      <c r="G7" s="28"/>
      <c r="H7" s="28"/>
      <c r="I7" s="28"/>
      <c r="J7" s="28"/>
      <c r="K7" s="28"/>
      <c r="L7" s="28"/>
      <c r="M7" s="28"/>
      <c r="N7" s="28"/>
      <c r="O7" s="28"/>
    </row>
    <row r="8" spans="1:15" ht="12.75" customHeight="1" x14ac:dyDescent="0.35">
      <c r="A8" s="28"/>
      <c r="B8" s="28"/>
      <c r="C8" s="28"/>
      <c r="D8" s="28" t="s">
        <v>3879</v>
      </c>
      <c r="E8" s="28"/>
      <c r="F8" s="28"/>
      <c r="G8" s="28"/>
      <c r="H8" s="28" t="s">
        <v>3880</v>
      </c>
      <c r="I8" s="28"/>
      <c r="J8" s="28"/>
      <c r="K8" s="28"/>
      <c r="L8" s="28"/>
      <c r="M8" s="28"/>
      <c r="N8" s="28"/>
      <c r="O8" s="28"/>
    </row>
    <row r="9" spans="1:15" ht="12.75" customHeight="1" x14ac:dyDescent="0.35">
      <c r="A9" s="28"/>
      <c r="B9" s="28"/>
      <c r="C9" s="28"/>
      <c r="D9" s="28" t="s">
        <v>3881</v>
      </c>
      <c r="E9" s="28"/>
      <c r="F9" s="28"/>
      <c r="G9" s="28"/>
      <c r="H9" s="28"/>
      <c r="I9" s="28"/>
      <c r="J9" s="28"/>
      <c r="K9" s="28"/>
      <c r="L9" s="28"/>
      <c r="M9" s="28"/>
      <c r="N9" s="28"/>
      <c r="O9" s="28"/>
    </row>
    <row r="10" spans="1:15" ht="12.75" customHeight="1" x14ac:dyDescent="0.35">
      <c r="A10" s="28"/>
      <c r="B10" s="28"/>
      <c r="C10" s="28"/>
      <c r="D10" s="28" t="s">
        <v>3882</v>
      </c>
      <c r="E10" s="28"/>
      <c r="F10" s="28"/>
      <c r="G10" s="28"/>
      <c r="H10" s="28" t="s">
        <v>2393</v>
      </c>
      <c r="I10" s="28"/>
      <c r="J10" s="28"/>
      <c r="K10" s="28"/>
      <c r="L10" s="28"/>
      <c r="M10" s="28"/>
      <c r="N10" s="28"/>
      <c r="O10" s="28"/>
    </row>
    <row r="11" spans="1:15" ht="12.75" customHeight="1" x14ac:dyDescent="0.35">
      <c r="A11" s="28"/>
      <c r="B11" s="28"/>
      <c r="C11" s="28"/>
      <c r="D11" s="28" t="s">
        <v>3883</v>
      </c>
      <c r="E11" s="28"/>
      <c r="F11" s="28"/>
      <c r="G11" s="28"/>
      <c r="H11" s="28" t="str">
        <f>"(Kauden "&amp;IF(CalcPoint=0,"alussa","lopussa")&amp;")"</f>
        <v>(Kauden alussa)</v>
      </c>
      <c r="I11" s="28"/>
      <c r="J11" s="28"/>
      <c r="K11" s="28"/>
      <c r="L11" s="28"/>
      <c r="M11" s="28"/>
      <c r="N11" s="28"/>
      <c r="O11" s="28"/>
    </row>
    <row r="12" spans="1:15" ht="12.75" customHeight="1" x14ac:dyDescent="0.35">
      <c r="A12" s="28"/>
      <c r="B12" s="28"/>
      <c r="C12" s="28"/>
      <c r="D12" s="28"/>
      <c r="E12" s="28"/>
      <c r="F12" s="28"/>
      <c r="G12" s="28"/>
      <c r="H12" s="28"/>
      <c r="I12" s="28"/>
      <c r="J12" s="28"/>
      <c r="K12" s="28"/>
      <c r="L12" s="28"/>
      <c r="M12" s="28"/>
      <c r="N12" s="28"/>
      <c r="O12" s="28"/>
    </row>
    <row r="13" spans="1:15" ht="12.75" customHeight="1" x14ac:dyDescent="0.35">
      <c r="A13" s="28"/>
      <c r="B13" s="28"/>
      <c r="C13" s="28"/>
      <c r="D13" s="28"/>
      <c r="E13" s="28"/>
      <c r="F13" s="28"/>
      <c r="G13" s="28"/>
      <c r="H13" s="28"/>
      <c r="I13" s="28"/>
      <c r="J13" s="28"/>
      <c r="K13" s="28"/>
      <c r="L13" s="28"/>
      <c r="M13" s="28"/>
      <c r="N13" s="28"/>
      <c r="O13" s="28"/>
    </row>
    <row r="14" spans="1:15" ht="12.75" customHeight="1" x14ac:dyDescent="0.35">
      <c r="A14" s="28"/>
      <c r="B14" s="28"/>
      <c r="C14" s="28"/>
      <c r="D14" s="28" t="s">
        <v>3884</v>
      </c>
      <c r="E14" s="28"/>
      <c r="F14" s="28"/>
      <c r="G14" s="28"/>
      <c r="H14" s="28" t="s">
        <v>3885</v>
      </c>
      <c r="I14" s="28"/>
      <c r="J14" s="28"/>
      <c r="K14" s="28"/>
      <c r="L14" s="28"/>
      <c r="M14" s="28"/>
      <c r="N14" s="28"/>
      <c r="O14" s="28"/>
    </row>
    <row r="15" spans="1:15" ht="12.75" customHeight="1" x14ac:dyDescent="0.35">
      <c r="A15" s="28"/>
      <c r="B15" s="28"/>
      <c r="C15" s="28"/>
      <c r="D15" s="28" t="s">
        <v>3886</v>
      </c>
      <c r="E15" s="28"/>
      <c r="F15" s="28"/>
      <c r="G15" s="28"/>
      <c r="H15" s="28"/>
      <c r="I15" s="28"/>
      <c r="J15" s="28"/>
      <c r="K15" s="28"/>
      <c r="L15" s="28"/>
      <c r="M15" s="28"/>
      <c r="N15" s="28"/>
      <c r="O15" s="28"/>
    </row>
    <row r="16" spans="1:15" ht="12.75" customHeight="1" x14ac:dyDescent="0.35">
      <c r="A16" s="28"/>
      <c r="B16" s="28"/>
      <c r="C16" s="28"/>
      <c r="D16" s="28" t="s">
        <v>3887</v>
      </c>
      <c r="E16" s="28"/>
      <c r="F16" s="28"/>
      <c r="G16" s="28"/>
      <c r="H16" s="28"/>
      <c r="I16" s="28"/>
      <c r="J16" s="28"/>
      <c r="K16" s="28"/>
      <c r="L16" s="28"/>
      <c r="M16" s="28"/>
      <c r="N16" s="28"/>
      <c r="O16" s="28"/>
    </row>
    <row r="17" spans="1:15" ht="12.75" customHeight="1" x14ac:dyDescent="0.35">
      <c r="A17" s="28"/>
      <c r="B17" s="28"/>
      <c r="C17" s="28"/>
      <c r="D17" s="28"/>
      <c r="E17" s="28"/>
      <c r="F17" s="28"/>
      <c r="G17" s="28"/>
      <c r="H17" s="28"/>
      <c r="I17" s="28"/>
      <c r="J17" s="28"/>
      <c r="K17" s="28"/>
      <c r="L17" s="28"/>
      <c r="M17" s="28"/>
      <c r="N17" s="28"/>
      <c r="O17" s="28"/>
    </row>
    <row r="18" spans="1:15" ht="12.75" customHeight="1" x14ac:dyDescent="0.35">
      <c r="A18" s="28"/>
      <c r="B18" s="28"/>
      <c r="C18" s="28"/>
      <c r="D18" s="28" t="str">
        <f>IF(PerpetuityLimitation=1,"Ikuisuusarvon (Perpetuity)","Extrapoloinnin")&amp;" peruste"</f>
        <v>Ikuisuusarvon (Perpetuity) peruste</v>
      </c>
      <c r="E18" s="28"/>
      <c r="F18" s="28"/>
      <c r="G18" s="28"/>
      <c r="H18" s="28"/>
      <c r="I18" s="28"/>
      <c r="J18" s="28"/>
      <c r="K18" s="28"/>
      <c r="L18" s="28"/>
      <c r="M18" s="28"/>
      <c r="N18" s="28"/>
      <c r="O18" s="28"/>
    </row>
    <row r="19" spans="1:15" ht="12.75" customHeight="1" x14ac:dyDescent="0.35">
      <c r="A19" s="28"/>
      <c r="B19" s="28"/>
      <c r="C19" s="28"/>
      <c r="D19" s="28"/>
      <c r="E19" s="28"/>
      <c r="F19" s="28"/>
      <c r="G19" s="28"/>
      <c r="H19" s="28"/>
      <c r="I19" s="28"/>
      <c r="J19" s="28"/>
      <c r="K19" s="28"/>
      <c r="L19" s="28"/>
      <c r="M19" s="28"/>
      <c r="N19" s="28"/>
      <c r="O19" s="28"/>
    </row>
    <row r="20" spans="1:15" ht="12.75" customHeight="1" x14ac:dyDescent="0.35">
      <c r="A20" s="28"/>
      <c r="B20" s="28"/>
      <c r="C20" s="28"/>
      <c r="D20" s="28" t="s">
        <v>3888</v>
      </c>
      <c r="E20" s="28"/>
      <c r="F20" s="28"/>
      <c r="G20" s="28"/>
      <c r="H20" s="97" t="s">
        <v>3889</v>
      </c>
      <c r="I20" s="28"/>
      <c r="J20" s="28"/>
      <c r="K20" s="28"/>
      <c r="L20" s="28"/>
      <c r="M20" s="28"/>
      <c r="N20" s="28"/>
      <c r="O20" s="28"/>
    </row>
    <row r="21" spans="1:15" ht="12.75" customHeight="1" x14ac:dyDescent="0.35">
      <c r="A21" s="28"/>
      <c r="B21" s="28"/>
      <c r="C21" s="28"/>
      <c r="D21" s="28"/>
      <c r="E21" s="28"/>
      <c r="F21" s="28"/>
      <c r="G21" s="28"/>
      <c r="H21" s="28"/>
      <c r="I21" s="28"/>
      <c r="J21" s="28"/>
      <c r="K21" s="28"/>
      <c r="L21" s="28"/>
      <c r="M21" s="28"/>
      <c r="N21" s="28"/>
      <c r="O21" s="28"/>
    </row>
    <row r="22" spans="1:15" ht="12.75" customHeight="1" x14ac:dyDescent="0.35">
      <c r="A22" s="28"/>
      <c r="B22" s="28"/>
      <c r="C22" s="28"/>
      <c r="D22" s="28" t="str">
        <f>"      Syötä vuosiarvo"&amp;IF(TRIM($J$5)&lt;&gt;""," ("&amp;$J$5&amp;")","")</f>
        <v xml:space="preserve">      Syötä vuosiarvo</v>
      </c>
      <c r="E22" s="28"/>
      <c r="F22" s="28"/>
      <c r="G22" s="28"/>
      <c r="H22" s="28" t="str">
        <f ca="1">"Perustearvo "&amp;Calculations!$N$627&amp;""</f>
        <v>Perustearvo (12/2024)</v>
      </c>
      <c r="I22" s="28"/>
      <c r="J22" s="28"/>
      <c r="K22" s="28"/>
      <c r="L22" s="28"/>
      <c r="M22" s="28"/>
      <c r="N22" s="28"/>
      <c r="O22" s="28"/>
    </row>
    <row r="23" spans="1:15" ht="12.75" customHeight="1" x14ac:dyDescent="0.35">
      <c r="A23" s="28"/>
      <c r="B23" s="28"/>
      <c r="C23" s="28"/>
      <c r="D23" s="28"/>
      <c r="E23" s="28"/>
      <c r="F23" s="28"/>
      <c r="G23" s="28"/>
      <c r="H23" s="28"/>
      <c r="I23" s="28"/>
      <c r="J23" s="28"/>
      <c r="K23" s="28"/>
      <c r="L23" s="28"/>
      <c r="M23" s="28"/>
      <c r="N23" s="28"/>
      <c r="O23" s="28"/>
    </row>
    <row r="24" spans="1:15" ht="12.75" customHeight="1" x14ac:dyDescent="0.35">
      <c r="A24" s="28"/>
      <c r="B24" s="28"/>
      <c r="C24" s="28"/>
      <c r="D24" s="28" t="str">
        <f>IF(PerpetuityLimitation=1,"Ikuisuusarvon","Extrapoloinnin")&amp;" tyyppi"</f>
        <v>Ikuisuusarvon tyyppi</v>
      </c>
      <c r="E24" s="28"/>
      <c r="F24" s="28"/>
      <c r="G24" s="28"/>
      <c r="H24" s="28" t="s">
        <v>3890</v>
      </c>
      <c r="I24" s="28"/>
      <c r="J24" s="28"/>
      <c r="K24" s="28"/>
      <c r="L24" s="28"/>
      <c r="M24" s="28"/>
      <c r="N24" s="28"/>
      <c r="O24" s="28"/>
    </row>
    <row r="25" spans="1:15" ht="12.75" customHeight="1" x14ac:dyDescent="0.35">
      <c r="A25" s="28"/>
      <c r="B25" s="28"/>
      <c r="C25" s="28"/>
      <c r="D25" s="28"/>
      <c r="E25" s="28"/>
      <c r="F25" s="28"/>
      <c r="G25" s="28"/>
      <c r="H25" s="28"/>
      <c r="I25" s="28"/>
      <c r="J25" s="28"/>
      <c r="K25" s="28"/>
      <c r="L25" s="28"/>
      <c r="M25" s="28"/>
      <c r="N25" s="28"/>
      <c r="O25" s="28"/>
    </row>
    <row r="26" spans="1:15" ht="12.75" customHeight="1" x14ac:dyDescent="0.35">
      <c r="A26" s="28"/>
      <c r="B26" s="28"/>
      <c r="C26" s="28"/>
      <c r="D26" s="28" t="s">
        <v>3891</v>
      </c>
      <c r="E26" s="28"/>
      <c r="F26" s="28"/>
      <c r="G26" s="28"/>
      <c r="H26" s="28" t="str">
        <f ca="1">"Arvo "&amp;Calculations!$N$627&amp;""</f>
        <v>Arvo (12/2024)</v>
      </c>
      <c r="I26" s="28"/>
      <c r="J26" s="28"/>
      <c r="K26" s="28"/>
      <c r="L26" s="28"/>
      <c r="M26" s="28"/>
      <c r="N26" s="28"/>
      <c r="O26" s="28"/>
    </row>
    <row r="27" spans="1:15" ht="12.75" customHeight="1" x14ac:dyDescent="0.35">
      <c r="A27" s="28"/>
      <c r="B27" s="28"/>
      <c r="C27" s="28"/>
      <c r="D27" s="28"/>
      <c r="E27" s="28"/>
      <c r="F27" s="28"/>
      <c r="G27" s="28"/>
      <c r="H27" s="28"/>
      <c r="I27" s="28"/>
      <c r="J27" s="28"/>
      <c r="K27" s="28"/>
      <c r="L27" s="28"/>
      <c r="M27" s="28"/>
      <c r="N27" s="28"/>
      <c r="O27" s="28"/>
    </row>
    <row r="28" spans="1:15" ht="12.75" customHeight="1" x14ac:dyDescent="0.35">
      <c r="A28" s="28"/>
      <c r="B28" s="28"/>
      <c r="C28" s="28"/>
      <c r="D28" s="28" t="s">
        <v>3892</v>
      </c>
      <c r="E28" s="28"/>
      <c r="F28" s="28"/>
      <c r="G28" s="28"/>
      <c r="H28" s="28" t="str">
        <f>"Nykyarvo ("&amp;$F$11&amp;")"</f>
        <v>Nykyarvo ()</v>
      </c>
      <c r="I28" s="28"/>
      <c r="J28" s="28"/>
      <c r="K28" s="28"/>
      <c r="L28" s="28"/>
      <c r="M28" s="28"/>
      <c r="N28" s="28"/>
      <c r="O28" s="28"/>
    </row>
    <row r="29" spans="1:15" ht="12.75" customHeight="1" x14ac:dyDescent="0.35">
      <c r="A29" s="28"/>
      <c r="B29" s="28"/>
      <c r="C29" s="28"/>
      <c r="D29" s="28"/>
      <c r="E29" s="28"/>
      <c r="F29" s="28"/>
      <c r="G29" s="28"/>
      <c r="H29" s="28"/>
      <c r="I29" s="28"/>
      <c r="J29" s="28"/>
      <c r="K29" s="28"/>
      <c r="L29" s="28"/>
      <c r="M29" s="28"/>
      <c r="N29" s="28"/>
      <c r="O29" s="28"/>
    </row>
    <row r="30" spans="1:15" ht="12.75" customHeight="1" x14ac:dyDescent="0.35">
      <c r="A30" s="28"/>
      <c r="B30" s="28"/>
      <c r="C30" s="28"/>
      <c r="D30" s="28"/>
      <c r="E30" s="28"/>
      <c r="F30" s="28"/>
      <c r="G30" s="28"/>
      <c r="H30" s="28"/>
      <c r="I30" s="28"/>
      <c r="J30" s="28"/>
      <c r="K30" s="28"/>
      <c r="L30" s="28"/>
      <c r="M30" s="28"/>
      <c r="N30" s="28"/>
      <c r="O30" s="28"/>
    </row>
    <row r="31" spans="1:15" ht="12.75" customHeight="1" x14ac:dyDescent="0.35">
      <c r="A31" s="28"/>
      <c r="B31" s="28"/>
      <c r="C31" s="28"/>
      <c r="D31" s="105" t="s">
        <v>3893</v>
      </c>
      <c r="E31" s="28"/>
      <c r="F31" s="28"/>
      <c r="G31" s="28"/>
      <c r="H31" s="105" t="s">
        <v>3894</v>
      </c>
      <c r="I31" s="28"/>
      <c r="J31" s="28"/>
      <c r="K31" s="28"/>
      <c r="L31" s="28"/>
      <c r="M31" s="28"/>
      <c r="N31" s="28"/>
      <c r="O31" s="28"/>
    </row>
    <row r="32" spans="1:15" ht="12.75" customHeight="1" x14ac:dyDescent="0.35">
      <c r="A32" s="28"/>
      <c r="B32" s="28"/>
      <c r="C32" s="28"/>
      <c r="D32" s="28"/>
      <c r="E32" s="28"/>
      <c r="F32" s="28"/>
      <c r="G32" s="28"/>
      <c r="H32" s="28"/>
      <c r="I32" s="28"/>
      <c r="J32" s="28"/>
      <c r="K32" s="28"/>
      <c r="L32" s="28"/>
      <c r="M32" s="28"/>
      <c r="N32" s="28"/>
      <c r="O32" s="28"/>
    </row>
    <row r="33" spans="1:15" ht="12.75" customHeight="1" x14ac:dyDescent="0.35">
      <c r="A33" s="28"/>
      <c r="B33" s="28"/>
      <c r="C33" s="28"/>
      <c r="D33" s="28" t="s">
        <v>3884</v>
      </c>
      <c r="E33" s="28"/>
      <c r="F33" s="28"/>
      <c r="G33" s="28"/>
      <c r="H33" s="28"/>
      <c r="I33" s="28"/>
      <c r="J33" s="28"/>
      <c r="K33" s="28"/>
      <c r="L33" s="28"/>
      <c r="M33" s="28"/>
      <c r="N33" s="28"/>
      <c r="O33" s="28"/>
    </row>
    <row r="34" spans="1:15" ht="12.75" customHeight="1" x14ac:dyDescent="0.35">
      <c r="A34" s="28"/>
      <c r="B34" s="28"/>
      <c r="C34" s="28"/>
      <c r="D34" s="28"/>
      <c r="E34" s="28"/>
      <c r="F34" s="28"/>
      <c r="G34" s="28"/>
      <c r="H34" s="28"/>
      <c r="I34" s="28"/>
      <c r="J34" s="28"/>
      <c r="K34" s="28"/>
      <c r="L34" s="28"/>
      <c r="M34" s="28"/>
      <c r="N34" s="28"/>
      <c r="O34" s="28"/>
    </row>
    <row r="35" spans="1:15" ht="12.75" customHeight="1" x14ac:dyDescent="0.35">
      <c r="A35" s="28"/>
      <c r="B35" s="28"/>
      <c r="C35" s="28"/>
      <c r="D35" s="28" t="s">
        <v>5077</v>
      </c>
      <c r="E35" s="28"/>
      <c r="F35" s="28"/>
      <c r="G35" s="28"/>
      <c r="H35" s="28"/>
      <c r="I35" s="28"/>
      <c r="J35" s="28"/>
      <c r="K35" s="28"/>
      <c r="L35" s="28"/>
      <c r="M35" s="28"/>
      <c r="N35" s="28"/>
      <c r="O35" s="28"/>
    </row>
    <row r="36" spans="1:15" ht="12.75" customHeight="1" x14ac:dyDescent="0.35">
      <c r="A36" s="28"/>
      <c r="B36" s="28"/>
      <c r="C36" s="28"/>
      <c r="D36" s="28" t="s">
        <v>3895</v>
      </c>
      <c r="E36" s="28"/>
      <c r="F36" s="28"/>
      <c r="G36" s="28"/>
      <c r="H36" s="28"/>
      <c r="I36" s="28"/>
      <c r="J36" s="28"/>
      <c r="K36" s="28"/>
      <c r="L36" s="28"/>
      <c r="M36" s="28"/>
      <c r="N36" s="28"/>
      <c r="O36" s="28"/>
    </row>
    <row r="37" spans="1:15" ht="12.75" customHeight="1" x14ac:dyDescent="0.35">
      <c r="A37" s="28"/>
      <c r="B37" s="28"/>
      <c r="C37" s="28"/>
      <c r="D37" s="28"/>
      <c r="E37" s="28"/>
      <c r="F37" s="28"/>
      <c r="G37" s="28"/>
      <c r="H37" s="28"/>
      <c r="I37" s="28"/>
      <c r="J37" s="28"/>
      <c r="K37" s="28"/>
      <c r="L37" s="28"/>
      <c r="M37" s="28"/>
      <c r="N37" s="28"/>
      <c r="O37" s="28"/>
    </row>
    <row r="38" spans="1:15" ht="12.75" customHeight="1" x14ac:dyDescent="0.35">
      <c r="A38" s="28"/>
      <c r="B38" s="28"/>
      <c r="C38" s="28"/>
      <c r="D38" s="110" t="s">
        <v>3896</v>
      </c>
      <c r="E38" s="111"/>
      <c r="F38" s="112"/>
      <c r="G38" s="2"/>
      <c r="H38" s="2"/>
      <c r="I38" s="28"/>
      <c r="J38" s="28"/>
      <c r="K38" s="28"/>
      <c r="L38" s="28"/>
      <c r="M38" s="28"/>
      <c r="N38" s="28"/>
      <c r="O38" s="28"/>
    </row>
    <row r="39" spans="1:15" ht="12.75" customHeight="1" x14ac:dyDescent="0.35">
      <c r="A39" s="28"/>
      <c r="B39" s="28"/>
      <c r="C39" s="28"/>
      <c r="D39" s="110"/>
      <c r="E39" s="111"/>
      <c r="F39" s="112"/>
      <c r="G39" s="2"/>
      <c r="H39" s="2"/>
      <c r="I39" s="28"/>
      <c r="J39" s="28"/>
      <c r="K39" s="28"/>
      <c r="L39" s="28"/>
      <c r="M39" s="28"/>
      <c r="N39" s="28"/>
      <c r="O39" s="28"/>
    </row>
    <row r="40" spans="1:15" ht="12.75" customHeight="1" x14ac:dyDescent="0.35">
      <c r="A40" s="28"/>
      <c r="B40" s="28"/>
      <c r="C40" s="28"/>
      <c r="D40" s="110"/>
      <c r="E40" s="111"/>
      <c r="F40" s="112"/>
      <c r="G40" s="2"/>
      <c r="H40" s="2"/>
      <c r="I40" s="28"/>
      <c r="J40" s="28"/>
      <c r="K40" s="28"/>
      <c r="L40" s="28"/>
      <c r="M40" s="28"/>
      <c r="N40" s="28"/>
      <c r="O40" s="28"/>
    </row>
    <row r="41" spans="1:15" ht="12.75" customHeight="1" x14ac:dyDescent="0.35">
      <c r="A41" s="28"/>
      <c r="B41" s="28"/>
      <c r="C41" s="28"/>
      <c r="D41" s="110"/>
      <c r="E41" s="111"/>
      <c r="F41" s="112"/>
      <c r="G41" s="2"/>
      <c r="H41" s="2"/>
      <c r="I41" s="28"/>
      <c r="J41" s="28"/>
      <c r="K41" s="28"/>
      <c r="L41" s="28"/>
      <c r="M41" s="28"/>
      <c r="N41" s="28"/>
      <c r="O41" s="28"/>
    </row>
    <row r="42" spans="1:15" ht="12.75" customHeight="1" x14ac:dyDescent="0.35">
      <c r="A42" s="28"/>
      <c r="B42" s="28"/>
      <c r="C42" s="28"/>
      <c r="D42" s="110"/>
      <c r="E42" s="111"/>
      <c r="F42" s="112"/>
      <c r="G42" s="2"/>
      <c r="H42" s="2"/>
      <c r="I42" s="28"/>
      <c r="J42" s="28"/>
      <c r="K42" s="28"/>
      <c r="L42" s="28"/>
      <c r="M42" s="28"/>
      <c r="N42" s="28"/>
      <c r="O42" s="28"/>
    </row>
    <row r="43" spans="1:15" ht="12.75" customHeight="1" x14ac:dyDescent="0.35">
      <c r="A43" s="28"/>
      <c r="B43" s="28"/>
      <c r="C43" s="28"/>
      <c r="D43" s="110"/>
      <c r="E43" s="111"/>
      <c r="F43" s="112"/>
      <c r="G43" s="2"/>
      <c r="H43" s="2"/>
      <c r="I43" s="28"/>
      <c r="J43" s="28"/>
      <c r="K43" s="28"/>
      <c r="L43" s="28"/>
      <c r="M43" s="28"/>
      <c r="N43" s="28"/>
      <c r="O43" s="28"/>
    </row>
    <row r="44" spans="1:15" ht="12.75" customHeight="1" x14ac:dyDescent="0.35">
      <c r="A44" s="28"/>
      <c r="B44" s="28"/>
      <c r="C44" s="28"/>
      <c r="D44" s="110"/>
      <c r="E44" s="111"/>
      <c r="F44" s="112"/>
      <c r="G44" s="2"/>
      <c r="H44" s="2"/>
      <c r="I44" s="28"/>
      <c r="J44" s="28"/>
      <c r="K44" s="28"/>
      <c r="L44" s="28"/>
      <c r="M44" s="28"/>
      <c r="N44" s="28"/>
      <c r="O44" s="28"/>
    </row>
    <row r="45" spans="1:15" ht="12.75" customHeight="1" x14ac:dyDescent="0.35">
      <c r="A45" s="28"/>
      <c r="B45" s="28"/>
      <c r="C45" s="28"/>
      <c r="D45" s="110"/>
      <c r="E45" s="111"/>
      <c r="F45" s="112"/>
      <c r="G45" s="2"/>
      <c r="H45" s="2"/>
      <c r="I45" s="28"/>
      <c r="J45" s="28"/>
      <c r="K45" s="28"/>
      <c r="L45" s="28"/>
      <c r="M45" s="28"/>
      <c r="N45" s="28"/>
      <c r="O45" s="28"/>
    </row>
    <row r="46" spans="1:15" ht="12.75" customHeight="1" x14ac:dyDescent="0.35">
      <c r="A46" s="28"/>
      <c r="B46" s="28"/>
      <c r="C46" s="28"/>
      <c r="D46" s="110"/>
      <c r="E46" s="111"/>
      <c r="F46" s="112"/>
      <c r="G46" s="2"/>
      <c r="H46" s="2"/>
      <c r="I46" s="28"/>
      <c r="J46" s="28"/>
      <c r="K46" s="28"/>
      <c r="L46" s="28"/>
      <c r="M46" s="28"/>
      <c r="N46" s="28"/>
      <c r="O46" s="28"/>
    </row>
    <row r="47" spans="1:15" ht="12.75" customHeight="1" x14ac:dyDescent="0.35">
      <c r="A47" s="28"/>
      <c r="B47" s="28"/>
      <c r="C47" s="28"/>
      <c r="D47" s="110"/>
      <c r="E47" s="111"/>
      <c r="F47" s="112"/>
      <c r="G47" s="2"/>
      <c r="H47" s="2"/>
      <c r="I47" s="28"/>
      <c r="J47" s="28"/>
      <c r="K47" s="28"/>
      <c r="L47" s="28"/>
      <c r="M47" s="28"/>
      <c r="N47" s="28"/>
      <c r="O47" s="28"/>
    </row>
    <row r="48" spans="1:15" ht="12.75" customHeight="1" x14ac:dyDescent="0.35">
      <c r="A48" s="28"/>
      <c r="B48" s="28"/>
      <c r="C48" s="28"/>
      <c r="D48" s="111" t="s">
        <v>3897</v>
      </c>
      <c r="E48" s="111"/>
      <c r="F48" s="112"/>
      <c r="G48" s="2"/>
      <c r="H48" s="2"/>
      <c r="I48" s="28"/>
      <c r="J48" s="28"/>
      <c r="K48" s="28"/>
      <c r="L48" s="28"/>
      <c r="M48" s="28"/>
      <c r="N48" s="28"/>
      <c r="O48" s="28"/>
    </row>
    <row r="49" spans="1:15" ht="12.75" customHeight="1" x14ac:dyDescent="0.35">
      <c r="A49" s="28"/>
      <c r="B49" s="28"/>
      <c r="C49" s="28"/>
      <c r="D49" s="111" t="s">
        <v>1551</v>
      </c>
      <c r="E49" s="111"/>
      <c r="F49" s="112"/>
      <c r="G49" s="2"/>
      <c r="H49" s="113" t="s">
        <v>3898</v>
      </c>
      <c r="I49" s="28"/>
      <c r="J49" s="28"/>
      <c r="K49" s="28"/>
      <c r="L49" s="28"/>
      <c r="M49" s="28"/>
      <c r="N49" s="28"/>
      <c r="O49" s="28"/>
    </row>
    <row r="50" spans="1:15" ht="12.75" customHeight="1" x14ac:dyDescent="0.35">
      <c r="A50" s="28"/>
      <c r="B50" s="28"/>
      <c r="C50" s="28"/>
      <c r="D50" s="111"/>
      <c r="E50" s="111"/>
      <c r="F50" s="112"/>
      <c r="G50" s="2"/>
      <c r="H50" s="2"/>
      <c r="I50" s="28"/>
      <c r="J50" s="28"/>
      <c r="K50" s="28"/>
      <c r="L50" s="28"/>
      <c r="M50" s="28"/>
      <c r="N50" s="28"/>
      <c r="O50" s="28"/>
    </row>
    <row r="51" spans="1:15" ht="12.75" customHeight="1" x14ac:dyDescent="0.35">
      <c r="A51" s="28"/>
      <c r="B51" s="28"/>
      <c r="C51" s="28"/>
      <c r="D51" s="28" t="s">
        <v>3899</v>
      </c>
      <c r="E51" s="28" t="s">
        <v>3900</v>
      </c>
      <c r="F51" s="28" t="s">
        <v>3901</v>
      </c>
      <c r="G51" s="28"/>
      <c r="H51" s="28"/>
      <c r="I51" s="28"/>
      <c r="J51" s="28"/>
      <c r="K51" s="28"/>
      <c r="L51" s="28"/>
      <c r="M51" s="28"/>
      <c r="N51" s="28"/>
      <c r="O51" s="28"/>
    </row>
    <row r="52" spans="1:15" ht="12.75" customHeight="1" x14ac:dyDescent="0.35">
      <c r="A52" s="28"/>
      <c r="B52" s="28"/>
      <c r="C52" s="28"/>
      <c r="D52" s="28" t="s">
        <v>3902</v>
      </c>
      <c r="E52" s="28"/>
      <c r="F52" s="28"/>
      <c r="G52" s="28"/>
      <c r="H52" s="28"/>
      <c r="I52" s="28"/>
      <c r="J52" s="28"/>
      <c r="K52" s="28"/>
      <c r="L52" s="28"/>
      <c r="M52" s="28"/>
      <c r="N52" s="28"/>
      <c r="O52" s="28"/>
    </row>
    <row r="53" spans="1:15" ht="12.75" customHeight="1" x14ac:dyDescent="0.35">
      <c r="A53" s="28"/>
      <c r="B53" s="28"/>
      <c r="C53" s="28"/>
      <c r="D53" s="28" t="s">
        <v>3903</v>
      </c>
      <c r="E53" s="28"/>
      <c r="F53" s="28"/>
      <c r="G53" s="28"/>
      <c r="H53" s="28"/>
      <c r="I53" s="28"/>
      <c r="J53" s="28"/>
      <c r="K53" s="28"/>
      <c r="L53" s="28"/>
      <c r="M53" s="28"/>
      <c r="N53" s="28"/>
      <c r="O53" s="28"/>
    </row>
    <row r="54" spans="1:15" ht="12.75" customHeight="1" x14ac:dyDescent="0.35">
      <c r="A54" s="28"/>
      <c r="B54" s="28"/>
      <c r="C54" s="28"/>
      <c r="D54" s="28" t="s">
        <v>3904</v>
      </c>
      <c r="E54" s="28"/>
      <c r="F54" s="28"/>
      <c r="G54" s="28"/>
      <c r="H54" s="28"/>
      <c r="I54" s="28"/>
      <c r="J54" s="28"/>
      <c r="K54" s="28"/>
      <c r="L54" s="28"/>
      <c r="M54" s="28"/>
      <c r="N54" s="28"/>
      <c r="O54" s="28"/>
    </row>
    <row r="55" spans="1:15" ht="12.75" customHeight="1" x14ac:dyDescent="0.35">
      <c r="A55" s="28"/>
      <c r="B55" s="28"/>
      <c r="C55" s="28"/>
      <c r="D55" s="28" t="s">
        <v>3899</v>
      </c>
      <c r="E55" s="28"/>
      <c r="F55" s="28"/>
      <c r="G55" s="28"/>
      <c r="H55" s="28"/>
      <c r="I55" s="28"/>
      <c r="J55" s="28"/>
      <c r="K55" s="28"/>
      <c r="L55" s="28"/>
      <c r="M55" s="28"/>
      <c r="N55" s="28"/>
      <c r="O55" s="28"/>
    </row>
    <row r="56" spans="1:15" ht="12.75" customHeight="1" x14ac:dyDescent="0.35">
      <c r="A56" s="28"/>
      <c r="B56" s="28"/>
      <c r="C56" s="28"/>
      <c r="D56" s="28"/>
      <c r="E56" s="28"/>
      <c r="F56" s="28"/>
      <c r="G56" s="28"/>
      <c r="H56" s="28"/>
      <c r="I56" s="28"/>
      <c r="J56" s="28"/>
      <c r="K56" s="28"/>
      <c r="L56" s="28"/>
      <c r="M56" s="28"/>
      <c r="N56" s="28"/>
      <c r="O56" s="28"/>
    </row>
    <row r="57" spans="1:15" ht="12.75" customHeight="1" x14ac:dyDescent="0.35">
      <c r="A57" s="28" t="s">
        <v>3905</v>
      </c>
      <c r="B57" s="28"/>
      <c r="C57" s="28"/>
      <c r="D57" s="28" t="s">
        <v>3906</v>
      </c>
      <c r="E57" s="28"/>
      <c r="F57" s="28"/>
      <c r="G57" s="28"/>
      <c r="H57" s="28"/>
      <c r="I57" s="28"/>
      <c r="J57" s="28"/>
      <c r="K57" s="28"/>
      <c r="L57" s="28"/>
      <c r="M57" s="28"/>
      <c r="N57" s="28"/>
      <c r="O57" s="28"/>
    </row>
    <row r="58" spans="1:15" ht="12.75" customHeight="1" x14ac:dyDescent="0.35">
      <c r="A58" s="28" t="s">
        <v>3907</v>
      </c>
      <c r="B58" s="28"/>
      <c r="C58" s="28"/>
      <c r="D58" s="111" t="s">
        <v>3908</v>
      </c>
      <c r="E58" s="111"/>
      <c r="F58" s="112"/>
      <c r="G58" s="2"/>
      <c r="H58" s="2"/>
      <c r="K58" s="28"/>
      <c r="L58" s="28"/>
      <c r="M58" s="28"/>
      <c r="N58" s="28"/>
      <c r="O58" s="28"/>
    </row>
    <row r="59" spans="1:15" ht="12.75" customHeight="1" x14ac:dyDescent="0.35">
      <c r="A59" s="28"/>
      <c r="B59" s="28"/>
      <c r="C59" s="28"/>
      <c r="D59" s="111"/>
      <c r="E59" s="111"/>
      <c r="F59" s="112"/>
      <c r="G59" s="2"/>
      <c r="H59" s="2"/>
      <c r="I59" s="28"/>
      <c r="J59" s="28"/>
      <c r="K59" s="28"/>
      <c r="L59" s="28"/>
      <c r="M59" s="28"/>
      <c r="N59" s="28"/>
      <c r="O59" s="28"/>
    </row>
    <row r="60" spans="1:15" ht="12.75" customHeight="1" x14ac:dyDescent="0.35">
      <c r="A60" s="28"/>
      <c r="B60" s="28"/>
      <c r="C60" s="28"/>
      <c r="D60" s="6" t="s">
        <v>3909</v>
      </c>
      <c r="E60" s="6"/>
      <c r="F60" s="7"/>
      <c r="G60" s="1"/>
      <c r="H60" s="6" t="s">
        <v>3910</v>
      </c>
      <c r="I60" s="28"/>
      <c r="J60" s="28"/>
      <c r="K60" s="28"/>
      <c r="L60" s="28"/>
      <c r="M60" s="28"/>
      <c r="N60" s="28"/>
      <c r="O60" s="28"/>
    </row>
    <row r="61" spans="1:15" ht="12.75" customHeight="1" x14ac:dyDescent="0.35">
      <c r="A61" s="28"/>
      <c r="B61" s="28"/>
      <c r="C61" s="28"/>
      <c r="D61" s="6"/>
      <c r="E61" s="6"/>
      <c r="F61" s="7"/>
      <c r="G61" s="1"/>
      <c r="H61" s="6"/>
      <c r="I61" s="28"/>
      <c r="J61" s="28"/>
      <c r="K61" s="28"/>
      <c r="L61" s="28"/>
      <c r="M61" s="28"/>
      <c r="N61" s="28"/>
      <c r="O61" s="28"/>
    </row>
    <row r="62" spans="1:15" ht="12.75" customHeight="1" x14ac:dyDescent="0.35">
      <c r="A62" s="28"/>
      <c r="B62" s="28"/>
      <c r="C62" s="28"/>
      <c r="D62" s="6" t="s">
        <v>2779</v>
      </c>
      <c r="E62" s="6"/>
      <c r="F62" s="7"/>
      <c r="G62" s="1"/>
      <c r="H62" s="6"/>
      <c r="I62" s="28"/>
      <c r="J62" s="28"/>
      <c r="K62" s="28"/>
      <c r="L62" s="28"/>
      <c r="M62" s="28"/>
      <c r="N62" s="28"/>
      <c r="O62" s="28"/>
    </row>
    <row r="63" spans="1:15" ht="12.75" customHeight="1" x14ac:dyDescent="0.35">
      <c r="A63" s="28"/>
      <c r="B63" s="28"/>
      <c r="C63" s="28"/>
      <c r="D63" s="6" t="s">
        <v>3911</v>
      </c>
      <c r="E63" s="6"/>
      <c r="F63" s="7"/>
      <c r="G63" s="1"/>
      <c r="H63" s="6"/>
      <c r="I63" s="28"/>
      <c r="J63" s="28"/>
      <c r="K63" s="28"/>
      <c r="L63" s="28"/>
      <c r="M63" s="28"/>
      <c r="N63" s="28"/>
      <c r="O63" s="28"/>
    </row>
    <row r="64" spans="1:15" ht="12.75" customHeight="1" x14ac:dyDescent="0.35">
      <c r="A64" s="28"/>
      <c r="B64" s="28"/>
      <c r="C64" s="28"/>
      <c r="D64" s="6" t="s">
        <v>3912</v>
      </c>
      <c r="E64" s="6"/>
      <c r="F64" s="7"/>
      <c r="G64" s="1"/>
      <c r="H64" s="6"/>
      <c r="I64" s="28"/>
      <c r="J64" s="28"/>
      <c r="K64" s="28"/>
      <c r="L64" s="28"/>
      <c r="M64" s="28"/>
      <c r="N64" s="28"/>
      <c r="O64" s="28"/>
    </row>
    <row r="65" spans="1:15" ht="12.75" customHeight="1" x14ac:dyDescent="0.35">
      <c r="A65" s="28"/>
      <c r="B65" s="28"/>
      <c r="C65" s="28"/>
      <c r="D65" s="6" t="str">
        <f ca="1">IF(ResultControlValue&lt;0,"Arvonalennustappio","Tarkistusarvo")&amp;" (B - A)"</f>
        <v>Tarkistusarvo (B - A)</v>
      </c>
      <c r="E65" s="6"/>
      <c r="F65" s="7"/>
      <c r="G65" s="1"/>
      <c r="H65" s="6"/>
      <c r="I65" s="28"/>
      <c r="J65" s="28"/>
      <c r="K65" s="28"/>
      <c r="L65" s="28"/>
      <c r="M65" s="28"/>
      <c r="N65" s="28"/>
      <c r="O65" s="28"/>
    </row>
    <row r="66" spans="1:15" ht="12.75" customHeight="1" x14ac:dyDescent="0.35">
      <c r="A66" s="28"/>
      <c r="B66" s="28"/>
      <c r="C66" s="28"/>
      <c r="D66" s="6"/>
      <c r="E66" s="6"/>
      <c r="F66" s="7"/>
      <c r="G66" s="1"/>
      <c r="H66" s="6"/>
      <c r="I66" s="28"/>
      <c r="J66" s="28"/>
      <c r="K66" s="28"/>
      <c r="L66" s="28"/>
      <c r="M66" s="28"/>
      <c r="N66" s="28"/>
      <c r="O66" s="28"/>
    </row>
    <row r="67" spans="1:15" ht="12.75" customHeight="1" x14ac:dyDescent="0.35">
      <c r="A67" s="28"/>
      <c r="B67" s="28"/>
      <c r="C67" s="28"/>
      <c r="D67" s="28" t="s">
        <v>3913</v>
      </c>
      <c r="E67" s="28"/>
      <c r="F67" s="28"/>
      <c r="G67" s="28"/>
      <c r="H67" s="28"/>
      <c r="I67" s="28"/>
      <c r="J67" s="28"/>
      <c r="K67" s="28"/>
      <c r="L67" s="28"/>
      <c r="M67" s="28"/>
      <c r="N67" s="28"/>
      <c r="O67" s="28"/>
    </row>
    <row r="68" spans="1:15" ht="12.75" customHeight="1" x14ac:dyDescent="0.35">
      <c r="A68" s="28"/>
      <c r="B68" s="28"/>
      <c r="C68" s="28"/>
      <c r="D68" s="105" t="s">
        <v>3914</v>
      </c>
      <c r="E68" s="28"/>
      <c r="F68" s="28"/>
      <c r="G68" s="28"/>
      <c r="H68" s="28"/>
      <c r="I68" s="28"/>
      <c r="J68" s="28"/>
      <c r="K68" s="28"/>
      <c r="L68" s="28"/>
      <c r="M68" s="28"/>
      <c r="N68" s="28"/>
      <c r="O68" s="28"/>
    </row>
    <row r="69" spans="1:15" ht="12.75" customHeight="1" x14ac:dyDescent="0.35">
      <c r="A69" s="28"/>
      <c r="B69" s="28"/>
      <c r="C69" s="28"/>
      <c r="D69" s="28" t="s">
        <v>3915</v>
      </c>
      <c r="E69" s="28"/>
      <c r="F69" s="28"/>
      <c r="G69" s="28"/>
      <c r="H69" s="28"/>
      <c r="I69" s="28"/>
      <c r="J69" s="28"/>
      <c r="K69" s="28"/>
      <c r="L69" s="28"/>
      <c r="M69" s="28"/>
      <c r="N69" s="28"/>
      <c r="O69" s="28"/>
    </row>
    <row r="70" spans="1:15" ht="12.75" customHeight="1" x14ac:dyDescent="0.35">
      <c r="A70" s="28"/>
      <c r="B70" s="28"/>
      <c r="C70" s="28"/>
      <c r="D70" s="28" t="s">
        <v>3916</v>
      </c>
      <c r="E70" s="28"/>
      <c r="F70" s="28"/>
      <c r="G70" s="28"/>
      <c r="H70" s="28"/>
      <c r="I70" s="28"/>
      <c r="J70" s="28"/>
      <c r="K70" s="28"/>
      <c r="L70" s="28"/>
      <c r="M70" s="28"/>
      <c r="N70" s="28"/>
      <c r="O70" s="28"/>
    </row>
    <row r="71" spans="1:15" ht="12.75" customHeight="1" x14ac:dyDescent="0.35">
      <c r="A71" s="28"/>
      <c r="B71" s="28"/>
      <c r="C71" s="28"/>
      <c r="D71" s="28"/>
      <c r="E71" s="28"/>
      <c r="F71" s="28"/>
      <c r="G71" s="28"/>
      <c r="H71" s="28"/>
      <c r="I71" s="28"/>
      <c r="J71" s="28"/>
      <c r="K71" s="28"/>
      <c r="L71" s="28"/>
      <c r="M71" s="28"/>
      <c r="N71" s="28"/>
      <c r="O71" s="28"/>
    </row>
    <row r="72" spans="1:15" ht="12.75" customHeight="1" x14ac:dyDescent="0.35">
      <c r="A72" s="28"/>
      <c r="B72" s="28"/>
      <c r="C72" s="28"/>
      <c r="D72" s="28" t="s">
        <v>3917</v>
      </c>
      <c r="E72" s="28"/>
      <c r="F72" s="28"/>
      <c r="G72" s="28"/>
      <c r="H72" s="28" t="s">
        <v>3918</v>
      </c>
      <c r="I72" s="28"/>
      <c r="J72" s="28"/>
      <c r="K72" s="28"/>
      <c r="L72" s="28"/>
      <c r="M72" s="28"/>
      <c r="N72" s="28"/>
      <c r="O72" s="28"/>
    </row>
    <row r="73" spans="1:15" ht="12.75" customHeight="1" x14ac:dyDescent="0.35">
      <c r="A73" s="28"/>
      <c r="B73" s="28"/>
      <c r="C73" s="28"/>
      <c r="D73" s="28" t="str">
        <f ca="1">"Kumulatiivinen diskontattu vapaa kassavirta "&amp;IF(ISERROR($I$131),"",OFFSET(Calculations!$G$11,0,CalcPointPB))&amp;"-&gt;"&amp;IF(ISERROR(D77),F77,D77)</f>
        <v>Kumulatiivinen diskontattu vapaa kassavirta 9/2019-&gt;</v>
      </c>
      <c r="E73" s="28"/>
      <c r="F73" s="28"/>
      <c r="G73" s="28"/>
      <c r="H73" s="28"/>
      <c r="I73" s="28"/>
      <c r="J73" s="28"/>
      <c r="K73" s="28"/>
      <c r="L73" s="28"/>
      <c r="M73" s="28"/>
      <c r="N73" s="28"/>
      <c r="O73" s="28"/>
    </row>
    <row r="74" spans="1:15" ht="12.75" customHeight="1" x14ac:dyDescent="0.35">
      <c r="A74" s="28"/>
      <c r="B74" s="28"/>
      <c r="C74" s="28"/>
      <c r="D74" s="28" t="str">
        <f ca="1">"Kumulatiivinen diskontattu vapaa kassavirta "&amp;IF(ISERROR($I$131),"",OFFSET(Calculations!$G$11,0,CalcPointPB))&amp;"-&gt;"&amp;IF(ISERROR(E77),F77,IF(E77=D77,F77,E77))</f>
        <v>Kumulatiivinen diskontattu vapaa kassavirta 9/2019-&gt;</v>
      </c>
      <c r="E74" s="28"/>
      <c r="F74" s="28"/>
      <c r="G74" s="28"/>
      <c r="H74" s="28"/>
      <c r="I74" s="28"/>
      <c r="J74" s="28"/>
      <c r="K74" s="28"/>
      <c r="L74" s="28"/>
      <c r="M74" s="28"/>
      <c r="N74" s="28"/>
      <c r="O74" s="28"/>
    </row>
    <row r="75" spans="1:15" ht="12.75" customHeight="1" x14ac:dyDescent="0.35">
      <c r="A75" s="28"/>
      <c r="B75" s="28"/>
      <c r="C75" s="28"/>
      <c r="D75" s="28" t="s">
        <v>3919</v>
      </c>
      <c r="E75" s="28"/>
      <c r="F75" s="28"/>
      <c r="G75" s="28"/>
      <c r="H75" s="28"/>
      <c r="I75" s="28"/>
      <c r="J75" s="28"/>
      <c r="K75" s="28"/>
      <c r="L75" s="28"/>
      <c r="M75" s="28"/>
      <c r="N75" s="28"/>
      <c r="O75" s="28"/>
    </row>
    <row r="76" spans="1:15" ht="12.75" customHeight="1" x14ac:dyDescent="0.35">
      <c r="A76" s="28"/>
      <c r="B76" s="28"/>
      <c r="C76" s="28"/>
      <c r="D76" s="28" t="s">
        <v>3920</v>
      </c>
      <c r="E76" s="28"/>
      <c r="F76" s="28"/>
      <c r="G76" s="28"/>
      <c r="H76" s="28" t="s">
        <v>3921</v>
      </c>
      <c r="I76" s="28"/>
      <c r="J76" s="28"/>
      <c r="K76" s="28"/>
      <c r="L76" s="28"/>
      <c r="M76" s="28"/>
      <c r="N76" s="28"/>
      <c r="O76" s="28"/>
    </row>
    <row r="77" spans="1:15" ht="12.75" customHeight="1" x14ac:dyDescent="0.35">
      <c r="A77" s="28"/>
      <c r="B77" s="28"/>
      <c r="C77" s="28"/>
      <c r="D77" s="28"/>
      <c r="E77" s="28"/>
      <c r="F77" s="28"/>
      <c r="G77" s="28"/>
      <c r="H77" s="28"/>
      <c r="I77" s="28"/>
      <c r="J77" s="28"/>
      <c r="K77" s="28"/>
      <c r="L77" s="28"/>
      <c r="M77" s="28"/>
      <c r="N77" s="28"/>
      <c r="O77" s="28"/>
    </row>
    <row r="78" spans="1:15" ht="12.75" customHeight="1" x14ac:dyDescent="0.35">
      <c r="A78" s="28"/>
      <c r="B78" s="28"/>
      <c r="C78" s="28"/>
      <c r="D78" s="28" t="s">
        <v>3922</v>
      </c>
      <c r="E78" s="28"/>
      <c r="F78" s="28"/>
      <c r="G78" s="28"/>
      <c r="H78" s="28" t="str">
        <f>"Keskim. "&amp;IF(NOT(ISERROR($N78)),$N78&amp;" vuotta","-")</f>
        <v>Keskim.  vuotta</v>
      </c>
      <c r="I78" s="28"/>
      <c r="J78" s="28"/>
      <c r="K78" s="28"/>
      <c r="L78" s="28"/>
      <c r="M78" s="28"/>
      <c r="N78" s="28"/>
      <c r="O78" s="28"/>
    </row>
    <row r="79" spans="1:15" ht="12.75" customHeight="1" x14ac:dyDescent="0.35">
      <c r="A79" s="28"/>
      <c r="B79" s="28"/>
      <c r="C79" s="28"/>
      <c r="D79" s="28" t="s">
        <v>2654</v>
      </c>
      <c r="E79" s="28"/>
      <c r="F79" s="28"/>
      <c r="G79" s="28"/>
      <c r="H79" s="28" t="str">
        <f>"Keskim. "&amp;IF(NOT(ISERROR($N79)),$N79&amp;" vuotta","-")</f>
        <v>Keskim.  vuotta</v>
      </c>
      <c r="I79" s="28"/>
      <c r="J79" s="28"/>
      <c r="K79" s="28"/>
      <c r="L79" s="28"/>
      <c r="M79" s="28"/>
      <c r="N79" s="28"/>
      <c r="O79" s="28"/>
    </row>
    <row r="80" spans="1:15" ht="12.75" customHeight="1" x14ac:dyDescent="0.35">
      <c r="A80" s="28"/>
      <c r="B80" s="28"/>
      <c r="C80" s="28"/>
      <c r="D80" s="28"/>
      <c r="E80" s="28"/>
      <c r="F80" s="28"/>
      <c r="G80" s="28"/>
      <c r="H80" s="28"/>
      <c r="I80" s="28"/>
      <c r="J80" s="28"/>
      <c r="K80" s="28"/>
      <c r="L80" s="28"/>
      <c r="M80" s="28"/>
      <c r="N80" s="28"/>
      <c r="O80" s="28"/>
    </row>
    <row r="81" spans="1:15" ht="12.75" customHeight="1" x14ac:dyDescent="0.35">
      <c r="A81" s="28"/>
      <c r="B81" s="28"/>
      <c r="C81" s="28"/>
      <c r="D81" s="28" t="s">
        <v>2655</v>
      </c>
      <c r="E81" s="111"/>
      <c r="F81" s="112"/>
      <c r="G81" s="2"/>
      <c r="H81" s="2"/>
      <c r="I81" s="28"/>
      <c r="J81" s="28"/>
      <c r="K81" s="28"/>
      <c r="L81" s="28"/>
      <c r="M81" s="28"/>
      <c r="N81" s="28"/>
      <c r="O81" s="28"/>
    </row>
    <row r="82" spans="1:15" ht="12.75" customHeight="1" x14ac:dyDescent="0.35">
      <c r="A82" s="28"/>
      <c r="B82" s="28"/>
      <c r="C82" s="28"/>
      <c r="D82" s="28"/>
      <c r="E82" s="111"/>
      <c r="F82" s="112"/>
      <c r="G82" s="2"/>
      <c r="H82" s="2"/>
      <c r="I82" s="28"/>
      <c r="J82" s="28"/>
      <c r="K82" s="28"/>
      <c r="L82" s="28"/>
      <c r="M82" s="28"/>
      <c r="N82" s="28"/>
      <c r="O82" s="28"/>
    </row>
    <row r="83" spans="1:15" ht="12.75" customHeight="1" x14ac:dyDescent="0.35">
      <c r="A83" s="28"/>
      <c r="B83" s="28"/>
      <c r="C83" s="28"/>
      <c r="D83" s="28" t="s">
        <v>3923</v>
      </c>
      <c r="E83" s="111"/>
      <c r="F83" s="112"/>
      <c r="G83" s="2"/>
      <c r="H83" s="2"/>
      <c r="I83" s="28"/>
      <c r="J83" s="28"/>
      <c r="K83" s="28"/>
      <c r="L83" s="28"/>
      <c r="M83" s="28"/>
      <c r="N83" s="28"/>
      <c r="O83" s="28"/>
    </row>
    <row r="84" spans="1:15" ht="12.75" customHeight="1" x14ac:dyDescent="0.35">
      <c r="A84" s="28"/>
      <c r="B84" s="28"/>
      <c r="C84" s="28"/>
      <c r="D84" s="28" t="s">
        <v>3924</v>
      </c>
      <c r="E84" s="111"/>
      <c r="F84" s="112"/>
      <c r="G84" s="2"/>
      <c r="H84" s="2"/>
      <c r="I84" s="28"/>
      <c r="J84" s="28"/>
      <c r="K84" s="28"/>
      <c r="L84" s="28"/>
      <c r="M84" s="28"/>
      <c r="N84" s="28"/>
      <c r="O84" s="28"/>
    </row>
    <row r="85" spans="1:15" ht="12.75" customHeight="1" x14ac:dyDescent="0.35">
      <c r="A85" s="28"/>
      <c r="B85" s="28"/>
      <c r="C85" s="28"/>
      <c r="D85" s="28"/>
      <c r="E85" s="111"/>
      <c r="F85" s="112"/>
      <c r="G85" s="2"/>
      <c r="H85" s="2"/>
      <c r="I85" s="28"/>
      <c r="J85" s="28"/>
      <c r="K85" s="28"/>
      <c r="L85" s="28"/>
      <c r="M85" s="28"/>
      <c r="N85" s="28"/>
      <c r="O85" s="28"/>
    </row>
    <row r="86" spans="1:15" ht="12.75" customHeight="1" x14ac:dyDescent="0.35">
      <c r="A86" s="28"/>
      <c r="B86" s="28"/>
      <c r="C86" s="28"/>
      <c r="D86" s="28" t="s">
        <v>3925</v>
      </c>
      <c r="E86" s="111"/>
      <c r="F86" s="112"/>
      <c r="G86" s="2"/>
      <c r="H86" s="2"/>
      <c r="I86" s="28"/>
      <c r="J86" s="28"/>
      <c r="K86" s="28"/>
      <c r="L86" s="28"/>
      <c r="M86" s="28"/>
      <c r="N86" s="28"/>
      <c r="O86" s="28"/>
    </row>
    <row r="87" spans="1:15" ht="12.75" customHeight="1" x14ac:dyDescent="0.35">
      <c r="A87" s="28"/>
      <c r="B87" s="28"/>
      <c r="C87" s="28"/>
      <c r="D87" s="28" t="str">
        <f ca="1">"Kum. diskontattu taloudellinen lisäarvo "&amp;IF(ISERROR($I$132),"",OFFSET(Calculations!$G$11,0,CalcPointPB))&amp;"-&gt;"&amp;IF(ISERROR($D$90),$F$90,$D$90)</f>
        <v>Kum. diskontattu taloudellinen lisäarvo 9/2019-&gt;</v>
      </c>
      <c r="E87" s="111"/>
      <c r="F87" s="112"/>
      <c r="G87" s="2"/>
      <c r="H87" s="2"/>
      <c r="I87" s="28"/>
      <c r="J87" s="28"/>
      <c r="K87" s="28"/>
      <c r="L87" s="28"/>
      <c r="M87" s="28"/>
      <c r="N87" s="28"/>
      <c r="O87" s="28"/>
    </row>
    <row r="88" spans="1:15" ht="12.75" customHeight="1" x14ac:dyDescent="0.35">
      <c r="A88" s="28"/>
      <c r="B88" s="28"/>
      <c r="C88" s="28"/>
      <c r="D88" s="28" t="str">
        <f ca="1">"Kum. diskontattu taloudellinen lisäarvo "&amp;IF(ISERROR($I$132),"",OFFSET(Calculations!$G$11,0,CalcPointPB))&amp;"-&gt;"&amp;IF(ISERROR($E$90),$F$90,IF($E$90=$D$90,$F$90,$E$90))</f>
        <v>Kum. diskontattu taloudellinen lisäarvo 9/2019-&gt;</v>
      </c>
      <c r="E88" s="111"/>
      <c r="F88" s="112"/>
      <c r="G88" s="2"/>
      <c r="H88" s="2"/>
      <c r="I88" s="28"/>
      <c r="J88" s="28"/>
      <c r="K88" s="28"/>
      <c r="L88" s="28"/>
      <c r="M88" s="28"/>
      <c r="N88" s="28"/>
      <c r="O88" s="28"/>
    </row>
    <row r="89" spans="1:15" ht="12.75" customHeight="1" x14ac:dyDescent="0.35">
      <c r="A89" s="28"/>
      <c r="B89" s="28"/>
      <c r="C89" s="28"/>
      <c r="D89" s="28" t="s">
        <v>3919</v>
      </c>
      <c r="E89" s="111"/>
      <c r="F89" s="112"/>
      <c r="G89" s="2"/>
      <c r="H89" s="2"/>
      <c r="I89" s="28"/>
      <c r="J89" s="28"/>
      <c r="K89" s="28"/>
      <c r="L89" s="28"/>
      <c r="M89" s="28"/>
      <c r="N89" s="28"/>
      <c r="O89" s="28"/>
    </row>
    <row r="90" spans="1:15" ht="12.75" customHeight="1" x14ac:dyDescent="0.35">
      <c r="A90" s="28"/>
      <c r="B90" s="28"/>
      <c r="C90" s="28"/>
      <c r="D90" s="28"/>
      <c r="E90" s="111"/>
      <c r="F90" s="112"/>
      <c r="G90" s="2"/>
      <c r="H90" s="2"/>
      <c r="I90" s="28"/>
      <c r="J90" s="28"/>
      <c r="K90" s="28"/>
      <c r="L90" s="28"/>
      <c r="M90" s="28"/>
      <c r="N90" s="28"/>
      <c r="O90" s="28"/>
    </row>
    <row r="91" spans="1:15" ht="12.75" customHeight="1" x14ac:dyDescent="0.35">
      <c r="A91" s="28"/>
      <c r="B91" s="28"/>
      <c r="C91" s="28"/>
      <c r="D91" s="28" t="s">
        <v>3926</v>
      </c>
      <c r="E91" s="28"/>
      <c r="F91" s="28"/>
      <c r="G91" s="28"/>
      <c r="H91" s="28"/>
      <c r="I91" s="28"/>
      <c r="J91" s="28"/>
      <c r="K91" s="28"/>
      <c r="L91" s="28"/>
      <c r="M91" s="28"/>
      <c r="N91" s="28"/>
      <c r="O91" s="28"/>
    </row>
    <row r="92" spans="1:15" ht="12.75" customHeight="1" x14ac:dyDescent="0.35">
      <c r="A92" s="28"/>
      <c r="B92" s="28"/>
      <c r="C92" s="28"/>
      <c r="D92" s="28"/>
      <c r="E92" s="28"/>
      <c r="F92" s="28"/>
      <c r="G92" s="28"/>
      <c r="H92" s="28"/>
      <c r="I92" s="28"/>
      <c r="J92" s="28"/>
      <c r="K92" s="28"/>
      <c r="L92" s="28"/>
      <c r="M92" s="28"/>
      <c r="N92" s="28"/>
      <c r="O92" s="28"/>
    </row>
    <row r="93" spans="1:15" ht="12.75" customHeight="1" x14ac:dyDescent="0.35">
      <c r="A93" s="28"/>
      <c r="B93" s="28"/>
      <c r="C93" s="28"/>
      <c r="D93" s="28" t="s">
        <v>3927</v>
      </c>
      <c r="E93" s="28"/>
      <c r="F93" s="28"/>
      <c r="G93" s="28"/>
      <c r="H93" s="28"/>
      <c r="I93" s="28"/>
      <c r="J93" s="28"/>
      <c r="K93" s="28"/>
      <c r="L93" s="28"/>
      <c r="M93" s="28"/>
      <c r="N93" s="28"/>
      <c r="O93" s="28"/>
    </row>
    <row r="94" spans="1:15" ht="12.75" customHeight="1" x14ac:dyDescent="0.35">
      <c r="A94" s="28"/>
      <c r="B94" s="28"/>
      <c r="C94" s="28"/>
      <c r="D94" s="28"/>
      <c r="E94" s="28"/>
      <c r="F94" s="28"/>
      <c r="G94" s="28"/>
      <c r="H94" s="28"/>
      <c r="I94" s="28"/>
      <c r="J94" s="28"/>
      <c r="K94" s="28"/>
      <c r="L94" s="28"/>
      <c r="M94" s="28"/>
      <c r="N94" s="28"/>
      <c r="O94" s="28"/>
    </row>
    <row r="95" spans="1:15" ht="12.75" customHeight="1" x14ac:dyDescent="0.35">
      <c r="A95" s="28"/>
      <c r="B95" s="28"/>
      <c r="C95" s="28"/>
      <c r="D95" s="28" t="s">
        <v>3928</v>
      </c>
      <c r="E95" s="28"/>
      <c r="F95" s="28"/>
      <c r="G95" s="28"/>
      <c r="H95" s="28"/>
      <c r="I95" s="28"/>
      <c r="J95" s="28"/>
      <c r="K95" s="28"/>
      <c r="L95" s="28"/>
      <c r="M95" s="28"/>
      <c r="N95" s="28"/>
      <c r="O95" s="28"/>
    </row>
    <row r="96" spans="1:15" ht="12.75" customHeight="1" x14ac:dyDescent="0.35">
      <c r="A96" s="28"/>
      <c r="B96" s="28"/>
      <c r="C96" s="28"/>
      <c r="D96" s="28" t="s">
        <v>3929</v>
      </c>
      <c r="E96" s="28"/>
      <c r="F96" s="28"/>
      <c r="G96" s="28"/>
      <c r="H96" s="28"/>
      <c r="I96" s="28"/>
      <c r="J96" s="28"/>
      <c r="K96" s="28"/>
      <c r="L96" s="28"/>
      <c r="M96" s="28"/>
      <c r="N96" s="28"/>
      <c r="O96" s="28"/>
    </row>
    <row r="97" spans="1:15" ht="12.75" customHeight="1" x14ac:dyDescent="0.35">
      <c r="A97" s="28"/>
      <c r="B97" s="28"/>
      <c r="C97" s="28"/>
      <c r="D97" s="28"/>
      <c r="E97" s="28"/>
      <c r="F97" s="28"/>
      <c r="G97" s="28"/>
      <c r="H97" s="28"/>
      <c r="I97" s="28"/>
      <c r="J97" s="28"/>
      <c r="K97" s="28"/>
      <c r="L97" s="28"/>
      <c r="M97" s="28"/>
      <c r="N97" s="28"/>
      <c r="O97" s="28"/>
    </row>
    <row r="98" spans="1:15" ht="12.75" customHeight="1" x14ac:dyDescent="0.35">
      <c r="A98" s="28"/>
      <c r="B98" s="28"/>
      <c r="C98" s="28"/>
      <c r="D98" s="28" t="str">
        <f>IF(PerpetuityLimitationEquity=1,"Ikuisuusarvon (Perpetuity)","Extrapoloinnin")&amp;" peruste"</f>
        <v>Ikuisuusarvon (Perpetuity) peruste</v>
      </c>
      <c r="E98" s="28"/>
      <c r="F98" s="28"/>
      <c r="G98" s="28"/>
      <c r="H98" s="28"/>
      <c r="I98" s="28"/>
      <c r="J98" s="28"/>
      <c r="K98" s="28"/>
      <c r="L98" s="28"/>
      <c r="M98" s="28"/>
      <c r="N98" s="28"/>
      <c r="O98" s="28"/>
    </row>
    <row r="99" spans="1:15" ht="12.75" customHeight="1" x14ac:dyDescent="0.35">
      <c r="A99" s="28"/>
      <c r="B99" s="28"/>
      <c r="C99" s="28"/>
      <c r="D99" s="28"/>
      <c r="E99" s="28"/>
      <c r="F99" s="28"/>
      <c r="G99" s="28"/>
      <c r="H99" s="28"/>
      <c r="I99" s="28"/>
      <c r="J99" s="28"/>
      <c r="K99" s="28"/>
      <c r="L99" s="28"/>
      <c r="M99" s="28"/>
      <c r="N99" s="28"/>
      <c r="O99" s="28"/>
    </row>
    <row r="100" spans="1:15" ht="12.75" customHeight="1" x14ac:dyDescent="0.35">
      <c r="A100" s="28"/>
      <c r="B100" s="28"/>
      <c r="C100" s="28"/>
      <c r="D100" s="28" t="s">
        <v>3888</v>
      </c>
      <c r="E100" s="28"/>
      <c r="F100" s="28"/>
      <c r="G100" s="28"/>
      <c r="H100" s="97" t="s">
        <v>3889</v>
      </c>
      <c r="I100" s="28"/>
      <c r="J100" s="28"/>
      <c r="K100" s="28"/>
      <c r="L100" s="28"/>
      <c r="M100" s="28"/>
      <c r="N100" s="28"/>
      <c r="O100" s="28"/>
    </row>
    <row r="101" spans="1:15" ht="12.75" customHeight="1" x14ac:dyDescent="0.35">
      <c r="A101" s="28"/>
      <c r="B101" s="28"/>
      <c r="C101" s="28"/>
      <c r="D101" s="28"/>
      <c r="E101" s="28"/>
      <c r="F101" s="28"/>
      <c r="G101" s="28"/>
      <c r="H101" s="28"/>
      <c r="I101" s="28"/>
      <c r="J101" s="28"/>
      <c r="K101" s="28"/>
      <c r="L101" s="28"/>
      <c r="M101" s="28"/>
      <c r="N101" s="28"/>
      <c r="O101" s="28"/>
    </row>
    <row r="102" spans="1:15" ht="12.75" customHeight="1" x14ac:dyDescent="0.35">
      <c r="A102" s="28"/>
      <c r="B102" s="28"/>
      <c r="C102" s="28"/>
      <c r="D102" s="28" t="str">
        <f>"      Syötä vuosiarvo"&amp;IF(TRIM($J$5)&lt;&gt;""," ("&amp;$J$5&amp;")","")</f>
        <v xml:space="preserve">      Syötä vuosiarvo</v>
      </c>
      <c r="E102" s="28"/>
      <c r="F102" s="28"/>
      <c r="G102" s="28"/>
      <c r="H102" s="28" t="str">
        <f ca="1">"Perustearvo "&amp;Calculations!$N$627&amp;""</f>
        <v>Perustearvo (12/2024)</v>
      </c>
      <c r="I102" s="28"/>
      <c r="J102" s="28"/>
      <c r="K102" s="28"/>
      <c r="L102" s="28"/>
      <c r="M102" s="28"/>
      <c r="N102" s="28"/>
      <c r="O102" s="28"/>
    </row>
    <row r="103" spans="1:15" ht="12.75" customHeight="1" x14ac:dyDescent="0.35">
      <c r="A103" s="28"/>
      <c r="B103" s="28"/>
      <c r="C103" s="28"/>
      <c r="D103" s="28"/>
      <c r="E103" s="28"/>
      <c r="F103" s="28"/>
      <c r="G103" s="28"/>
      <c r="H103" s="28"/>
      <c r="I103" s="28"/>
      <c r="J103" s="28"/>
      <c r="K103" s="28"/>
      <c r="L103" s="28"/>
      <c r="M103" s="28"/>
      <c r="N103" s="28"/>
      <c r="O103" s="28"/>
    </row>
    <row r="104" spans="1:15" ht="12.75" customHeight="1" x14ac:dyDescent="0.35">
      <c r="A104" s="28"/>
      <c r="B104" s="28"/>
      <c r="C104" s="28"/>
      <c r="D104" s="28" t="str">
        <f>IF(PerpetuityLimitationEquity=1,"Ikuisuusarvon","Extrapoloinnin")&amp;" tyyppi"</f>
        <v>Ikuisuusarvon tyyppi</v>
      </c>
      <c r="E104" s="28"/>
      <c r="F104" s="28"/>
      <c r="G104" s="28"/>
      <c r="H104" s="28" t="s">
        <v>3890</v>
      </c>
      <c r="I104" s="28"/>
      <c r="J104" s="28"/>
      <c r="K104" s="28"/>
      <c r="L104" s="28"/>
      <c r="M104" s="28"/>
      <c r="N104" s="28"/>
      <c r="O104" s="28"/>
    </row>
    <row r="105" spans="1:15" ht="12.75" customHeight="1" x14ac:dyDescent="0.35">
      <c r="A105" s="28"/>
      <c r="B105" s="28"/>
      <c r="C105" s="28"/>
      <c r="D105" s="28"/>
      <c r="E105" s="28"/>
      <c r="F105" s="28"/>
      <c r="G105" s="28"/>
      <c r="H105" s="28"/>
      <c r="I105" s="28"/>
      <c r="J105" s="28"/>
      <c r="K105" s="28"/>
      <c r="L105" s="28"/>
      <c r="M105" s="28"/>
      <c r="N105" s="28"/>
      <c r="O105" s="28"/>
    </row>
    <row r="106" spans="1:15" ht="12.75" customHeight="1" x14ac:dyDescent="0.35">
      <c r="A106" s="28"/>
      <c r="B106" s="28"/>
      <c r="C106" s="28"/>
      <c r="D106" s="28" t="s">
        <v>3891</v>
      </c>
      <c r="E106" s="28"/>
      <c r="F106" s="28"/>
      <c r="G106" s="28"/>
      <c r="H106" s="28" t="str">
        <f ca="1">"Arvo "&amp;Calculations!$N$627&amp;""</f>
        <v>Arvo (12/2024)</v>
      </c>
      <c r="I106" s="28"/>
      <c r="J106" s="28"/>
      <c r="K106" s="28"/>
      <c r="L106" s="28"/>
      <c r="M106" s="28"/>
      <c r="N106" s="28"/>
      <c r="O106" s="28"/>
    </row>
    <row r="107" spans="1:15" ht="12.75" customHeight="1" x14ac:dyDescent="0.35">
      <c r="A107" s="28"/>
      <c r="B107" s="28"/>
      <c r="C107" s="28"/>
      <c r="D107" s="28"/>
      <c r="E107" s="28"/>
      <c r="F107" s="28"/>
      <c r="G107" s="28"/>
      <c r="H107" s="28"/>
      <c r="I107" s="28"/>
      <c r="J107" s="28"/>
      <c r="K107" s="28"/>
      <c r="L107" s="28"/>
      <c r="M107" s="28"/>
      <c r="N107" s="28"/>
      <c r="O107" s="28"/>
    </row>
    <row r="108" spans="1:15" ht="12.75" customHeight="1" x14ac:dyDescent="0.35">
      <c r="A108" s="28"/>
      <c r="B108" s="28"/>
      <c r="C108" s="28"/>
      <c r="D108" s="28" t="s">
        <v>3892</v>
      </c>
      <c r="E108" s="28"/>
      <c r="F108" s="28"/>
      <c r="G108" s="28"/>
      <c r="H108" s="28" t="str">
        <f>"Nykyarvo ("&amp;$F$11&amp;")"</f>
        <v>Nykyarvo ()</v>
      </c>
      <c r="I108" s="28"/>
      <c r="J108" s="28"/>
      <c r="K108" s="28"/>
      <c r="L108" s="28"/>
      <c r="M108" s="28"/>
      <c r="N108" s="28"/>
      <c r="O108" s="28"/>
    </row>
    <row r="109" spans="1:15" ht="12.75" customHeight="1" x14ac:dyDescent="0.35">
      <c r="A109" s="28"/>
      <c r="B109" s="28"/>
      <c r="C109" s="28"/>
      <c r="D109" s="28"/>
      <c r="E109" s="28"/>
      <c r="F109" s="28"/>
      <c r="G109" s="28"/>
      <c r="H109" s="28"/>
      <c r="I109" s="28"/>
      <c r="J109" s="28"/>
      <c r="K109" s="28"/>
      <c r="L109" s="28"/>
      <c r="M109" s="28"/>
      <c r="N109" s="28"/>
      <c r="O109" s="28"/>
    </row>
    <row r="110" spans="1:15" ht="12.75" customHeight="1" x14ac:dyDescent="0.35">
      <c r="A110" s="28"/>
      <c r="B110" s="28"/>
      <c r="C110" s="28"/>
      <c r="D110" s="105" t="s">
        <v>3930</v>
      </c>
      <c r="E110" s="28"/>
      <c r="F110" s="28"/>
      <c r="G110" s="28"/>
      <c r="H110" s="28"/>
      <c r="I110" s="28"/>
      <c r="J110" s="28"/>
      <c r="K110" s="28"/>
      <c r="L110" s="28"/>
      <c r="M110" s="28"/>
      <c r="N110" s="28"/>
      <c r="O110" s="28"/>
    </row>
    <row r="111" spans="1:15" ht="12.75" customHeight="1" x14ac:dyDescent="0.35">
      <c r="A111" s="28"/>
      <c r="B111" s="28"/>
      <c r="C111" s="28"/>
      <c r="D111" s="28" t="s">
        <v>3931</v>
      </c>
      <c r="E111" s="28"/>
      <c r="F111" s="28"/>
      <c r="G111" s="28"/>
      <c r="H111" s="28"/>
      <c r="I111" s="28"/>
      <c r="J111" s="28"/>
      <c r="K111" s="28"/>
      <c r="L111" s="28"/>
      <c r="M111" s="28"/>
      <c r="N111" s="28"/>
      <c r="O111" s="28"/>
    </row>
    <row r="112" spans="1:15" ht="12.75" customHeight="1" x14ac:dyDescent="0.35">
      <c r="A112" s="28"/>
      <c r="B112" s="28"/>
      <c r="C112" s="28"/>
      <c r="D112" s="28" t="s">
        <v>3932</v>
      </c>
      <c r="E112" s="28"/>
      <c r="F112" s="28"/>
      <c r="G112" s="28"/>
      <c r="H112" s="28"/>
      <c r="I112" s="28"/>
      <c r="J112" s="28"/>
      <c r="K112" s="28"/>
      <c r="L112" s="28"/>
      <c r="M112" s="28"/>
      <c r="N112" s="28"/>
      <c r="O112" s="28"/>
    </row>
    <row r="113" spans="1:15" ht="12.75" customHeight="1" x14ac:dyDescent="0.35">
      <c r="A113" s="28"/>
      <c r="B113" s="28"/>
      <c r="C113" s="28"/>
      <c r="D113" s="28"/>
      <c r="E113" s="28"/>
      <c r="F113" s="28"/>
      <c r="G113" s="28"/>
      <c r="H113" s="28"/>
      <c r="I113" s="28"/>
      <c r="J113" s="28"/>
      <c r="K113" s="28"/>
      <c r="L113" s="28"/>
      <c r="M113" s="28"/>
      <c r="N113" s="28"/>
      <c r="O113" s="28"/>
    </row>
    <row r="114" spans="1:15" ht="12.75" customHeight="1" x14ac:dyDescent="0.35">
      <c r="A114" s="28"/>
      <c r="B114" s="28"/>
      <c r="C114" s="28"/>
      <c r="D114" s="28" t="s">
        <v>3933</v>
      </c>
      <c r="E114" s="28"/>
      <c r="F114" s="28"/>
      <c r="G114" s="28"/>
      <c r="H114" s="28"/>
      <c r="I114" s="28"/>
      <c r="J114" s="28"/>
      <c r="K114" s="28"/>
      <c r="L114" s="28"/>
      <c r="M114" s="28"/>
      <c r="N114" s="28"/>
      <c r="O114" s="28"/>
    </row>
    <row r="115" spans="1:15" ht="12.75" customHeight="1" x14ac:dyDescent="0.35">
      <c r="A115" s="28"/>
      <c r="B115" s="28"/>
      <c r="C115" s="28"/>
      <c r="D115" s="105" t="s">
        <v>3934</v>
      </c>
      <c r="E115" s="28"/>
      <c r="F115" s="28"/>
      <c r="G115" s="28"/>
      <c r="H115" s="28"/>
      <c r="I115" s="28"/>
      <c r="J115" s="28"/>
      <c r="K115" s="28"/>
      <c r="L115" s="28"/>
      <c r="M115" s="28"/>
      <c r="N115" s="28"/>
      <c r="O115" s="28"/>
    </row>
    <row r="116" spans="1:15" ht="12.75" customHeight="1" x14ac:dyDescent="0.35">
      <c r="A116" s="28"/>
      <c r="B116" s="28"/>
      <c r="C116" s="28"/>
      <c r="D116" s="28" t="s">
        <v>3935</v>
      </c>
      <c r="E116" s="28"/>
      <c r="F116" s="28"/>
      <c r="G116" s="28"/>
      <c r="H116" s="28"/>
      <c r="I116" s="28"/>
      <c r="J116" s="28"/>
      <c r="K116" s="28"/>
      <c r="L116" s="28"/>
      <c r="M116" s="28"/>
      <c r="N116" s="28"/>
      <c r="O116" s="28"/>
    </row>
    <row r="117" spans="1:15" ht="12.75" customHeight="1" x14ac:dyDescent="0.35">
      <c r="A117" s="28"/>
      <c r="B117" s="28"/>
      <c r="C117" s="28"/>
      <c r="D117" s="28"/>
      <c r="E117" s="28"/>
      <c r="F117" s="28"/>
      <c r="G117" s="28"/>
      <c r="H117" s="28"/>
      <c r="I117" s="28"/>
      <c r="J117" s="28"/>
      <c r="K117" s="28"/>
      <c r="L117" s="28"/>
      <c r="M117" s="28"/>
      <c r="N117" s="28"/>
      <c r="O117" s="28"/>
    </row>
    <row r="118" spans="1:15" ht="12.75" customHeight="1" x14ac:dyDescent="0.35">
      <c r="A118" s="28"/>
      <c r="B118" s="28"/>
      <c r="C118" s="28"/>
      <c r="D118" s="28" t="s">
        <v>3936</v>
      </c>
      <c r="E118" s="28"/>
      <c r="F118" s="28"/>
      <c r="G118" s="28"/>
      <c r="H118" s="28" t="s">
        <v>3937</v>
      </c>
      <c r="I118" s="28"/>
      <c r="J118" s="28"/>
      <c r="K118" s="28"/>
      <c r="L118" s="28"/>
      <c r="M118" s="28"/>
      <c r="N118" s="28"/>
      <c r="O118" s="28"/>
    </row>
    <row r="119" spans="1:15" ht="12.75" customHeight="1" x14ac:dyDescent="0.35">
      <c r="A119" s="28"/>
      <c r="B119" s="28"/>
      <c r="C119" s="28"/>
      <c r="D119" s="28" t="str">
        <f ca="1">"Kumulatiivinen diskontattu FCFE "&amp;IF(ISERROR($G$131),"",OFFSET(Calculations!$G$11,0,CalcPointPB))&amp;"-&gt;"&amp;IF(ISERROR($D$123),$F$123,$D$123)</f>
        <v>Kumulatiivinen diskontattu FCFE 9/2019-&gt;</v>
      </c>
      <c r="E119" s="28"/>
      <c r="F119" s="28"/>
      <c r="G119" s="28"/>
      <c r="H119" s="28"/>
      <c r="I119" s="28"/>
      <c r="J119" s="28"/>
      <c r="K119" s="28"/>
      <c r="L119" s="28"/>
      <c r="M119" s="28"/>
      <c r="N119" s="28"/>
      <c r="O119" s="28"/>
    </row>
    <row r="120" spans="1:15" ht="12.75" customHeight="1" x14ac:dyDescent="0.35">
      <c r="A120" s="28"/>
      <c r="B120" s="28"/>
      <c r="C120" s="28"/>
      <c r="D120" s="28" t="str">
        <f ca="1">"Kumulatiivinen diskontattu FCFE "&amp;IF(ISERROR($G$131),"",OFFSET(Calculations!$G$11,0,CalcPointPB))&amp;"-&gt;"&amp;IF(ISERROR($E$123),$F$123,IF($E$123=$D$123,$F$123,$E$123))</f>
        <v>Kumulatiivinen diskontattu FCFE 9/2019-&gt;</v>
      </c>
      <c r="E120" s="28"/>
      <c r="F120" s="28"/>
      <c r="G120" s="28"/>
      <c r="H120" s="28"/>
      <c r="I120" s="28"/>
      <c r="J120" s="28"/>
      <c r="K120" s="28"/>
      <c r="L120" s="28"/>
      <c r="M120" s="28"/>
      <c r="N120" s="28"/>
      <c r="O120" s="28"/>
    </row>
    <row r="121" spans="1:15" ht="12.75" customHeight="1" x14ac:dyDescent="0.35">
      <c r="A121" s="28"/>
      <c r="B121" s="28"/>
      <c r="C121" s="28"/>
      <c r="D121" s="28" t="s">
        <v>3919</v>
      </c>
      <c r="E121" s="28"/>
      <c r="F121" s="28"/>
      <c r="G121" s="28"/>
      <c r="I121" s="28"/>
      <c r="J121" s="28"/>
      <c r="K121" s="28"/>
      <c r="L121" s="28"/>
      <c r="M121" s="28"/>
      <c r="N121" s="28"/>
      <c r="O121" s="28"/>
    </row>
    <row r="122" spans="1:15" ht="12.75" customHeight="1" x14ac:dyDescent="0.35">
      <c r="A122" s="28"/>
      <c r="B122" s="28"/>
      <c r="C122" s="28"/>
      <c r="D122" s="28" t="s">
        <v>3938</v>
      </c>
      <c r="E122" s="28"/>
      <c r="F122" s="28"/>
      <c r="G122" s="28"/>
      <c r="H122" s="28" t="s">
        <v>3939</v>
      </c>
      <c r="I122" s="28"/>
      <c r="J122" s="28"/>
      <c r="K122" s="28"/>
      <c r="L122" s="28"/>
      <c r="M122" s="28"/>
      <c r="N122" s="28"/>
      <c r="O122" s="28"/>
    </row>
    <row r="123" spans="1:15" ht="12.75" customHeight="1" x14ac:dyDescent="0.35">
      <c r="A123" s="28"/>
      <c r="B123" s="28"/>
      <c r="C123" s="28"/>
      <c r="D123" s="28"/>
      <c r="E123" s="28"/>
      <c r="F123" s="28"/>
      <c r="G123" s="28"/>
      <c r="H123" s="28"/>
      <c r="I123" s="28"/>
      <c r="J123" s="28"/>
      <c r="K123" s="28"/>
      <c r="L123" s="28"/>
      <c r="M123" s="28"/>
      <c r="N123" s="28"/>
      <c r="O123" s="28"/>
    </row>
    <row r="124" spans="1:15" ht="12.75" customHeight="1" x14ac:dyDescent="0.35">
      <c r="A124" s="28"/>
      <c r="B124" s="28"/>
      <c r="C124" s="28"/>
      <c r="D124" s="28"/>
      <c r="E124" s="28"/>
      <c r="F124" s="28"/>
      <c r="G124" s="28"/>
      <c r="H124" s="28"/>
      <c r="I124" s="28"/>
      <c r="J124" s="28"/>
      <c r="K124" s="28"/>
      <c r="L124" s="28"/>
      <c r="M124" s="28"/>
      <c r="N124" s="28"/>
      <c r="O124" s="28"/>
    </row>
    <row r="125" spans="1:15" ht="12.75" customHeight="1" x14ac:dyDescent="0.35">
      <c r="A125" s="28"/>
      <c r="B125" s="28"/>
      <c r="C125" s="28"/>
      <c r="D125" s="28" t="s">
        <v>3940</v>
      </c>
      <c r="E125" s="28"/>
      <c r="F125" s="28"/>
      <c r="G125" s="28"/>
      <c r="H125" s="28"/>
      <c r="I125" s="28"/>
      <c r="J125" s="28"/>
      <c r="K125" s="28"/>
      <c r="L125" s="28"/>
      <c r="M125" s="28"/>
      <c r="N125" s="28"/>
      <c r="O125" s="28"/>
    </row>
    <row r="126" spans="1:15" ht="12.75" customHeight="1" x14ac:dyDescent="0.35">
      <c r="A126" s="28"/>
      <c r="B126" s="28"/>
      <c r="C126" s="28"/>
      <c r="D126" s="28" t="s">
        <v>3941</v>
      </c>
      <c r="E126" s="28"/>
      <c r="F126" s="28"/>
      <c r="G126" s="28"/>
      <c r="H126" s="28"/>
      <c r="I126" s="28"/>
      <c r="J126" s="28"/>
      <c r="K126" s="28"/>
      <c r="L126" s="28"/>
      <c r="M126" s="28"/>
      <c r="N126" s="28"/>
      <c r="O126" s="28"/>
    </row>
    <row r="127" spans="1:15" ht="12.75" customHeight="1" x14ac:dyDescent="0.35">
      <c r="A127" s="28"/>
      <c r="B127" s="28"/>
      <c r="C127" s="28"/>
      <c r="D127" s="28"/>
      <c r="E127" s="28"/>
      <c r="F127" s="28"/>
      <c r="G127" s="28"/>
      <c r="H127" s="28"/>
      <c r="I127" s="28"/>
      <c r="J127" s="28"/>
      <c r="K127" s="28"/>
      <c r="L127" s="28"/>
      <c r="M127" s="28"/>
      <c r="N127" s="28"/>
      <c r="O127" s="28"/>
    </row>
    <row r="128" spans="1:15" ht="12.75" customHeight="1" x14ac:dyDescent="0.35">
      <c r="A128" s="28"/>
      <c r="B128" s="28"/>
      <c r="C128" s="28"/>
      <c r="D128" s="28"/>
      <c r="E128" s="28"/>
      <c r="F128" s="28"/>
      <c r="G128" s="28"/>
      <c r="H128" s="28"/>
      <c r="I128" s="28"/>
      <c r="J128" s="28"/>
      <c r="K128" s="28"/>
      <c r="L128" s="28"/>
      <c r="M128" s="28"/>
      <c r="N128" s="28"/>
      <c r="O128" s="28"/>
    </row>
    <row r="129" spans="1:15" ht="12.75" customHeight="1" x14ac:dyDescent="0.35">
      <c r="A129" s="28"/>
      <c r="B129" s="28"/>
      <c r="C129" s="28"/>
      <c r="D129" s="28"/>
      <c r="E129" s="28"/>
      <c r="F129" s="28"/>
      <c r="G129" s="28"/>
      <c r="H129" s="28"/>
      <c r="I129" s="28"/>
      <c r="J129" s="28"/>
      <c r="K129" s="28"/>
      <c r="L129" s="28"/>
      <c r="M129" s="28"/>
      <c r="N129" s="28"/>
      <c r="O129" s="28"/>
    </row>
    <row r="130" spans="1:15" ht="12.75" customHeight="1" x14ac:dyDescent="0.35">
      <c r="A130" s="28"/>
      <c r="B130" s="28"/>
      <c r="C130" s="28"/>
      <c r="D130" s="28" t="s">
        <v>3942</v>
      </c>
      <c r="E130" s="28"/>
      <c r="F130" s="28"/>
      <c r="G130" s="28"/>
      <c r="H130" s="28"/>
      <c r="I130" s="28"/>
      <c r="J130" s="28"/>
      <c r="K130" s="28"/>
      <c r="L130" s="28"/>
      <c r="M130" s="28"/>
      <c r="N130" s="28"/>
      <c r="O130" s="28"/>
    </row>
  </sheetData>
  <printOptions gridLines="1"/>
  <pageMargins left="0.75" right="0.75" top="1" bottom="1" header="0.5" footer="0.5"/>
  <pageSetup paperSize="9" orientation="portrait" r:id="rId1"/>
  <headerFooter>
    <oddHeader>&amp;C&amp;A</oddHeader>
    <oddFooter>&amp;CPage &amp;P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pageSetUpPr autoPageBreaks="0"/>
  </sheetPr>
  <dimension ref="A1:O130"/>
  <sheetViews>
    <sheetView workbookViewId="0">
      <selection activeCell="H24" sqref="H24"/>
    </sheetView>
  </sheetViews>
  <sheetFormatPr defaultColWidth="9.1796875" defaultRowHeight="14.5" x14ac:dyDescent="0.35"/>
  <cols>
    <col min="1" max="2" width="4" style="97" customWidth="1"/>
    <col min="3" max="16384" width="9.1796875" style="97"/>
  </cols>
  <sheetData>
    <row r="1" spans="1:15" ht="12.75" customHeight="1" x14ac:dyDescent="0.35">
      <c r="A1" s="28"/>
      <c r="B1" s="28"/>
      <c r="C1" s="28" t="s">
        <v>3943</v>
      </c>
      <c r="D1" s="28"/>
      <c r="E1" s="28"/>
      <c r="F1" s="28"/>
      <c r="G1" s="28"/>
      <c r="H1" s="28"/>
      <c r="I1" s="28"/>
      <c r="K1" s="28"/>
      <c r="L1" s="28"/>
      <c r="M1" s="28"/>
      <c r="N1" s="28" t="s">
        <v>3944</v>
      </c>
      <c r="O1" s="28" t="s">
        <v>3945</v>
      </c>
    </row>
    <row r="2" spans="1:15" ht="12.75" customHeight="1" x14ac:dyDescent="0.35">
      <c r="A2" s="28"/>
      <c r="B2" s="28"/>
      <c r="C2" s="28"/>
      <c r="D2" s="28"/>
      <c r="E2" s="28"/>
      <c r="F2" s="28"/>
      <c r="G2" s="28"/>
      <c r="H2" s="28"/>
      <c r="I2" s="28"/>
      <c r="J2" s="28"/>
      <c r="K2" s="28"/>
      <c r="L2" s="28"/>
      <c r="M2" s="28"/>
      <c r="N2" s="28"/>
      <c r="O2" s="28"/>
    </row>
    <row r="3" spans="1:15" ht="12.75" customHeight="1" x14ac:dyDescent="0.35">
      <c r="A3" s="28"/>
      <c r="B3" s="28"/>
      <c r="C3" s="28" t="s">
        <v>3946</v>
      </c>
      <c r="D3" s="28"/>
      <c r="E3" s="28"/>
      <c r="F3" s="28"/>
      <c r="G3" s="28"/>
      <c r="H3" s="28"/>
      <c r="I3" s="28"/>
      <c r="J3" s="28"/>
      <c r="K3" s="28"/>
      <c r="L3" s="28"/>
      <c r="M3" s="28"/>
      <c r="N3" s="28"/>
      <c r="O3" s="28"/>
    </row>
    <row r="4" spans="1:15" ht="12.75" customHeight="1" x14ac:dyDescent="0.35">
      <c r="A4" s="28"/>
      <c r="B4" s="28"/>
      <c r="C4" s="28"/>
      <c r="D4" s="28"/>
      <c r="E4" s="28"/>
      <c r="F4" s="28"/>
      <c r="G4" s="28"/>
      <c r="H4" s="28"/>
      <c r="I4" s="28"/>
      <c r="J4" s="28"/>
      <c r="K4" s="28"/>
      <c r="L4" s="28"/>
      <c r="M4" s="28"/>
      <c r="N4" s="28"/>
      <c r="O4" s="28"/>
    </row>
    <row r="5" spans="1:15" ht="12.75" customHeight="1" x14ac:dyDescent="0.35">
      <c r="A5" s="28"/>
      <c r="B5" s="28"/>
      <c r="C5" s="28"/>
      <c r="D5" s="28" t="s">
        <v>3947</v>
      </c>
      <c r="E5" s="28"/>
      <c r="F5" s="28"/>
      <c r="G5" s="28"/>
      <c r="H5" s="28"/>
      <c r="I5" s="28"/>
      <c r="J5" s="28"/>
      <c r="K5" s="28"/>
      <c r="L5" s="28"/>
      <c r="M5" s="28"/>
      <c r="N5" s="28"/>
      <c r="O5" s="28"/>
    </row>
    <row r="6" spans="1:15" ht="12.75" customHeight="1" x14ac:dyDescent="0.35">
      <c r="A6" s="28"/>
      <c r="B6" s="28"/>
      <c r="C6" s="28"/>
      <c r="D6" s="28" t="s">
        <v>3948</v>
      </c>
      <c r="E6" s="28"/>
      <c r="F6" s="28"/>
      <c r="G6" s="28"/>
      <c r="H6" s="28"/>
      <c r="I6" s="28"/>
      <c r="J6" s="28"/>
      <c r="K6" s="28"/>
      <c r="L6" s="28"/>
      <c r="M6" s="28"/>
      <c r="N6" s="28"/>
      <c r="O6" s="28"/>
    </row>
    <row r="7" spans="1:15" ht="12.75" customHeight="1" x14ac:dyDescent="0.35">
      <c r="A7" s="28"/>
      <c r="B7" s="28"/>
      <c r="C7" s="28"/>
      <c r="D7" s="28"/>
      <c r="E7" s="28"/>
      <c r="F7" s="28"/>
      <c r="G7" s="28"/>
      <c r="H7" s="28"/>
      <c r="I7" s="28"/>
      <c r="J7" s="28"/>
      <c r="K7" s="28"/>
      <c r="L7" s="28"/>
      <c r="M7" s="28"/>
      <c r="N7" s="28"/>
      <c r="O7" s="28"/>
    </row>
    <row r="8" spans="1:15" ht="12.75" customHeight="1" x14ac:dyDescent="0.35">
      <c r="A8" s="28"/>
      <c r="B8" s="28"/>
      <c r="C8" s="28"/>
      <c r="D8" s="28" t="s">
        <v>3949</v>
      </c>
      <c r="E8" s="28"/>
      <c r="F8" s="28"/>
      <c r="G8" s="28"/>
      <c r="H8" s="28" t="s">
        <v>3950</v>
      </c>
      <c r="I8" s="28"/>
      <c r="J8" s="28"/>
      <c r="K8" s="28"/>
      <c r="L8" s="28"/>
      <c r="M8" s="28"/>
      <c r="N8" s="28"/>
      <c r="O8" s="28"/>
    </row>
    <row r="9" spans="1:15" ht="12.75" customHeight="1" x14ac:dyDescent="0.35">
      <c r="A9" s="28"/>
      <c r="B9" s="28"/>
      <c r="C9" s="28"/>
      <c r="D9" s="28" t="s">
        <v>3951</v>
      </c>
      <c r="E9" s="28"/>
      <c r="F9" s="28"/>
      <c r="G9" s="28"/>
      <c r="H9" s="28"/>
      <c r="I9" s="28"/>
      <c r="J9" s="28"/>
      <c r="K9" s="28"/>
      <c r="L9" s="28"/>
      <c r="M9" s="28"/>
      <c r="N9" s="28"/>
      <c r="O9" s="28"/>
    </row>
    <row r="10" spans="1:15" ht="12.75" customHeight="1" x14ac:dyDescent="0.35">
      <c r="A10" s="28"/>
      <c r="B10" s="28"/>
      <c r="C10" s="28"/>
      <c r="D10" s="28" t="s">
        <v>3952</v>
      </c>
      <c r="E10" s="28"/>
      <c r="F10" s="28"/>
      <c r="G10" s="28"/>
      <c r="H10" s="28" t="s">
        <v>2417</v>
      </c>
      <c r="I10" s="28"/>
      <c r="J10" s="28"/>
      <c r="K10" s="28"/>
      <c r="L10" s="28"/>
      <c r="M10" s="28"/>
      <c r="N10" s="28"/>
      <c r="O10" s="28"/>
    </row>
    <row r="11" spans="1:15" ht="12.75" customHeight="1" x14ac:dyDescent="0.35">
      <c r="A11" s="28"/>
      <c r="B11" s="28"/>
      <c r="C11" s="28"/>
      <c r="D11" s="28" t="s">
        <v>3953</v>
      </c>
      <c r="E11" s="28"/>
      <c r="F11" s="28"/>
      <c r="G11" s="28"/>
      <c r="H11" s="28" t="str">
        <f>"(I "&amp;IF(CalcPoint=0,"början","slutet")&amp;" av perioden)"</f>
        <v>(I början av perioden)</v>
      </c>
      <c r="I11" s="28"/>
      <c r="J11" s="28"/>
      <c r="K11" s="28"/>
      <c r="L11" s="28"/>
      <c r="M11" s="28"/>
      <c r="N11" s="28"/>
      <c r="O11" s="28"/>
    </row>
    <row r="12" spans="1:15" ht="12.75" customHeight="1" x14ac:dyDescent="0.35">
      <c r="A12" s="28"/>
      <c r="B12" s="28"/>
      <c r="C12" s="28"/>
      <c r="D12" s="28"/>
      <c r="E12" s="28"/>
      <c r="F12" s="28"/>
      <c r="G12" s="28"/>
      <c r="H12" s="28"/>
      <c r="I12" s="28"/>
      <c r="J12" s="28"/>
      <c r="K12" s="28"/>
      <c r="L12" s="28"/>
      <c r="M12" s="28"/>
      <c r="N12" s="28"/>
      <c r="O12" s="28"/>
    </row>
    <row r="13" spans="1:15" ht="12.75" customHeight="1" x14ac:dyDescent="0.35">
      <c r="A13" s="28"/>
      <c r="B13" s="28"/>
      <c r="C13" s="28"/>
      <c r="D13" s="28"/>
      <c r="E13" s="28"/>
      <c r="F13" s="28"/>
      <c r="G13" s="28"/>
      <c r="H13" s="28"/>
      <c r="I13" s="28"/>
      <c r="J13" s="28"/>
      <c r="K13" s="28"/>
      <c r="L13" s="28"/>
      <c r="M13" s="28"/>
      <c r="N13" s="28"/>
      <c r="O13" s="28"/>
    </row>
    <row r="14" spans="1:15" ht="12.75" customHeight="1" x14ac:dyDescent="0.35">
      <c r="A14" s="28"/>
      <c r="B14" s="28"/>
      <c r="C14" s="28"/>
      <c r="D14" s="28" t="s">
        <v>3954</v>
      </c>
      <c r="E14" s="28"/>
      <c r="F14" s="28"/>
      <c r="G14" s="28"/>
      <c r="H14" s="28" t="s">
        <v>3955</v>
      </c>
      <c r="I14" s="28"/>
      <c r="J14" s="28"/>
      <c r="K14" s="28"/>
      <c r="L14" s="28"/>
      <c r="M14" s="28"/>
      <c r="N14" s="28"/>
      <c r="O14" s="28"/>
    </row>
    <row r="15" spans="1:15" ht="12.75" customHeight="1" x14ac:dyDescent="0.35">
      <c r="A15" s="28"/>
      <c r="B15" s="28"/>
      <c r="C15" s="28"/>
      <c r="D15" s="28" t="s">
        <v>3956</v>
      </c>
      <c r="E15" s="28"/>
      <c r="F15" s="28"/>
      <c r="G15" s="28"/>
      <c r="H15" s="28"/>
      <c r="I15" s="28"/>
      <c r="J15" s="28"/>
      <c r="K15" s="28"/>
      <c r="L15" s="28"/>
      <c r="M15" s="28"/>
      <c r="N15" s="28"/>
      <c r="O15" s="28"/>
    </row>
    <row r="16" spans="1:15" ht="12.75" customHeight="1" x14ac:dyDescent="0.35">
      <c r="A16" s="28"/>
      <c r="B16" s="28"/>
      <c r="C16" s="28"/>
      <c r="D16" s="28" t="s">
        <v>3957</v>
      </c>
      <c r="E16" s="28"/>
      <c r="F16" s="28"/>
      <c r="G16" s="28"/>
      <c r="H16" s="28"/>
      <c r="I16" s="28"/>
      <c r="J16" s="28"/>
      <c r="K16" s="28"/>
      <c r="L16" s="28"/>
      <c r="M16" s="28"/>
      <c r="N16" s="28"/>
      <c r="O16" s="28"/>
    </row>
    <row r="17" spans="1:15" ht="12.75" customHeight="1" x14ac:dyDescent="0.35">
      <c r="A17" s="28"/>
      <c r="B17" s="28"/>
      <c r="C17" s="28"/>
      <c r="D17" s="28"/>
      <c r="E17" s="28"/>
      <c r="F17" s="28"/>
      <c r="G17" s="28"/>
      <c r="H17" s="28"/>
      <c r="I17" s="28"/>
      <c r="J17" s="28"/>
      <c r="K17" s="28"/>
      <c r="L17" s="28"/>
      <c r="M17" s="28"/>
      <c r="N17" s="28"/>
      <c r="O17" s="28"/>
    </row>
    <row r="18" spans="1:15" ht="12.75" customHeight="1" x14ac:dyDescent="0.35">
      <c r="A18" s="28"/>
      <c r="B18" s="28"/>
      <c r="C18" s="28"/>
      <c r="D18" s="28" t="str">
        <f>"Bas för "&amp;IF(PerpetuityLimitation=1,"evig konsol (Perpetuity)","extrapolering")</f>
        <v>Bas för evig konsol (Perpetuity)</v>
      </c>
      <c r="E18" s="28"/>
      <c r="F18" s="28"/>
      <c r="G18" s="28"/>
      <c r="H18" s="28"/>
      <c r="I18" s="28"/>
      <c r="J18" s="28"/>
      <c r="K18" s="28"/>
      <c r="L18" s="28"/>
      <c r="M18" s="28"/>
      <c r="N18" s="28"/>
      <c r="O18" s="28"/>
    </row>
    <row r="19" spans="1:15" ht="12.75" customHeight="1" x14ac:dyDescent="0.35">
      <c r="A19" s="28"/>
      <c r="B19" s="28"/>
      <c r="C19" s="28"/>
      <c r="D19" s="28"/>
      <c r="E19" s="28"/>
      <c r="F19" s="28"/>
      <c r="G19" s="28"/>
      <c r="H19" s="28"/>
      <c r="I19" s="28"/>
      <c r="J19" s="28"/>
      <c r="K19" s="28"/>
      <c r="L19" s="28"/>
      <c r="M19" s="28"/>
      <c r="N19" s="28"/>
      <c r="O19" s="28"/>
    </row>
    <row r="20" spans="1:15" ht="12.75" customHeight="1" x14ac:dyDescent="0.35">
      <c r="A20" s="28"/>
      <c r="B20" s="28"/>
      <c r="C20" s="28"/>
      <c r="D20" s="28" t="s">
        <v>3958</v>
      </c>
      <c r="E20" s="28"/>
      <c r="F20" s="28"/>
      <c r="G20" s="28"/>
      <c r="H20" s="97" t="s">
        <v>3959</v>
      </c>
      <c r="I20" s="28"/>
      <c r="J20" s="28"/>
      <c r="K20" s="28"/>
      <c r="L20" s="28"/>
      <c r="M20" s="28"/>
      <c r="N20" s="28"/>
      <c r="O20" s="28"/>
    </row>
    <row r="21" spans="1:15" ht="12.75" customHeight="1" x14ac:dyDescent="0.35">
      <c r="A21" s="28"/>
      <c r="B21" s="28"/>
      <c r="C21" s="28"/>
      <c r="D21" s="28"/>
      <c r="E21" s="28"/>
      <c r="F21" s="28"/>
      <c r="G21" s="28"/>
      <c r="H21" s="28"/>
      <c r="I21" s="28"/>
      <c r="J21" s="28"/>
      <c r="K21" s="28"/>
      <c r="L21" s="28"/>
      <c r="M21" s="28"/>
      <c r="N21" s="28"/>
      <c r="O21" s="28"/>
    </row>
    <row r="22" spans="1:15" ht="12.75" customHeight="1" x14ac:dyDescent="0.35">
      <c r="A22" s="28"/>
      <c r="B22" s="28"/>
      <c r="C22" s="28"/>
      <c r="D22" s="28" t="str">
        <f>"      Mata in årligt värde"&amp;IF(TRIM($J$5)&lt;&gt;""," ("&amp;$J$5&amp;")","")</f>
        <v xml:space="preserve">      Mata in årligt värde</v>
      </c>
      <c r="E22" s="28"/>
      <c r="F22" s="28"/>
      <c r="G22" s="28"/>
      <c r="H22" s="28" t="str">
        <f ca="1">"Basvärde "&amp;Calculations!$N$627&amp;""</f>
        <v>Basvärde (12/2024)</v>
      </c>
      <c r="I22" s="28"/>
      <c r="J22" s="28"/>
      <c r="K22" s="28"/>
      <c r="L22" s="28"/>
      <c r="M22" s="28"/>
      <c r="N22" s="28"/>
      <c r="O22" s="28"/>
    </row>
    <row r="23" spans="1:15" ht="12.75" customHeight="1" x14ac:dyDescent="0.35">
      <c r="A23" s="28"/>
      <c r="B23" s="28"/>
      <c r="C23" s="28"/>
      <c r="D23" s="28"/>
      <c r="E23" s="28"/>
      <c r="F23" s="28"/>
      <c r="G23" s="28"/>
      <c r="H23" s="28"/>
      <c r="I23" s="28"/>
      <c r="J23" s="28"/>
      <c r="K23" s="28"/>
      <c r="L23" s="28"/>
      <c r="M23" s="28"/>
      <c r="N23" s="28"/>
      <c r="O23" s="28"/>
    </row>
    <row r="24" spans="1:15" ht="12.75" customHeight="1" x14ac:dyDescent="0.35">
      <c r="A24" s="28"/>
      <c r="B24" s="28"/>
      <c r="C24" s="28"/>
      <c r="D24" s="28" t="str">
        <f>"Typ av "&amp;IF(PerpetuityLimitation=1,"evig konsol","extrapolering")</f>
        <v>Typ av evig konsol</v>
      </c>
      <c r="E24" s="28"/>
      <c r="F24" s="28"/>
      <c r="G24" s="28"/>
      <c r="H24" s="28" t="s">
        <v>5740</v>
      </c>
      <c r="I24" s="28"/>
      <c r="J24" s="28"/>
      <c r="K24" s="28"/>
      <c r="L24" s="28"/>
      <c r="M24" s="28"/>
      <c r="N24" s="28"/>
      <c r="O24" s="28"/>
    </row>
    <row r="25" spans="1:15" ht="12.75" customHeight="1" x14ac:dyDescent="0.35">
      <c r="A25" s="28"/>
      <c r="B25" s="28"/>
      <c r="C25" s="28"/>
      <c r="D25" s="28"/>
      <c r="E25" s="28"/>
      <c r="F25" s="28"/>
      <c r="G25" s="28"/>
      <c r="H25" s="28"/>
      <c r="I25" s="28"/>
      <c r="J25" s="28"/>
      <c r="K25" s="28"/>
      <c r="L25" s="28"/>
      <c r="M25" s="28"/>
      <c r="N25" s="28"/>
      <c r="O25" s="28"/>
    </row>
    <row r="26" spans="1:15" ht="12.75" customHeight="1" x14ac:dyDescent="0.35">
      <c r="A26" s="28"/>
      <c r="B26" s="28"/>
      <c r="C26" s="28"/>
      <c r="D26" s="28" t="s">
        <v>3960</v>
      </c>
      <c r="E26" s="28"/>
      <c r="F26" s="28"/>
      <c r="G26" s="28"/>
      <c r="H26" s="28" t="str">
        <f ca="1">"Värde "&amp;Calculations!$N$627&amp;""</f>
        <v>Värde (12/2024)</v>
      </c>
      <c r="I26" s="28"/>
      <c r="J26" s="28"/>
      <c r="K26" s="28"/>
      <c r="L26" s="28"/>
      <c r="M26" s="28"/>
      <c r="N26" s="28"/>
      <c r="O26" s="28"/>
    </row>
    <row r="27" spans="1:15" ht="12.75" customHeight="1" x14ac:dyDescent="0.35">
      <c r="A27" s="28"/>
      <c r="B27" s="28"/>
      <c r="C27" s="28"/>
      <c r="D27" s="28"/>
      <c r="E27" s="28"/>
      <c r="F27" s="28"/>
      <c r="G27" s="28"/>
      <c r="H27" s="28"/>
      <c r="I27" s="28"/>
      <c r="J27" s="28"/>
      <c r="K27" s="28"/>
      <c r="L27" s="28"/>
      <c r="M27" s="28"/>
      <c r="N27" s="28"/>
      <c r="O27" s="28"/>
    </row>
    <row r="28" spans="1:15" ht="12.75" customHeight="1" x14ac:dyDescent="0.35">
      <c r="A28" s="28"/>
      <c r="B28" s="28"/>
      <c r="C28" s="28"/>
      <c r="D28" s="28" t="s">
        <v>3961</v>
      </c>
      <c r="E28" s="28"/>
      <c r="F28" s="28"/>
      <c r="G28" s="28"/>
      <c r="H28" s="28" t="str">
        <f>"Nuvärde ("&amp;$F$11&amp;")"</f>
        <v>Nuvärde ()</v>
      </c>
      <c r="I28" s="28"/>
      <c r="J28" s="28"/>
      <c r="K28" s="28"/>
      <c r="L28" s="28"/>
      <c r="M28" s="28"/>
      <c r="N28" s="28"/>
      <c r="O28" s="28"/>
    </row>
    <row r="29" spans="1:15" ht="12.75" customHeight="1" x14ac:dyDescent="0.35">
      <c r="A29" s="28"/>
      <c r="B29" s="28"/>
      <c r="C29" s="28"/>
      <c r="D29" s="28"/>
      <c r="E29" s="28"/>
      <c r="F29" s="28"/>
      <c r="G29" s="28"/>
      <c r="H29" s="28"/>
      <c r="I29" s="28"/>
      <c r="J29" s="28"/>
      <c r="K29" s="28"/>
      <c r="L29" s="28"/>
      <c r="M29" s="28"/>
      <c r="N29" s="28"/>
      <c r="O29" s="28"/>
    </row>
    <row r="30" spans="1:15" ht="12.75" customHeight="1" x14ac:dyDescent="0.35">
      <c r="A30" s="28"/>
      <c r="B30" s="28"/>
      <c r="C30" s="28"/>
      <c r="D30" s="28"/>
      <c r="E30" s="28"/>
      <c r="F30" s="28"/>
      <c r="G30" s="28"/>
      <c r="H30" s="28"/>
      <c r="I30" s="28"/>
      <c r="J30" s="28"/>
      <c r="K30" s="28"/>
      <c r="L30" s="28"/>
      <c r="M30" s="28"/>
      <c r="N30" s="28"/>
      <c r="O30" s="28"/>
    </row>
    <row r="31" spans="1:15" ht="12.75" customHeight="1" x14ac:dyDescent="0.35">
      <c r="A31" s="28"/>
      <c r="B31" s="28"/>
      <c r="C31" s="28"/>
      <c r="D31" s="105" t="s">
        <v>3962</v>
      </c>
      <c r="E31" s="28"/>
      <c r="F31" s="28"/>
      <c r="G31" s="28"/>
      <c r="H31" s="105" t="s">
        <v>3963</v>
      </c>
      <c r="I31" s="28"/>
      <c r="J31" s="28"/>
      <c r="K31" s="28"/>
      <c r="L31" s="28"/>
      <c r="M31" s="28"/>
      <c r="N31" s="28"/>
      <c r="O31" s="28"/>
    </row>
    <row r="32" spans="1:15" ht="12.75" customHeight="1" x14ac:dyDescent="0.35">
      <c r="A32" s="28"/>
      <c r="B32" s="28"/>
      <c r="C32" s="28"/>
      <c r="D32" s="28"/>
      <c r="E32" s="28"/>
      <c r="F32" s="28"/>
      <c r="G32" s="28"/>
      <c r="H32" s="28"/>
      <c r="I32" s="28"/>
      <c r="J32" s="28"/>
      <c r="K32" s="28"/>
      <c r="L32" s="28"/>
      <c r="M32" s="28"/>
      <c r="N32" s="28"/>
      <c r="O32" s="28"/>
    </row>
    <row r="33" spans="1:15" ht="12.75" customHeight="1" x14ac:dyDescent="0.35">
      <c r="A33" s="28"/>
      <c r="B33" s="28"/>
      <c r="C33" s="28"/>
      <c r="D33" s="28" t="s">
        <v>3954</v>
      </c>
      <c r="E33" s="28"/>
      <c r="F33" s="28"/>
      <c r="G33" s="28"/>
      <c r="H33" s="28"/>
      <c r="I33" s="28"/>
      <c r="J33" s="28"/>
      <c r="K33" s="28"/>
      <c r="L33" s="28"/>
      <c r="M33" s="28"/>
      <c r="N33" s="28"/>
      <c r="O33" s="28"/>
    </row>
    <row r="34" spans="1:15" ht="12.75" customHeight="1" x14ac:dyDescent="0.35">
      <c r="A34" s="28"/>
      <c r="B34" s="28"/>
      <c r="C34" s="28"/>
      <c r="D34" s="28"/>
      <c r="E34" s="28"/>
      <c r="F34" s="28"/>
      <c r="G34" s="28"/>
      <c r="H34" s="28"/>
      <c r="I34" s="28"/>
      <c r="J34" s="28"/>
      <c r="K34" s="28"/>
      <c r="L34" s="28"/>
      <c r="M34" s="28"/>
      <c r="N34" s="28"/>
      <c r="O34" s="28"/>
    </row>
    <row r="35" spans="1:15" ht="12.75" customHeight="1" x14ac:dyDescent="0.35">
      <c r="A35" s="28"/>
      <c r="B35" s="28"/>
      <c r="C35" s="28"/>
      <c r="D35" s="28" t="s">
        <v>5078</v>
      </c>
      <c r="E35" s="28"/>
      <c r="F35" s="28"/>
      <c r="G35" s="28"/>
      <c r="H35" s="28"/>
      <c r="I35" s="28"/>
      <c r="J35" s="28"/>
      <c r="K35" s="28"/>
      <c r="L35" s="28"/>
      <c r="M35" s="28"/>
      <c r="N35" s="28"/>
      <c r="O35" s="28"/>
    </row>
    <row r="36" spans="1:15" ht="12.75" customHeight="1" x14ac:dyDescent="0.35">
      <c r="A36" s="28"/>
      <c r="B36" s="28"/>
      <c r="C36" s="28"/>
      <c r="D36" s="28" t="s">
        <v>3964</v>
      </c>
      <c r="E36" s="28"/>
      <c r="F36" s="28"/>
      <c r="G36" s="28"/>
      <c r="H36" s="28"/>
      <c r="I36" s="28"/>
      <c r="J36" s="28"/>
      <c r="K36" s="28"/>
      <c r="L36" s="28"/>
      <c r="M36" s="28"/>
      <c r="N36" s="28"/>
      <c r="O36" s="28"/>
    </row>
    <row r="37" spans="1:15" ht="12.75" customHeight="1" x14ac:dyDescent="0.35">
      <c r="A37" s="28"/>
      <c r="B37" s="28"/>
      <c r="C37" s="28"/>
      <c r="D37" s="28"/>
      <c r="E37" s="28"/>
      <c r="F37" s="28"/>
      <c r="G37" s="28"/>
      <c r="H37" s="28"/>
      <c r="I37" s="28"/>
      <c r="J37" s="28"/>
      <c r="K37" s="28"/>
      <c r="L37" s="28"/>
      <c r="M37" s="28"/>
      <c r="N37" s="28"/>
      <c r="O37" s="28"/>
    </row>
    <row r="38" spans="1:15" ht="12.75" customHeight="1" x14ac:dyDescent="0.35">
      <c r="A38" s="28"/>
      <c r="B38" s="28"/>
      <c r="C38" s="28"/>
      <c r="D38" s="110" t="s">
        <v>3965</v>
      </c>
      <c r="E38" s="111"/>
      <c r="F38" s="112"/>
      <c r="G38" s="2"/>
      <c r="H38" s="2"/>
      <c r="I38" s="28"/>
      <c r="J38" s="28"/>
      <c r="K38" s="28"/>
      <c r="L38" s="28"/>
      <c r="M38" s="28"/>
      <c r="N38" s="28"/>
      <c r="O38" s="28"/>
    </row>
    <row r="39" spans="1:15" ht="12.75" customHeight="1" x14ac:dyDescent="0.35">
      <c r="A39" s="28"/>
      <c r="B39" s="28"/>
      <c r="C39" s="28"/>
      <c r="D39" s="110"/>
      <c r="E39" s="111"/>
      <c r="F39" s="112"/>
      <c r="G39" s="2"/>
      <c r="H39" s="2"/>
      <c r="I39" s="28"/>
      <c r="J39" s="28"/>
      <c r="K39" s="28"/>
      <c r="L39" s="28"/>
      <c r="M39" s="28"/>
      <c r="N39" s="28"/>
      <c r="O39" s="28"/>
    </row>
    <row r="40" spans="1:15" ht="12.75" customHeight="1" x14ac:dyDescent="0.35">
      <c r="A40" s="28"/>
      <c r="B40" s="28"/>
      <c r="C40" s="28"/>
      <c r="D40" s="110"/>
      <c r="E40" s="111"/>
      <c r="F40" s="112"/>
      <c r="G40" s="2"/>
      <c r="H40" s="2"/>
      <c r="I40" s="28"/>
      <c r="J40" s="28"/>
      <c r="K40" s="28"/>
      <c r="L40" s="28"/>
      <c r="M40" s="28"/>
      <c r="N40" s="28"/>
      <c r="O40" s="28"/>
    </row>
    <row r="41" spans="1:15" ht="12.75" customHeight="1" x14ac:dyDescent="0.35">
      <c r="A41" s="28"/>
      <c r="B41" s="28"/>
      <c r="C41" s="28"/>
      <c r="D41" s="110"/>
      <c r="E41" s="111"/>
      <c r="F41" s="112"/>
      <c r="G41" s="2"/>
      <c r="H41" s="2"/>
      <c r="I41" s="28"/>
      <c r="J41" s="28"/>
      <c r="K41" s="28"/>
      <c r="L41" s="28"/>
      <c r="M41" s="28"/>
      <c r="N41" s="28"/>
      <c r="O41" s="28"/>
    </row>
    <row r="42" spans="1:15" ht="12.75" customHeight="1" x14ac:dyDescent="0.35">
      <c r="A42" s="28"/>
      <c r="B42" s="28"/>
      <c r="C42" s="28"/>
      <c r="D42" s="110"/>
      <c r="E42" s="111"/>
      <c r="F42" s="112"/>
      <c r="G42" s="2"/>
      <c r="H42" s="2"/>
      <c r="I42" s="28"/>
      <c r="J42" s="28"/>
      <c r="K42" s="28"/>
      <c r="L42" s="28"/>
      <c r="M42" s="28"/>
      <c r="N42" s="28"/>
      <c r="O42" s="28"/>
    </row>
    <row r="43" spans="1:15" ht="12.75" customHeight="1" x14ac:dyDescent="0.35">
      <c r="A43" s="28"/>
      <c r="B43" s="28"/>
      <c r="C43" s="28"/>
      <c r="D43" s="110"/>
      <c r="E43" s="111"/>
      <c r="F43" s="112"/>
      <c r="G43" s="2"/>
      <c r="H43" s="2"/>
      <c r="I43" s="28"/>
      <c r="J43" s="28"/>
      <c r="K43" s="28"/>
      <c r="L43" s="28"/>
      <c r="M43" s="28"/>
      <c r="N43" s="28"/>
      <c r="O43" s="28"/>
    </row>
    <row r="44" spans="1:15" ht="12.75" customHeight="1" x14ac:dyDescent="0.35">
      <c r="A44" s="28"/>
      <c r="B44" s="28"/>
      <c r="C44" s="28"/>
      <c r="D44" s="110"/>
      <c r="E44" s="111"/>
      <c r="F44" s="112"/>
      <c r="G44" s="2"/>
      <c r="H44" s="2"/>
      <c r="I44" s="28"/>
      <c r="J44" s="28"/>
      <c r="K44" s="28"/>
      <c r="L44" s="28"/>
      <c r="M44" s="28"/>
      <c r="N44" s="28"/>
      <c r="O44" s="28"/>
    </row>
    <row r="45" spans="1:15" ht="12.75" customHeight="1" x14ac:dyDescent="0.35">
      <c r="A45" s="28"/>
      <c r="B45" s="28"/>
      <c r="C45" s="28"/>
      <c r="D45" s="110"/>
      <c r="E45" s="111"/>
      <c r="F45" s="112"/>
      <c r="G45" s="2"/>
      <c r="H45" s="2"/>
      <c r="I45" s="28"/>
      <c r="J45" s="28"/>
      <c r="K45" s="28"/>
      <c r="L45" s="28"/>
      <c r="M45" s="28"/>
      <c r="N45" s="28"/>
      <c r="O45" s="28"/>
    </row>
    <row r="46" spans="1:15" ht="12.75" customHeight="1" x14ac:dyDescent="0.35">
      <c r="A46" s="28"/>
      <c r="B46" s="28"/>
      <c r="C46" s="28"/>
      <c r="D46" s="110"/>
      <c r="E46" s="111"/>
      <c r="F46" s="112"/>
      <c r="G46" s="2"/>
      <c r="H46" s="2"/>
      <c r="I46" s="28"/>
      <c r="J46" s="28"/>
      <c r="K46" s="28"/>
      <c r="L46" s="28"/>
      <c r="M46" s="28"/>
      <c r="N46" s="28"/>
      <c r="O46" s="28"/>
    </row>
    <row r="47" spans="1:15" ht="12.75" customHeight="1" x14ac:dyDescent="0.35">
      <c r="A47" s="28"/>
      <c r="B47" s="28"/>
      <c r="C47" s="28"/>
      <c r="D47" s="110"/>
      <c r="E47" s="111"/>
      <c r="F47" s="112"/>
      <c r="G47" s="2"/>
      <c r="H47" s="2"/>
      <c r="I47" s="28"/>
      <c r="J47" s="28"/>
      <c r="K47" s="28"/>
      <c r="L47" s="28"/>
      <c r="M47" s="28"/>
      <c r="N47" s="28"/>
      <c r="O47" s="28"/>
    </row>
    <row r="48" spans="1:15" ht="12.75" customHeight="1" x14ac:dyDescent="0.35">
      <c r="A48" s="28"/>
      <c r="B48" s="28"/>
      <c r="C48" s="28"/>
      <c r="D48" s="111" t="s">
        <v>3966</v>
      </c>
      <c r="E48" s="111"/>
      <c r="F48" s="112"/>
      <c r="G48" s="2"/>
      <c r="H48" s="2"/>
      <c r="I48" s="28"/>
      <c r="J48" s="28"/>
      <c r="K48" s="28"/>
      <c r="L48" s="28"/>
      <c r="M48" s="28"/>
      <c r="N48" s="28"/>
      <c r="O48" s="28"/>
    </row>
    <row r="49" spans="1:15" ht="12.75" customHeight="1" x14ac:dyDescent="0.35">
      <c r="A49" s="28"/>
      <c r="B49" s="28"/>
      <c r="C49" s="28"/>
      <c r="D49" s="111" t="s">
        <v>1551</v>
      </c>
      <c r="E49" s="111"/>
      <c r="F49" s="112"/>
      <c r="G49" s="2"/>
      <c r="H49" s="113" t="s">
        <v>3967</v>
      </c>
      <c r="I49" s="28"/>
      <c r="J49" s="28"/>
      <c r="K49" s="28"/>
      <c r="L49" s="28"/>
      <c r="M49" s="28"/>
      <c r="N49" s="28"/>
      <c r="O49" s="28"/>
    </row>
    <row r="50" spans="1:15" ht="12.75" customHeight="1" x14ac:dyDescent="0.35">
      <c r="A50" s="28"/>
      <c r="B50" s="28"/>
      <c r="C50" s="28"/>
      <c r="D50" s="111"/>
      <c r="E50" s="111"/>
      <c r="F50" s="112"/>
      <c r="G50" s="2"/>
      <c r="H50" s="2"/>
      <c r="I50" s="28"/>
      <c r="J50" s="28"/>
      <c r="K50" s="28"/>
      <c r="L50" s="28"/>
      <c r="M50" s="28"/>
      <c r="N50" s="28"/>
      <c r="O50" s="28"/>
    </row>
    <row r="51" spans="1:15" ht="12.75" customHeight="1" x14ac:dyDescent="0.35">
      <c r="A51" s="28"/>
      <c r="B51" s="28"/>
      <c r="C51" s="28"/>
      <c r="D51" s="28" t="s">
        <v>3968</v>
      </c>
      <c r="E51" s="28" t="s">
        <v>3969</v>
      </c>
      <c r="F51" s="28" t="s">
        <v>3970</v>
      </c>
      <c r="G51" s="28"/>
      <c r="H51" s="28"/>
      <c r="I51" s="28"/>
      <c r="J51" s="28"/>
      <c r="K51" s="28"/>
      <c r="L51" s="28"/>
      <c r="M51" s="28"/>
      <c r="N51" s="28"/>
      <c r="O51" s="28"/>
    </row>
    <row r="52" spans="1:15" ht="12.75" customHeight="1" x14ac:dyDescent="0.35">
      <c r="A52" s="28"/>
      <c r="B52" s="28"/>
      <c r="C52" s="28"/>
      <c r="D52" s="28" t="s">
        <v>3971</v>
      </c>
      <c r="E52" s="28"/>
      <c r="F52" s="28"/>
      <c r="G52" s="28"/>
      <c r="H52" s="28"/>
      <c r="I52" s="28"/>
      <c r="J52" s="28"/>
      <c r="K52" s="28"/>
      <c r="L52" s="28"/>
      <c r="M52" s="28"/>
      <c r="N52" s="28"/>
      <c r="O52" s="28"/>
    </row>
    <row r="53" spans="1:15" ht="12.75" customHeight="1" x14ac:dyDescent="0.35">
      <c r="A53" s="28"/>
      <c r="B53" s="28"/>
      <c r="C53" s="28"/>
      <c r="D53" s="28" t="s">
        <v>3972</v>
      </c>
      <c r="E53" s="28"/>
      <c r="F53" s="28"/>
      <c r="G53" s="28"/>
      <c r="H53" s="28"/>
      <c r="I53" s="28"/>
      <c r="J53" s="28"/>
      <c r="K53" s="28"/>
      <c r="L53" s="28"/>
      <c r="M53" s="28"/>
      <c r="N53" s="28"/>
      <c r="O53" s="28"/>
    </row>
    <row r="54" spans="1:15" ht="12.75" customHeight="1" x14ac:dyDescent="0.35">
      <c r="A54" s="28"/>
      <c r="B54" s="28"/>
      <c r="C54" s="28"/>
      <c r="D54" s="28" t="s">
        <v>3973</v>
      </c>
      <c r="E54" s="28"/>
      <c r="F54" s="28"/>
      <c r="G54" s="28"/>
      <c r="H54" s="28"/>
      <c r="I54" s="28"/>
      <c r="J54" s="28"/>
      <c r="K54" s="28"/>
      <c r="L54" s="28"/>
      <c r="M54" s="28"/>
      <c r="N54" s="28"/>
      <c r="O54" s="28"/>
    </row>
    <row r="55" spans="1:15" ht="12.75" customHeight="1" x14ac:dyDescent="0.35">
      <c r="A55" s="28"/>
      <c r="B55" s="28"/>
      <c r="C55" s="28"/>
      <c r="D55" s="28" t="s">
        <v>3968</v>
      </c>
      <c r="E55" s="28"/>
      <c r="F55" s="28"/>
      <c r="G55" s="28"/>
      <c r="H55" s="28"/>
      <c r="I55" s="28"/>
      <c r="J55" s="28"/>
      <c r="K55" s="28"/>
      <c r="L55" s="28"/>
      <c r="M55" s="28"/>
      <c r="N55" s="28"/>
      <c r="O55" s="28"/>
    </row>
    <row r="56" spans="1:15" ht="12.75" customHeight="1" x14ac:dyDescent="0.35">
      <c r="A56" s="28"/>
      <c r="B56" s="28"/>
      <c r="C56" s="28"/>
      <c r="D56" s="28"/>
      <c r="E56" s="28"/>
      <c r="F56" s="28"/>
      <c r="G56" s="28"/>
      <c r="H56" s="28"/>
      <c r="I56" s="28"/>
      <c r="J56" s="28"/>
      <c r="K56" s="28"/>
      <c r="L56" s="28"/>
      <c r="M56" s="28"/>
      <c r="N56" s="28"/>
      <c r="O56" s="28"/>
    </row>
    <row r="57" spans="1:15" ht="12.75" customHeight="1" x14ac:dyDescent="0.35">
      <c r="A57" s="28" t="s">
        <v>3974</v>
      </c>
      <c r="B57" s="28"/>
      <c r="C57" s="28"/>
      <c r="D57" s="28" t="s">
        <v>3975</v>
      </c>
      <c r="E57" s="28"/>
      <c r="F57" s="28"/>
      <c r="G57" s="28"/>
      <c r="H57" s="28"/>
      <c r="I57" s="28"/>
      <c r="J57" s="28"/>
      <c r="K57" s="28"/>
      <c r="L57" s="28"/>
      <c r="M57" s="28"/>
      <c r="N57" s="28"/>
      <c r="O57" s="28"/>
    </row>
    <row r="58" spans="1:15" ht="12.75" customHeight="1" x14ac:dyDescent="0.35">
      <c r="A58" s="28" t="s">
        <v>3976</v>
      </c>
      <c r="B58" s="28"/>
      <c r="C58" s="28"/>
      <c r="D58" s="111" t="s">
        <v>3977</v>
      </c>
      <c r="E58" s="111"/>
      <c r="F58" s="112"/>
      <c r="G58" s="2"/>
      <c r="H58" s="2"/>
      <c r="K58" s="28"/>
      <c r="L58" s="28"/>
      <c r="M58" s="28"/>
      <c r="N58" s="28"/>
      <c r="O58" s="28"/>
    </row>
    <row r="59" spans="1:15" ht="12.75" customHeight="1" x14ac:dyDescent="0.35">
      <c r="A59" s="28"/>
      <c r="B59" s="28"/>
      <c r="C59" s="28"/>
      <c r="D59" s="111"/>
      <c r="E59" s="111"/>
      <c r="F59" s="112"/>
      <c r="G59" s="2"/>
      <c r="H59" s="2"/>
      <c r="I59" s="28"/>
      <c r="J59" s="28"/>
      <c r="K59" s="28"/>
      <c r="L59" s="28"/>
      <c r="M59" s="28"/>
      <c r="N59" s="28"/>
      <c r="O59" s="28"/>
    </row>
    <row r="60" spans="1:15" ht="12.75" customHeight="1" x14ac:dyDescent="0.35">
      <c r="A60" s="28"/>
      <c r="B60" s="28"/>
      <c r="C60" s="28"/>
      <c r="D60" s="6" t="s">
        <v>3978</v>
      </c>
      <c r="E60" s="6"/>
      <c r="F60" s="7"/>
      <c r="G60" s="1"/>
      <c r="H60" s="6" t="s">
        <v>3979</v>
      </c>
      <c r="I60" s="28"/>
      <c r="J60" s="28"/>
      <c r="K60" s="28"/>
      <c r="L60" s="28"/>
      <c r="M60" s="28"/>
      <c r="N60" s="28"/>
      <c r="O60" s="28"/>
    </row>
    <row r="61" spans="1:15" ht="12.75" customHeight="1" x14ac:dyDescent="0.35">
      <c r="A61" s="28"/>
      <c r="B61" s="28"/>
      <c r="C61" s="28"/>
      <c r="D61" s="6"/>
      <c r="E61" s="6"/>
      <c r="F61" s="7"/>
      <c r="G61" s="1"/>
      <c r="H61" s="6"/>
      <c r="I61" s="28"/>
      <c r="J61" s="28"/>
      <c r="K61" s="28"/>
      <c r="L61" s="28"/>
      <c r="M61" s="28"/>
      <c r="N61" s="28"/>
      <c r="O61" s="28"/>
    </row>
    <row r="62" spans="1:15" ht="12.75" customHeight="1" x14ac:dyDescent="0.35">
      <c r="A62" s="28"/>
      <c r="B62" s="28"/>
      <c r="C62" s="28"/>
      <c r="D62" s="6" t="s">
        <v>2983</v>
      </c>
      <c r="E62" s="6"/>
      <c r="F62" s="7"/>
      <c r="G62" s="1"/>
      <c r="H62" s="6"/>
      <c r="I62" s="28"/>
      <c r="J62" s="28"/>
      <c r="K62" s="28"/>
      <c r="L62" s="28"/>
      <c r="M62" s="28"/>
      <c r="N62" s="28"/>
      <c r="O62" s="28"/>
    </row>
    <row r="63" spans="1:15" ht="12.75" customHeight="1" x14ac:dyDescent="0.35">
      <c r="A63" s="28"/>
      <c r="B63" s="28"/>
      <c r="C63" s="28"/>
      <c r="D63" s="107" t="s">
        <v>3980</v>
      </c>
      <c r="E63" s="6"/>
      <c r="F63" s="7"/>
      <c r="G63" s="1"/>
      <c r="H63" s="6"/>
      <c r="I63" s="28"/>
      <c r="J63" s="28"/>
      <c r="K63" s="28"/>
      <c r="L63" s="28"/>
      <c r="M63" s="28"/>
      <c r="N63" s="28"/>
      <c r="O63" s="28"/>
    </row>
    <row r="64" spans="1:15" ht="12.75" customHeight="1" x14ac:dyDescent="0.35">
      <c r="A64" s="28"/>
      <c r="B64" s="28"/>
      <c r="C64" s="28"/>
      <c r="D64" s="107" t="s">
        <v>3981</v>
      </c>
      <c r="E64" s="6"/>
      <c r="F64" s="7"/>
      <c r="G64" s="1"/>
      <c r="H64" s="6"/>
      <c r="I64" s="28"/>
      <c r="J64" s="28"/>
      <c r="K64" s="28"/>
      <c r="L64" s="28"/>
      <c r="M64" s="28"/>
      <c r="N64" s="28"/>
      <c r="O64" s="28"/>
    </row>
    <row r="65" spans="1:15" ht="12.75" customHeight="1" x14ac:dyDescent="0.35">
      <c r="A65" s="28"/>
      <c r="B65" s="28"/>
      <c r="C65" s="28"/>
      <c r="D65" s="6" t="str">
        <f ca="1">IF(ResultControlValue&lt;0,"Värdeminskningsförlust","Kontrollvärde")&amp;" (B - A)"</f>
        <v>Kontrollvärde (B - A)</v>
      </c>
      <c r="E65" s="6"/>
      <c r="F65" s="7"/>
      <c r="G65" s="1"/>
      <c r="H65" s="6"/>
      <c r="I65" s="28"/>
      <c r="J65" s="28"/>
      <c r="K65" s="28"/>
      <c r="L65" s="28"/>
      <c r="M65" s="28"/>
      <c r="N65" s="28"/>
      <c r="O65" s="28"/>
    </row>
    <row r="66" spans="1:15" ht="12.75" customHeight="1" x14ac:dyDescent="0.35">
      <c r="A66" s="28"/>
      <c r="B66" s="28"/>
      <c r="C66" s="28"/>
      <c r="D66" s="6"/>
      <c r="E66" s="6"/>
      <c r="F66" s="7"/>
      <c r="G66" s="1"/>
      <c r="H66" s="6"/>
      <c r="I66" s="28"/>
      <c r="J66" s="28"/>
      <c r="K66" s="28"/>
      <c r="L66" s="28"/>
      <c r="M66" s="28"/>
      <c r="N66" s="28"/>
      <c r="O66" s="28"/>
    </row>
    <row r="67" spans="1:15" ht="12.75" customHeight="1" x14ac:dyDescent="0.35">
      <c r="A67" s="28"/>
      <c r="B67" s="28"/>
      <c r="C67" s="28"/>
      <c r="D67" s="28" t="s">
        <v>3982</v>
      </c>
      <c r="E67" s="28"/>
      <c r="F67" s="28"/>
      <c r="G67" s="28"/>
      <c r="H67" s="28"/>
      <c r="I67" s="28"/>
      <c r="J67" s="28"/>
      <c r="K67" s="28"/>
      <c r="L67" s="28"/>
      <c r="M67" s="28"/>
      <c r="N67" s="28"/>
      <c r="O67" s="28"/>
    </row>
    <row r="68" spans="1:15" ht="12.75" customHeight="1" x14ac:dyDescent="0.35">
      <c r="A68" s="28"/>
      <c r="B68" s="28"/>
      <c r="C68" s="28"/>
      <c r="D68" s="105" t="s">
        <v>3983</v>
      </c>
      <c r="E68" s="28"/>
      <c r="F68" s="28"/>
      <c r="G68" s="28"/>
      <c r="H68" s="28"/>
      <c r="I68" s="28"/>
      <c r="J68" s="28"/>
      <c r="K68" s="28"/>
      <c r="L68" s="28"/>
      <c r="M68" s="28"/>
      <c r="N68" s="28"/>
      <c r="O68" s="28"/>
    </row>
    <row r="69" spans="1:15" ht="12.75" customHeight="1" x14ac:dyDescent="0.35">
      <c r="A69" s="28"/>
      <c r="B69" s="28"/>
      <c r="C69" s="28"/>
      <c r="D69" s="28" t="s">
        <v>3984</v>
      </c>
      <c r="E69" s="28"/>
      <c r="F69" s="28"/>
      <c r="G69" s="28"/>
      <c r="H69" s="28"/>
      <c r="I69" s="28"/>
      <c r="J69" s="28"/>
      <c r="K69" s="28"/>
      <c r="L69" s="28"/>
      <c r="M69" s="28"/>
      <c r="N69" s="28"/>
      <c r="O69" s="28"/>
    </row>
    <row r="70" spans="1:15" ht="12.75" customHeight="1" x14ac:dyDescent="0.35">
      <c r="A70" s="28"/>
      <c r="B70" s="28"/>
      <c r="C70" s="28"/>
      <c r="D70" s="28" t="s">
        <v>3985</v>
      </c>
      <c r="E70" s="28"/>
      <c r="F70" s="28"/>
      <c r="G70" s="28"/>
      <c r="H70" s="28"/>
      <c r="I70" s="28"/>
      <c r="J70" s="28"/>
      <c r="K70" s="28"/>
      <c r="L70" s="28"/>
      <c r="M70" s="28"/>
      <c r="N70" s="28"/>
      <c r="O70" s="28"/>
    </row>
    <row r="71" spans="1:15" ht="12.75" customHeight="1" x14ac:dyDescent="0.35">
      <c r="A71" s="28"/>
      <c r="B71" s="28"/>
      <c r="C71" s="28"/>
      <c r="D71" s="28"/>
      <c r="E71" s="28"/>
      <c r="F71" s="28"/>
      <c r="G71" s="28"/>
      <c r="H71" s="28"/>
      <c r="I71" s="28"/>
      <c r="J71" s="28"/>
      <c r="K71" s="28"/>
      <c r="L71" s="28"/>
      <c r="M71" s="28"/>
      <c r="N71" s="28"/>
      <c r="O71" s="28"/>
    </row>
    <row r="72" spans="1:15" ht="12.75" customHeight="1" x14ac:dyDescent="0.35">
      <c r="A72" s="28"/>
      <c r="B72" s="28"/>
      <c r="C72" s="28"/>
      <c r="D72" s="28" t="s">
        <v>3986</v>
      </c>
      <c r="E72" s="28"/>
      <c r="F72" s="28"/>
      <c r="G72" s="28"/>
      <c r="H72" s="28" t="s">
        <v>3987</v>
      </c>
      <c r="I72" s="28"/>
      <c r="J72" s="28"/>
      <c r="K72" s="28"/>
      <c r="L72" s="28"/>
      <c r="M72" s="28"/>
      <c r="N72" s="28"/>
      <c r="O72" s="28"/>
    </row>
    <row r="73" spans="1:15" ht="12.75" customHeight="1" x14ac:dyDescent="0.35">
      <c r="A73" s="28"/>
      <c r="B73" s="28"/>
      <c r="C73" s="28"/>
      <c r="D73" s="28" t="str">
        <f ca="1">"Kumulativt diskonterat fritt kassaflöde "&amp;IF(ISERROR($I$131),"",OFFSET(Calculations!$G$11,0,CalcPointPB))&amp;"-&gt;"&amp;IF(ISERROR(D77),F77,D77)</f>
        <v>Kumulativt diskonterat fritt kassaflöde 9/2019-&gt;</v>
      </c>
      <c r="E73" s="28"/>
      <c r="F73" s="28"/>
      <c r="G73" s="28"/>
      <c r="H73" s="28"/>
      <c r="I73" s="28"/>
      <c r="J73" s="28"/>
      <c r="K73" s="28"/>
      <c r="L73" s="28"/>
      <c r="M73" s="28"/>
      <c r="N73" s="28"/>
      <c r="O73" s="28"/>
    </row>
    <row r="74" spans="1:15" ht="12.75" customHeight="1" x14ac:dyDescent="0.35">
      <c r="A74" s="28"/>
      <c r="B74" s="28"/>
      <c r="C74" s="28"/>
      <c r="D74" s="28" t="str">
        <f ca="1">"Kumulativt diskonterat fritt kassaflöde "&amp;IF(ISERROR($I$131),"",OFFSET(Calculations!$G$11,0,CalcPointPB))&amp;"-&gt;"&amp;IF(ISERROR(E77),F77,IF(E77=D77,F77,E77))</f>
        <v>Kumulativt diskonterat fritt kassaflöde 9/2019-&gt;</v>
      </c>
      <c r="E74" s="28"/>
      <c r="F74" s="28"/>
      <c r="G74" s="28"/>
      <c r="H74" s="28"/>
      <c r="I74" s="28"/>
      <c r="J74" s="28"/>
      <c r="K74" s="28"/>
      <c r="L74" s="28"/>
      <c r="M74" s="28"/>
      <c r="N74" s="28"/>
      <c r="O74" s="28"/>
    </row>
    <row r="75" spans="1:15" ht="12.75" customHeight="1" x14ac:dyDescent="0.35">
      <c r="A75" s="28"/>
      <c r="B75" s="28"/>
      <c r="C75" s="28"/>
      <c r="D75" s="28" t="s">
        <v>3988</v>
      </c>
      <c r="E75" s="28"/>
      <c r="F75" s="28"/>
      <c r="G75" s="28"/>
      <c r="H75" s="28"/>
      <c r="I75" s="28"/>
      <c r="J75" s="28"/>
      <c r="K75" s="28"/>
      <c r="L75" s="28"/>
      <c r="M75" s="28"/>
      <c r="N75" s="28"/>
      <c r="O75" s="28"/>
    </row>
    <row r="76" spans="1:15" ht="12.75" customHeight="1" x14ac:dyDescent="0.35">
      <c r="A76" s="28"/>
      <c r="B76" s="28"/>
      <c r="C76" s="28"/>
      <c r="D76" s="28" t="s">
        <v>3989</v>
      </c>
      <c r="E76" s="28"/>
      <c r="F76" s="28"/>
      <c r="G76" s="28"/>
      <c r="H76" s="28" t="s">
        <v>3990</v>
      </c>
      <c r="I76" s="28"/>
      <c r="J76" s="28"/>
      <c r="K76" s="28"/>
      <c r="L76" s="28"/>
      <c r="M76" s="28"/>
      <c r="N76" s="28"/>
      <c r="O76" s="28"/>
    </row>
    <row r="77" spans="1:15" ht="12.75" customHeight="1" x14ac:dyDescent="0.35">
      <c r="A77" s="28"/>
      <c r="B77" s="28"/>
      <c r="C77" s="28"/>
      <c r="D77" s="28"/>
      <c r="E77" s="28"/>
      <c r="F77" s="28"/>
      <c r="G77" s="28"/>
      <c r="H77" s="28"/>
      <c r="I77" s="28"/>
      <c r="J77" s="28"/>
      <c r="K77" s="28"/>
      <c r="L77" s="28"/>
      <c r="M77" s="28"/>
      <c r="N77" s="28"/>
      <c r="O77" s="28"/>
    </row>
    <row r="78" spans="1:15" ht="12.75" customHeight="1" x14ac:dyDescent="0.35">
      <c r="A78" s="28"/>
      <c r="B78" s="28"/>
      <c r="C78" s="28"/>
      <c r="D78" s="28" t="s">
        <v>2860</v>
      </c>
      <c r="E78" s="28"/>
      <c r="F78" s="28"/>
      <c r="G78" s="28"/>
      <c r="H78" s="28" t="str">
        <f>"Genomsnitt "&amp;IF(NOT(ISERROR($N78)),$N78&amp;" år","-")</f>
        <v>Genomsnitt  år</v>
      </c>
      <c r="I78" s="28"/>
      <c r="J78" s="28"/>
      <c r="K78" s="28"/>
      <c r="L78" s="28"/>
      <c r="M78" s="28"/>
      <c r="N78" s="28"/>
      <c r="O78" s="28"/>
    </row>
    <row r="79" spans="1:15" ht="12.75" customHeight="1" x14ac:dyDescent="0.35">
      <c r="A79" s="28"/>
      <c r="B79" s="28"/>
      <c r="C79" s="28"/>
      <c r="D79" s="28" t="s">
        <v>2861</v>
      </c>
      <c r="E79" s="28"/>
      <c r="F79" s="28"/>
      <c r="G79" s="28"/>
      <c r="H79" s="28" t="str">
        <f>"Genomsnitt "&amp;IF(NOT(ISERROR($N79)),$N79&amp;" år","-")</f>
        <v>Genomsnitt  år</v>
      </c>
      <c r="I79" s="28"/>
      <c r="J79" s="28"/>
      <c r="K79" s="28"/>
      <c r="L79" s="28"/>
      <c r="M79" s="28"/>
      <c r="N79" s="28"/>
      <c r="O79" s="28"/>
    </row>
    <row r="80" spans="1:15" ht="12.75" customHeight="1" x14ac:dyDescent="0.35">
      <c r="A80" s="28"/>
      <c r="B80" s="28"/>
      <c r="C80" s="28"/>
      <c r="D80" s="28"/>
      <c r="E80" s="28"/>
      <c r="F80" s="28"/>
      <c r="G80" s="28"/>
      <c r="H80" s="28"/>
      <c r="I80" s="28"/>
      <c r="J80" s="28"/>
      <c r="K80" s="28"/>
      <c r="L80" s="28"/>
      <c r="M80" s="28"/>
      <c r="N80" s="28"/>
      <c r="O80" s="28"/>
    </row>
    <row r="81" spans="1:15" ht="12.75" customHeight="1" x14ac:dyDescent="0.35">
      <c r="A81" s="28"/>
      <c r="B81" s="28"/>
      <c r="C81" s="28"/>
      <c r="D81" s="28" t="s">
        <v>2862</v>
      </c>
      <c r="E81" s="111"/>
      <c r="F81" s="112"/>
      <c r="G81" s="2"/>
      <c r="H81" s="2"/>
      <c r="I81" s="28"/>
      <c r="J81" s="28"/>
      <c r="K81" s="28"/>
      <c r="L81" s="28"/>
      <c r="M81" s="28"/>
      <c r="N81" s="28"/>
      <c r="O81" s="28"/>
    </row>
    <row r="82" spans="1:15" ht="12.75" customHeight="1" x14ac:dyDescent="0.35">
      <c r="A82" s="28"/>
      <c r="B82" s="28"/>
      <c r="C82" s="28"/>
      <c r="D82" s="28"/>
      <c r="E82" s="111"/>
      <c r="F82" s="112"/>
      <c r="G82" s="2"/>
      <c r="H82" s="2"/>
      <c r="I82" s="28"/>
      <c r="J82" s="28"/>
      <c r="K82" s="28"/>
      <c r="L82" s="28"/>
      <c r="M82" s="28"/>
      <c r="N82" s="28"/>
      <c r="O82" s="28"/>
    </row>
    <row r="83" spans="1:15" ht="12.75" customHeight="1" x14ac:dyDescent="0.35">
      <c r="A83" s="28"/>
      <c r="B83" s="28"/>
      <c r="C83" s="28"/>
      <c r="D83" s="111" t="s">
        <v>3991</v>
      </c>
      <c r="E83" s="111"/>
      <c r="F83" s="112"/>
      <c r="G83" s="2"/>
      <c r="H83" s="2"/>
      <c r="I83" s="28"/>
      <c r="J83" s="28"/>
      <c r="K83" s="28"/>
      <c r="L83" s="28"/>
      <c r="M83" s="28"/>
      <c r="N83" s="28"/>
      <c r="O83" s="28"/>
    </row>
    <row r="84" spans="1:15" ht="12.75" customHeight="1" x14ac:dyDescent="0.35">
      <c r="A84" s="28"/>
      <c r="B84" s="28"/>
      <c r="C84" s="28"/>
      <c r="D84" s="111" t="s">
        <v>3992</v>
      </c>
      <c r="E84" s="111"/>
      <c r="F84" s="112"/>
      <c r="G84" s="2"/>
      <c r="H84" s="2"/>
      <c r="I84" s="28"/>
      <c r="J84" s="28"/>
      <c r="K84" s="28"/>
      <c r="L84" s="28"/>
      <c r="M84" s="28"/>
      <c r="N84" s="28"/>
      <c r="O84" s="28"/>
    </row>
    <row r="85" spans="1:15" ht="12.75" customHeight="1" x14ac:dyDescent="0.35">
      <c r="A85" s="28"/>
      <c r="B85" s="28"/>
      <c r="C85" s="28"/>
      <c r="D85" s="28"/>
      <c r="E85" s="111"/>
      <c r="F85" s="112"/>
      <c r="G85" s="2"/>
      <c r="H85" s="2"/>
      <c r="I85" s="28"/>
      <c r="J85" s="28"/>
      <c r="K85" s="28"/>
      <c r="L85" s="28"/>
      <c r="M85" s="28"/>
      <c r="N85" s="28"/>
      <c r="O85" s="28"/>
    </row>
    <row r="86" spans="1:15" ht="12.75" customHeight="1" x14ac:dyDescent="0.35">
      <c r="A86" s="28"/>
      <c r="B86" s="28"/>
      <c r="C86" s="28"/>
      <c r="D86" s="28" t="s">
        <v>3993</v>
      </c>
      <c r="E86" s="111"/>
      <c r="F86" s="112"/>
      <c r="G86" s="2"/>
      <c r="H86" s="28"/>
      <c r="I86" s="28"/>
      <c r="J86" s="28"/>
      <c r="K86" s="28"/>
      <c r="L86" s="28"/>
      <c r="M86" s="28"/>
      <c r="N86" s="28"/>
      <c r="O86" s="28"/>
    </row>
    <row r="87" spans="1:15" ht="12.75" customHeight="1" x14ac:dyDescent="0.35">
      <c r="A87" s="28"/>
      <c r="B87" s="28"/>
      <c r="C87" s="28"/>
      <c r="D87" s="28" t="str">
        <f ca="1">"Kumulativt diskonterat ekonomiskt mervärde "&amp;IF(ISERROR($I$132),"",OFFSET(Calculations!$G$11,0,CalcPointPB))&amp;"-&gt;"&amp;IF(ISERROR($D$90),$F$90,$D$90)</f>
        <v>Kumulativt diskonterat ekonomiskt mervärde 9/2019-&gt;</v>
      </c>
      <c r="E87" s="111"/>
      <c r="F87" s="112"/>
      <c r="G87" s="2"/>
      <c r="H87" s="2"/>
      <c r="I87" s="28"/>
      <c r="J87" s="28"/>
      <c r="K87" s="28"/>
      <c r="L87" s="28"/>
      <c r="M87" s="28"/>
      <c r="N87" s="28"/>
      <c r="O87" s="28"/>
    </row>
    <row r="88" spans="1:15" ht="12.75" customHeight="1" x14ac:dyDescent="0.35">
      <c r="A88" s="28"/>
      <c r="B88" s="28"/>
      <c r="C88" s="28"/>
      <c r="D88" s="28" t="str">
        <f ca="1">"Kumulativt diskonterat ekonomiskt mervärde "&amp;IF(ISERROR($I$132),"",OFFSET(Calculations!$G$11,0,CalcPointPB))&amp;"-&gt;"&amp;IF(ISERROR($E$90),$F$90,IF($E$90=$D$90,$F$90,$E$90))</f>
        <v>Kumulativt diskonterat ekonomiskt mervärde 9/2019-&gt;</v>
      </c>
      <c r="E88" s="111"/>
      <c r="F88" s="112"/>
      <c r="G88" s="2"/>
      <c r="H88" s="2"/>
      <c r="I88" s="28"/>
      <c r="J88" s="28"/>
      <c r="K88" s="28"/>
      <c r="L88" s="28"/>
      <c r="M88" s="28"/>
      <c r="N88" s="28"/>
      <c r="O88" s="28"/>
    </row>
    <row r="89" spans="1:15" ht="12.75" customHeight="1" x14ac:dyDescent="0.35">
      <c r="A89" s="28"/>
      <c r="B89" s="28"/>
      <c r="C89" s="28"/>
      <c r="D89" s="28" t="s">
        <v>3988</v>
      </c>
      <c r="E89" s="111"/>
      <c r="F89" s="112"/>
      <c r="G89" s="2"/>
      <c r="H89" s="2"/>
      <c r="I89" s="28"/>
      <c r="J89" s="28"/>
      <c r="K89" s="28"/>
      <c r="L89" s="28"/>
      <c r="M89" s="28"/>
      <c r="N89" s="28"/>
      <c r="O89" s="28"/>
    </row>
    <row r="90" spans="1:15" ht="12.75" customHeight="1" x14ac:dyDescent="0.35">
      <c r="A90" s="28"/>
      <c r="B90" s="28"/>
      <c r="C90" s="28"/>
      <c r="D90" s="28"/>
      <c r="E90" s="111"/>
      <c r="F90" s="112"/>
      <c r="G90" s="2"/>
      <c r="H90" s="2"/>
      <c r="I90" s="28"/>
      <c r="J90" s="28"/>
      <c r="K90" s="28"/>
      <c r="L90" s="28"/>
      <c r="M90" s="28"/>
      <c r="N90" s="28"/>
      <c r="O90" s="28"/>
    </row>
    <row r="91" spans="1:15" ht="12.75" customHeight="1" x14ac:dyDescent="0.35">
      <c r="A91" s="28"/>
      <c r="B91" s="28"/>
      <c r="C91" s="28"/>
      <c r="D91" s="28" t="s">
        <v>3994</v>
      </c>
      <c r="E91" s="28"/>
      <c r="F91" s="28"/>
      <c r="G91" s="28"/>
      <c r="H91" s="28"/>
      <c r="I91" s="28"/>
      <c r="J91" s="28"/>
      <c r="K91" s="28"/>
      <c r="L91" s="28"/>
      <c r="M91" s="28"/>
      <c r="N91" s="28"/>
      <c r="O91" s="28"/>
    </row>
    <row r="92" spans="1:15" ht="12.75" customHeight="1" x14ac:dyDescent="0.35">
      <c r="A92" s="28"/>
      <c r="B92" s="28"/>
      <c r="C92" s="28"/>
      <c r="D92" s="28"/>
      <c r="E92" s="28"/>
      <c r="F92" s="28"/>
      <c r="G92" s="28"/>
      <c r="H92" s="28"/>
      <c r="I92" s="28"/>
      <c r="J92" s="28"/>
      <c r="K92" s="28"/>
      <c r="L92" s="28"/>
      <c r="M92" s="28"/>
      <c r="N92" s="28"/>
      <c r="O92" s="28"/>
    </row>
    <row r="93" spans="1:15" ht="12.75" customHeight="1" x14ac:dyDescent="0.35">
      <c r="A93" s="28"/>
      <c r="B93" s="28"/>
      <c r="C93" s="28"/>
      <c r="D93" s="28" t="s">
        <v>3995</v>
      </c>
      <c r="E93" s="28"/>
      <c r="F93" s="28"/>
      <c r="G93" s="28"/>
      <c r="H93" s="28"/>
      <c r="I93" s="28"/>
      <c r="J93" s="28"/>
      <c r="K93" s="28"/>
      <c r="L93" s="28"/>
      <c r="M93" s="28"/>
      <c r="N93" s="28"/>
      <c r="O93" s="28"/>
    </row>
    <row r="94" spans="1:15" ht="12.75" customHeight="1" x14ac:dyDescent="0.35">
      <c r="A94" s="28"/>
      <c r="B94" s="28"/>
      <c r="C94" s="28"/>
      <c r="D94" s="28"/>
      <c r="E94" s="28"/>
      <c r="F94" s="28"/>
      <c r="G94" s="28"/>
      <c r="H94" s="28"/>
      <c r="I94" s="28"/>
      <c r="J94" s="28"/>
      <c r="K94" s="28"/>
      <c r="L94" s="28"/>
      <c r="M94" s="28"/>
      <c r="N94" s="28"/>
      <c r="O94" s="28"/>
    </row>
    <row r="95" spans="1:15" ht="12.75" customHeight="1" x14ac:dyDescent="0.35">
      <c r="A95" s="28"/>
      <c r="B95" s="28"/>
      <c r="C95" s="28"/>
      <c r="D95" s="28" t="s">
        <v>3996</v>
      </c>
      <c r="E95" s="28"/>
      <c r="F95" s="28"/>
      <c r="G95" s="28"/>
      <c r="H95" s="28"/>
      <c r="I95" s="28"/>
      <c r="J95" s="28"/>
      <c r="K95" s="28"/>
      <c r="L95" s="28"/>
      <c r="M95" s="28"/>
      <c r="N95" s="28"/>
      <c r="O95" s="28"/>
    </row>
    <row r="96" spans="1:15" ht="12.75" customHeight="1" x14ac:dyDescent="0.35">
      <c r="A96" s="28"/>
      <c r="B96" s="28"/>
      <c r="C96" s="28"/>
      <c r="D96" s="28" t="s">
        <v>3997</v>
      </c>
      <c r="E96" s="28"/>
      <c r="F96" s="28"/>
      <c r="G96" s="28"/>
      <c r="H96" s="28"/>
      <c r="I96" s="28"/>
      <c r="J96" s="28"/>
      <c r="K96" s="28"/>
      <c r="L96" s="28"/>
      <c r="M96" s="28"/>
      <c r="N96" s="28"/>
      <c r="O96" s="28"/>
    </row>
    <row r="97" spans="1:15" ht="12.75" customHeight="1" x14ac:dyDescent="0.35">
      <c r="A97" s="28"/>
      <c r="B97" s="28"/>
      <c r="C97" s="28"/>
      <c r="D97" s="28"/>
      <c r="E97" s="28"/>
      <c r="F97" s="28"/>
      <c r="G97" s="28"/>
      <c r="H97" s="28"/>
      <c r="I97" s="28"/>
      <c r="J97" s="28"/>
      <c r="K97" s="28"/>
      <c r="L97" s="28"/>
      <c r="M97" s="28"/>
      <c r="N97" s="28"/>
      <c r="O97" s="28"/>
    </row>
    <row r="98" spans="1:15" ht="12.75" customHeight="1" x14ac:dyDescent="0.35">
      <c r="A98" s="28"/>
      <c r="B98" s="28"/>
      <c r="C98" s="28"/>
      <c r="D98" s="28" t="str">
        <f>"Bas för "&amp;IF(PerpetuityLimitationEquity=1,"evig konsol (Perpetuity)","extrapolering")</f>
        <v>Bas för evig konsol (Perpetuity)</v>
      </c>
      <c r="E98" s="28"/>
      <c r="F98" s="28"/>
      <c r="G98" s="28"/>
      <c r="H98" s="28"/>
      <c r="I98" s="28"/>
      <c r="J98" s="28"/>
      <c r="K98" s="28"/>
      <c r="L98" s="28"/>
      <c r="M98" s="28"/>
      <c r="N98" s="28"/>
      <c r="O98" s="28"/>
    </row>
    <row r="99" spans="1:15" ht="12.75" customHeight="1" x14ac:dyDescent="0.35">
      <c r="A99" s="28"/>
      <c r="B99" s="28"/>
      <c r="C99" s="28"/>
      <c r="D99" s="28"/>
      <c r="E99" s="28"/>
      <c r="F99" s="28"/>
      <c r="G99" s="28"/>
      <c r="H99" s="28"/>
      <c r="I99" s="28"/>
      <c r="J99" s="28"/>
      <c r="K99" s="28"/>
      <c r="L99" s="28"/>
      <c r="M99" s="28"/>
      <c r="N99" s="28"/>
      <c r="O99" s="28"/>
    </row>
    <row r="100" spans="1:15" ht="12.75" customHeight="1" x14ac:dyDescent="0.35">
      <c r="A100" s="28"/>
      <c r="B100" s="28"/>
      <c r="C100" s="28"/>
      <c r="D100" s="28" t="s">
        <v>3958</v>
      </c>
      <c r="E100" s="28"/>
      <c r="F100" s="28"/>
      <c r="G100" s="28"/>
      <c r="H100" s="97" t="s">
        <v>3959</v>
      </c>
      <c r="I100" s="28"/>
      <c r="J100" s="28"/>
      <c r="K100" s="28"/>
      <c r="L100" s="28"/>
      <c r="M100" s="28"/>
      <c r="N100" s="28"/>
      <c r="O100" s="28"/>
    </row>
    <row r="101" spans="1:15" ht="12.75" customHeight="1" x14ac:dyDescent="0.35">
      <c r="A101" s="28"/>
      <c r="B101" s="28"/>
      <c r="C101" s="28"/>
      <c r="D101" s="28"/>
      <c r="E101" s="28"/>
      <c r="F101" s="28"/>
      <c r="G101" s="28"/>
      <c r="H101" s="28"/>
      <c r="I101" s="28"/>
      <c r="J101" s="28"/>
      <c r="K101" s="28"/>
      <c r="L101" s="28"/>
      <c r="M101" s="28"/>
      <c r="N101" s="28"/>
      <c r="O101" s="28"/>
    </row>
    <row r="102" spans="1:15" ht="12.75" customHeight="1" x14ac:dyDescent="0.35">
      <c r="A102" s="28"/>
      <c r="B102" s="28"/>
      <c r="C102" s="28"/>
      <c r="D102" s="28" t="str">
        <f>"      Mata in årligt värde"&amp;IF(TRIM($J$5)&lt;&gt;""," ("&amp;$J$5&amp;")","")</f>
        <v xml:space="preserve">      Mata in årligt värde</v>
      </c>
      <c r="E102" s="28"/>
      <c r="F102" s="28"/>
      <c r="G102" s="28"/>
      <c r="H102" s="28" t="str">
        <f ca="1">"Basvärde "&amp;Calculations!$N$627&amp;""</f>
        <v>Basvärde (12/2024)</v>
      </c>
      <c r="I102" s="28"/>
      <c r="J102" s="28"/>
      <c r="K102" s="28"/>
      <c r="L102" s="28"/>
      <c r="M102" s="28"/>
      <c r="N102" s="28"/>
      <c r="O102" s="28"/>
    </row>
    <row r="103" spans="1:15" ht="12.75" customHeight="1" x14ac:dyDescent="0.35">
      <c r="A103" s="28"/>
      <c r="B103" s="28"/>
      <c r="C103" s="28"/>
      <c r="D103" s="28"/>
      <c r="E103" s="28"/>
      <c r="F103" s="28"/>
      <c r="G103" s="28"/>
      <c r="H103" s="28"/>
      <c r="I103" s="28"/>
      <c r="J103" s="28"/>
      <c r="K103" s="28"/>
      <c r="L103" s="28"/>
      <c r="M103" s="28"/>
      <c r="N103" s="28"/>
      <c r="O103" s="28"/>
    </row>
    <row r="104" spans="1:15" ht="12.75" customHeight="1" x14ac:dyDescent="0.35">
      <c r="A104" s="28"/>
      <c r="B104" s="28"/>
      <c r="C104" s="28"/>
      <c r="D104" s="28" t="str">
        <f>"Typ av "&amp;IF(PerpetuityLimitationEquity=1,"evig konsol","extrapolering")</f>
        <v>Typ av evig konsol</v>
      </c>
      <c r="E104" s="28"/>
      <c r="F104" s="28"/>
      <c r="G104" s="28"/>
      <c r="H104" s="28" t="s">
        <v>5740</v>
      </c>
      <c r="I104" s="28"/>
      <c r="J104" s="28"/>
      <c r="K104" s="28"/>
      <c r="L104" s="28"/>
      <c r="M104" s="28"/>
      <c r="N104" s="28"/>
      <c r="O104" s="28"/>
    </row>
    <row r="105" spans="1:15" ht="12.75" customHeight="1" x14ac:dyDescent="0.35">
      <c r="A105" s="28"/>
      <c r="B105" s="28"/>
      <c r="C105" s="28"/>
      <c r="D105" s="28"/>
      <c r="E105" s="28"/>
      <c r="F105" s="28"/>
      <c r="G105" s="28"/>
      <c r="H105" s="28"/>
      <c r="I105" s="28"/>
      <c r="J105" s="28"/>
      <c r="K105" s="28"/>
      <c r="L105" s="28"/>
      <c r="M105" s="28"/>
      <c r="N105" s="28"/>
      <c r="O105" s="28"/>
    </row>
    <row r="106" spans="1:15" ht="12.75" customHeight="1" x14ac:dyDescent="0.35">
      <c r="A106" s="28"/>
      <c r="B106" s="28"/>
      <c r="C106" s="28"/>
      <c r="D106" s="28" t="s">
        <v>3960</v>
      </c>
      <c r="E106" s="28"/>
      <c r="F106" s="28"/>
      <c r="G106" s="28"/>
      <c r="H106" s="28" t="str">
        <f ca="1">"Värde "&amp;Calculations!$N$627&amp;""</f>
        <v>Värde (12/2024)</v>
      </c>
      <c r="I106" s="28"/>
      <c r="J106" s="28"/>
      <c r="K106" s="28"/>
      <c r="L106" s="28"/>
      <c r="M106" s="28"/>
      <c r="N106" s="28"/>
      <c r="O106" s="28"/>
    </row>
    <row r="107" spans="1:15" ht="12.75" customHeight="1" x14ac:dyDescent="0.35">
      <c r="A107" s="28"/>
      <c r="B107" s="28"/>
      <c r="C107" s="28"/>
      <c r="D107" s="28"/>
      <c r="E107" s="28"/>
      <c r="F107" s="28"/>
      <c r="G107" s="28"/>
      <c r="H107" s="28"/>
      <c r="I107" s="28"/>
      <c r="J107" s="28"/>
      <c r="K107" s="28"/>
      <c r="L107" s="28"/>
      <c r="M107" s="28"/>
      <c r="N107" s="28"/>
      <c r="O107" s="28"/>
    </row>
    <row r="108" spans="1:15" ht="12.75" customHeight="1" x14ac:dyDescent="0.35">
      <c r="A108" s="28"/>
      <c r="B108" s="28"/>
      <c r="C108" s="28"/>
      <c r="D108" s="28" t="s">
        <v>3961</v>
      </c>
      <c r="E108" s="28"/>
      <c r="F108" s="28"/>
      <c r="G108" s="28"/>
      <c r="H108" s="28" t="str">
        <f>"Nuvärde ("&amp;$F$11&amp;")"</f>
        <v>Nuvärde ()</v>
      </c>
      <c r="I108" s="28"/>
      <c r="J108" s="28"/>
      <c r="K108" s="28"/>
      <c r="L108" s="28"/>
      <c r="M108" s="28"/>
      <c r="N108" s="28"/>
      <c r="O108" s="28"/>
    </row>
    <row r="109" spans="1:15" ht="12.75" customHeight="1" x14ac:dyDescent="0.35">
      <c r="A109" s="28"/>
      <c r="B109" s="28"/>
      <c r="C109" s="28"/>
      <c r="D109" s="28"/>
      <c r="E109" s="28"/>
      <c r="F109" s="28"/>
      <c r="G109" s="28"/>
      <c r="H109" s="28"/>
      <c r="I109" s="28"/>
      <c r="J109" s="28"/>
      <c r="K109" s="28"/>
      <c r="L109" s="28"/>
      <c r="M109" s="28"/>
      <c r="N109" s="28"/>
      <c r="O109" s="28"/>
    </row>
    <row r="110" spans="1:15" ht="12.75" customHeight="1" x14ac:dyDescent="0.35">
      <c r="A110" s="28"/>
      <c r="B110" s="28"/>
      <c r="C110" s="28"/>
      <c r="D110" s="105" t="s">
        <v>3998</v>
      </c>
      <c r="E110" s="28"/>
      <c r="F110" s="28"/>
      <c r="G110" s="28"/>
      <c r="H110" s="28"/>
      <c r="I110" s="28"/>
      <c r="J110" s="28"/>
      <c r="K110" s="28"/>
      <c r="L110" s="28"/>
      <c r="M110" s="28"/>
      <c r="N110" s="28"/>
      <c r="O110" s="28"/>
    </row>
    <row r="111" spans="1:15" ht="12.75" customHeight="1" x14ac:dyDescent="0.35">
      <c r="A111" s="28"/>
      <c r="B111" s="28"/>
      <c r="C111" s="28"/>
      <c r="D111" s="28" t="s">
        <v>3999</v>
      </c>
      <c r="E111" s="28"/>
      <c r="F111" s="28"/>
      <c r="G111" s="28"/>
      <c r="H111" s="28"/>
      <c r="I111" s="28"/>
      <c r="J111" s="28"/>
      <c r="K111" s="28"/>
      <c r="L111" s="28"/>
      <c r="M111" s="28"/>
      <c r="N111" s="28"/>
      <c r="O111" s="28"/>
    </row>
    <row r="112" spans="1:15" ht="12.75" customHeight="1" x14ac:dyDescent="0.35">
      <c r="A112" s="28"/>
      <c r="B112" s="28"/>
      <c r="C112" s="28"/>
      <c r="D112" s="111" t="s">
        <v>4000</v>
      </c>
      <c r="E112" s="28"/>
      <c r="F112" s="28"/>
      <c r="G112" s="28"/>
      <c r="H112" s="28"/>
      <c r="I112" s="28"/>
      <c r="J112" s="28"/>
      <c r="K112" s="28"/>
      <c r="L112" s="28"/>
      <c r="M112" s="28"/>
      <c r="N112" s="28"/>
      <c r="O112" s="28"/>
    </row>
    <row r="113" spans="1:15" ht="12.75" customHeight="1" x14ac:dyDescent="0.35">
      <c r="A113" s="28"/>
      <c r="B113" s="28"/>
      <c r="C113" s="28"/>
      <c r="D113" s="28"/>
      <c r="E113" s="28"/>
      <c r="F113" s="28"/>
      <c r="G113" s="28"/>
      <c r="H113" s="28"/>
      <c r="I113" s="28"/>
      <c r="J113" s="28"/>
      <c r="K113" s="28"/>
      <c r="L113" s="28"/>
      <c r="M113" s="28"/>
      <c r="N113" s="28"/>
      <c r="O113" s="28"/>
    </row>
    <row r="114" spans="1:15" ht="12.75" customHeight="1" x14ac:dyDescent="0.35">
      <c r="A114" s="28"/>
      <c r="B114" s="28"/>
      <c r="C114" s="28"/>
      <c r="D114" s="28" t="s">
        <v>4001</v>
      </c>
      <c r="E114" s="28"/>
      <c r="F114" s="28"/>
      <c r="G114" s="28"/>
      <c r="H114" s="28"/>
      <c r="I114" s="28"/>
      <c r="J114" s="28"/>
      <c r="K114" s="28"/>
      <c r="L114" s="28"/>
      <c r="M114" s="28"/>
      <c r="N114" s="28"/>
      <c r="O114" s="28"/>
    </row>
    <row r="115" spans="1:15" ht="12.75" customHeight="1" x14ac:dyDescent="0.35">
      <c r="A115" s="28"/>
      <c r="B115" s="28"/>
      <c r="C115" s="28"/>
      <c r="D115" s="105" t="s">
        <v>4002</v>
      </c>
      <c r="E115" s="28"/>
      <c r="F115" s="28"/>
      <c r="G115" s="28"/>
      <c r="H115" s="28"/>
      <c r="I115" s="28"/>
      <c r="J115" s="28"/>
      <c r="K115" s="28"/>
      <c r="L115" s="28"/>
      <c r="M115" s="28"/>
      <c r="N115" s="28"/>
      <c r="O115" s="28"/>
    </row>
    <row r="116" spans="1:15" ht="12.75" customHeight="1" x14ac:dyDescent="0.35">
      <c r="A116" s="28"/>
      <c r="B116" s="28"/>
      <c r="C116" s="28"/>
      <c r="D116" s="28" t="s">
        <v>4003</v>
      </c>
      <c r="E116" s="28"/>
      <c r="F116" s="28"/>
      <c r="G116" s="28"/>
      <c r="H116" s="28"/>
      <c r="I116" s="28"/>
      <c r="J116" s="28"/>
      <c r="K116" s="28"/>
      <c r="L116" s="28"/>
      <c r="M116" s="28"/>
      <c r="N116" s="28"/>
      <c r="O116" s="28"/>
    </row>
    <row r="117" spans="1:15" ht="12.75" customHeight="1" x14ac:dyDescent="0.35">
      <c r="A117" s="28"/>
      <c r="B117" s="28"/>
      <c r="C117" s="28"/>
      <c r="D117" s="28"/>
      <c r="E117" s="28"/>
      <c r="F117" s="28"/>
      <c r="G117" s="28"/>
      <c r="H117" s="28"/>
      <c r="I117" s="28"/>
      <c r="J117" s="28"/>
      <c r="K117" s="28"/>
      <c r="L117" s="28"/>
      <c r="M117" s="28"/>
      <c r="N117" s="28"/>
      <c r="O117" s="28"/>
    </row>
    <row r="118" spans="1:15" ht="12.75" customHeight="1" x14ac:dyDescent="0.35">
      <c r="A118" s="28"/>
      <c r="B118" s="28"/>
      <c r="C118" s="28"/>
      <c r="D118" s="28" t="s">
        <v>4004</v>
      </c>
      <c r="E118" s="28"/>
      <c r="F118" s="28"/>
      <c r="G118" s="28"/>
      <c r="H118" s="28" t="s">
        <v>4005</v>
      </c>
      <c r="I118" s="28"/>
      <c r="J118" s="28"/>
      <c r="K118" s="28"/>
      <c r="L118" s="28"/>
      <c r="M118" s="28"/>
      <c r="N118" s="28"/>
      <c r="O118" s="28"/>
    </row>
    <row r="119" spans="1:15" ht="12.75" customHeight="1" x14ac:dyDescent="0.35">
      <c r="A119" s="28"/>
      <c r="B119" s="28"/>
      <c r="C119" s="28"/>
      <c r="D119" s="28" t="str">
        <f ca="1">"Kumulativt diskonterat FCFE "&amp;IF(ISERROR($G$131),"",OFFSET(Calculations!$G$11,0,CalcPointPB))&amp;"-&gt;"&amp;IF(ISERROR($D$123),$F$123,$D$123)</f>
        <v>Kumulativt diskonterat FCFE 9/2019-&gt;</v>
      </c>
      <c r="E119" s="28"/>
      <c r="F119" s="28"/>
      <c r="G119" s="28"/>
      <c r="H119" s="28"/>
      <c r="I119" s="28"/>
      <c r="J119" s="28"/>
      <c r="K119" s="28"/>
      <c r="L119" s="28"/>
      <c r="M119" s="28"/>
      <c r="N119" s="28"/>
      <c r="O119" s="28"/>
    </row>
    <row r="120" spans="1:15" ht="12.75" customHeight="1" x14ac:dyDescent="0.35">
      <c r="A120" s="28"/>
      <c r="B120" s="28"/>
      <c r="C120" s="28"/>
      <c r="D120" s="28" t="str">
        <f ca="1">"Kumulativt diskonterat FCFE "&amp;IF(ISERROR($G$131),"",OFFSET(Calculations!$G$11,0,CalcPointPB))&amp;"-&gt;"&amp;IF(ISERROR($E$123),$F$123,IF($E$123=$D$123,$F$123,$E$123))</f>
        <v>Kumulativt diskonterat FCFE 9/2019-&gt;</v>
      </c>
      <c r="E120" s="28"/>
      <c r="F120" s="28"/>
      <c r="G120" s="28"/>
      <c r="H120" s="28"/>
      <c r="I120" s="28"/>
      <c r="J120" s="28"/>
      <c r="K120" s="28"/>
      <c r="L120" s="28"/>
      <c r="M120" s="28"/>
      <c r="N120" s="28"/>
      <c r="O120" s="28"/>
    </row>
    <row r="121" spans="1:15" ht="12.75" customHeight="1" x14ac:dyDescent="0.35">
      <c r="A121" s="28"/>
      <c r="B121" s="28"/>
      <c r="C121" s="28"/>
      <c r="D121" s="28" t="s">
        <v>3988</v>
      </c>
      <c r="E121" s="28"/>
      <c r="F121" s="28"/>
      <c r="G121" s="28"/>
      <c r="I121" s="28"/>
      <c r="J121" s="28"/>
      <c r="K121" s="28"/>
      <c r="L121" s="28"/>
      <c r="M121" s="28"/>
      <c r="N121" s="28"/>
      <c r="O121" s="28"/>
    </row>
    <row r="122" spans="1:15" ht="12.75" customHeight="1" x14ac:dyDescent="0.35">
      <c r="A122" s="28"/>
      <c r="B122" s="28"/>
      <c r="C122" s="28"/>
      <c r="D122" s="28" t="s">
        <v>4006</v>
      </c>
      <c r="E122" s="28"/>
      <c r="F122" s="28"/>
      <c r="G122" s="28"/>
      <c r="H122" s="28" t="s">
        <v>4007</v>
      </c>
      <c r="I122" s="28"/>
      <c r="J122" s="28"/>
      <c r="K122" s="28"/>
      <c r="L122" s="28"/>
      <c r="M122" s="28"/>
      <c r="N122" s="28"/>
      <c r="O122" s="28"/>
    </row>
    <row r="123" spans="1:15" ht="12.75" customHeight="1" x14ac:dyDescent="0.35">
      <c r="A123" s="28"/>
      <c r="B123" s="28"/>
      <c r="C123" s="28"/>
      <c r="D123" s="28"/>
      <c r="E123" s="28"/>
      <c r="F123" s="28"/>
      <c r="G123" s="28"/>
      <c r="H123" s="28"/>
      <c r="I123" s="28"/>
      <c r="J123" s="28"/>
      <c r="K123" s="28"/>
      <c r="L123" s="28"/>
      <c r="M123" s="28"/>
      <c r="N123" s="28"/>
      <c r="O123" s="28"/>
    </row>
    <row r="124" spans="1:15" ht="12.75" customHeight="1" x14ac:dyDescent="0.35">
      <c r="A124" s="28"/>
      <c r="B124" s="28"/>
      <c r="C124" s="28"/>
      <c r="D124" s="28"/>
      <c r="E124" s="28"/>
      <c r="F124" s="28"/>
      <c r="G124" s="28"/>
      <c r="H124" s="28"/>
      <c r="I124" s="28"/>
      <c r="J124" s="28"/>
      <c r="K124" s="28"/>
      <c r="L124" s="28"/>
      <c r="M124" s="28"/>
      <c r="N124" s="28"/>
      <c r="O124" s="28"/>
    </row>
    <row r="125" spans="1:15" ht="12.75" customHeight="1" x14ac:dyDescent="0.35">
      <c r="A125" s="28"/>
      <c r="B125" s="28"/>
      <c r="C125" s="28"/>
      <c r="D125" s="28" t="s">
        <v>4008</v>
      </c>
      <c r="E125" s="28"/>
      <c r="F125" s="28"/>
      <c r="G125" s="28"/>
      <c r="H125" s="28"/>
      <c r="I125" s="28"/>
      <c r="J125" s="28"/>
      <c r="K125" s="28"/>
      <c r="L125" s="28"/>
      <c r="M125" s="28"/>
      <c r="N125" s="28"/>
      <c r="O125" s="28"/>
    </row>
    <row r="126" spans="1:15" ht="12.75" customHeight="1" x14ac:dyDescent="0.35">
      <c r="A126" s="28"/>
      <c r="B126" s="28"/>
      <c r="C126" s="28"/>
      <c r="D126" s="28" t="s">
        <v>4009</v>
      </c>
      <c r="E126" s="28"/>
      <c r="F126" s="28"/>
      <c r="G126" s="28"/>
      <c r="H126" s="28"/>
      <c r="I126" s="28"/>
      <c r="J126" s="28"/>
      <c r="K126" s="28"/>
      <c r="L126" s="28"/>
      <c r="M126" s="28"/>
      <c r="N126" s="28"/>
      <c r="O126" s="28"/>
    </row>
    <row r="127" spans="1:15" ht="12.75" customHeight="1" x14ac:dyDescent="0.35">
      <c r="A127" s="28"/>
      <c r="B127" s="28"/>
      <c r="C127" s="28"/>
      <c r="D127" s="28"/>
      <c r="E127" s="28"/>
      <c r="F127" s="28"/>
      <c r="G127" s="28"/>
      <c r="H127" s="28"/>
      <c r="I127" s="28"/>
      <c r="J127" s="28"/>
      <c r="K127" s="28"/>
      <c r="L127" s="28"/>
      <c r="M127" s="28"/>
      <c r="N127" s="28"/>
      <c r="O127" s="28"/>
    </row>
    <row r="128" spans="1:15" ht="12.75" customHeight="1" x14ac:dyDescent="0.35">
      <c r="A128" s="28"/>
      <c r="B128" s="28"/>
      <c r="C128" s="28"/>
      <c r="D128" s="28"/>
      <c r="E128" s="28"/>
      <c r="F128" s="28"/>
      <c r="G128" s="28"/>
      <c r="H128" s="28"/>
      <c r="I128" s="28"/>
      <c r="J128" s="28"/>
      <c r="K128" s="28"/>
      <c r="L128" s="28"/>
      <c r="M128" s="28"/>
      <c r="N128" s="28"/>
      <c r="O128" s="28"/>
    </row>
    <row r="129" spans="1:15" ht="12.75" customHeight="1" x14ac:dyDescent="0.35">
      <c r="A129" s="28"/>
      <c r="B129" s="28"/>
      <c r="C129" s="28"/>
      <c r="D129" s="28"/>
      <c r="E129" s="28"/>
      <c r="F129" s="28"/>
      <c r="G129" s="28"/>
      <c r="H129" s="28"/>
      <c r="I129" s="28"/>
      <c r="J129" s="28"/>
      <c r="K129" s="28"/>
      <c r="L129" s="28"/>
      <c r="M129" s="28"/>
      <c r="N129" s="28"/>
      <c r="O129" s="28"/>
    </row>
    <row r="130" spans="1:15" ht="12.75" customHeight="1" x14ac:dyDescent="0.35">
      <c r="A130" s="28"/>
      <c r="B130" s="28"/>
      <c r="C130" s="28"/>
      <c r="D130" s="28" t="s">
        <v>4010</v>
      </c>
      <c r="E130" s="28"/>
      <c r="F130" s="28"/>
      <c r="G130" s="28"/>
      <c r="H130" s="28"/>
      <c r="I130" s="28"/>
      <c r="J130" s="28"/>
      <c r="K130" s="28"/>
      <c r="L130" s="28"/>
      <c r="M130" s="28"/>
      <c r="N130" s="28"/>
      <c r="O130" s="28"/>
    </row>
  </sheetData>
  <printOptions gridLines="1"/>
  <pageMargins left="0.75" right="0.75" top="1" bottom="1" header="0.5" footer="0.5"/>
  <pageSetup paperSize="9" orientation="portrait" r:id="rId1"/>
  <headerFooter>
    <oddHeader>&amp;C&amp;A</oddHeader>
    <oddFooter>&amp;CPage &amp;P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8">
    <pageSetUpPr autoPageBreaks="0"/>
  </sheetPr>
  <dimension ref="A1:O130"/>
  <sheetViews>
    <sheetView workbookViewId="0">
      <selection activeCell="D35" sqref="D35"/>
    </sheetView>
  </sheetViews>
  <sheetFormatPr defaultColWidth="9.1796875" defaultRowHeight="14.5" x14ac:dyDescent="0.35"/>
  <cols>
    <col min="1" max="2" width="4" style="97" customWidth="1"/>
    <col min="3" max="16384" width="9.1796875" style="97"/>
  </cols>
  <sheetData>
    <row r="1" spans="1:15" ht="12.75" customHeight="1" x14ac:dyDescent="0.35">
      <c r="A1" s="28"/>
      <c r="B1" s="28"/>
      <c r="C1" s="28" t="s">
        <v>4011</v>
      </c>
      <c r="D1" s="28"/>
      <c r="E1" s="28"/>
      <c r="F1" s="28"/>
      <c r="G1" s="28"/>
      <c r="H1" s="28"/>
      <c r="I1" s="28"/>
      <c r="K1" s="28"/>
      <c r="L1" s="28"/>
      <c r="M1" s="28"/>
      <c r="N1" s="28" t="s">
        <v>4012</v>
      </c>
      <c r="O1" s="28" t="s">
        <v>4013</v>
      </c>
    </row>
    <row r="2" spans="1:15" ht="12.75" customHeight="1" x14ac:dyDescent="0.35">
      <c r="A2" s="28"/>
      <c r="B2" s="28"/>
      <c r="C2" s="28"/>
      <c r="D2" s="28"/>
      <c r="E2" s="28"/>
      <c r="F2" s="28"/>
      <c r="G2" s="28"/>
      <c r="H2" s="28"/>
      <c r="I2" s="28"/>
      <c r="J2" s="28"/>
      <c r="K2" s="28"/>
      <c r="L2" s="28"/>
      <c r="M2" s="28"/>
      <c r="N2" s="28"/>
      <c r="O2" s="28"/>
    </row>
    <row r="3" spans="1:15" ht="12.75" customHeight="1" x14ac:dyDescent="0.35">
      <c r="A3" s="28"/>
      <c r="B3" s="28"/>
      <c r="C3" s="28" t="s">
        <v>4014</v>
      </c>
      <c r="D3" s="28"/>
      <c r="E3" s="28"/>
      <c r="F3" s="28"/>
      <c r="G3" s="28"/>
      <c r="H3" s="28"/>
      <c r="I3" s="28"/>
      <c r="J3" s="28"/>
      <c r="K3" s="28"/>
      <c r="L3" s="28"/>
      <c r="M3" s="28"/>
      <c r="N3" s="28"/>
      <c r="O3" s="28"/>
    </row>
    <row r="4" spans="1:15" ht="12.75" customHeight="1" x14ac:dyDescent="0.35">
      <c r="A4" s="28"/>
      <c r="B4" s="28"/>
      <c r="C4" s="28"/>
      <c r="D4" s="28"/>
      <c r="E4" s="28"/>
      <c r="F4" s="28"/>
      <c r="G4" s="28"/>
      <c r="H4" s="28"/>
      <c r="I4" s="28"/>
      <c r="J4" s="28"/>
      <c r="K4" s="28"/>
      <c r="L4" s="28"/>
      <c r="M4" s="28"/>
      <c r="N4" s="28"/>
      <c r="O4" s="28"/>
    </row>
    <row r="5" spans="1:15" ht="12.75" customHeight="1" x14ac:dyDescent="0.35">
      <c r="A5" s="28"/>
      <c r="B5" s="28"/>
      <c r="C5" s="28"/>
      <c r="D5" s="132" t="s">
        <v>4844</v>
      </c>
      <c r="E5" s="28"/>
      <c r="F5" s="28"/>
      <c r="G5" s="28"/>
      <c r="H5" s="28"/>
      <c r="I5" s="28"/>
      <c r="J5" s="28"/>
      <c r="K5" s="28"/>
      <c r="L5" s="28"/>
      <c r="M5" s="28"/>
      <c r="N5" s="28"/>
      <c r="O5" s="28"/>
    </row>
    <row r="6" spans="1:15" ht="12.75" customHeight="1" x14ac:dyDescent="0.35">
      <c r="A6" s="28"/>
      <c r="B6" s="28"/>
      <c r="C6" s="28"/>
      <c r="D6" s="28" t="s">
        <v>4850</v>
      </c>
      <c r="E6" s="28"/>
      <c r="F6" s="28"/>
      <c r="G6" s="28"/>
      <c r="H6" s="28"/>
      <c r="I6" s="28"/>
      <c r="J6" s="28"/>
      <c r="K6" s="28"/>
      <c r="L6" s="28"/>
      <c r="M6" s="28"/>
      <c r="N6" s="28"/>
      <c r="O6" s="28"/>
    </row>
    <row r="7" spans="1:15" ht="12.75" customHeight="1" x14ac:dyDescent="0.35">
      <c r="A7" s="28"/>
      <c r="B7" s="28"/>
      <c r="C7" s="28"/>
      <c r="D7" s="28"/>
      <c r="E7" s="28"/>
      <c r="F7" s="28"/>
      <c r="G7" s="28"/>
      <c r="H7" s="28"/>
      <c r="I7" s="28"/>
      <c r="J7" s="28"/>
      <c r="K7" s="28"/>
      <c r="L7" s="28"/>
      <c r="M7" s="28"/>
      <c r="N7" s="28"/>
      <c r="O7" s="28"/>
    </row>
    <row r="8" spans="1:15" ht="12.75" customHeight="1" x14ac:dyDescent="0.35">
      <c r="A8" s="28"/>
      <c r="B8" s="28"/>
      <c r="C8" s="28"/>
      <c r="D8" s="28" t="s">
        <v>4015</v>
      </c>
      <c r="E8" s="28"/>
      <c r="F8" s="28"/>
      <c r="G8" s="28"/>
      <c r="H8" s="28" t="s">
        <v>4016</v>
      </c>
      <c r="I8" s="28"/>
      <c r="J8" s="28"/>
      <c r="K8" s="28"/>
      <c r="L8" s="28"/>
      <c r="M8" s="28"/>
      <c r="N8" s="28"/>
      <c r="O8" s="28"/>
    </row>
    <row r="9" spans="1:15" ht="12.75" customHeight="1" x14ac:dyDescent="0.35">
      <c r="A9" s="28"/>
      <c r="B9" s="28"/>
      <c r="C9" s="28"/>
      <c r="D9" s="28" t="s">
        <v>4017</v>
      </c>
      <c r="E9" s="28"/>
      <c r="F9" s="28"/>
      <c r="G9" s="28"/>
      <c r="H9" s="28"/>
      <c r="I9" s="28"/>
      <c r="J9" s="28"/>
      <c r="K9" s="28"/>
      <c r="L9" s="28"/>
      <c r="M9" s="28"/>
      <c r="N9" s="28"/>
      <c r="O9" s="28"/>
    </row>
    <row r="10" spans="1:15" ht="12.75" customHeight="1" x14ac:dyDescent="0.35">
      <c r="A10" s="28"/>
      <c r="B10" s="28"/>
      <c r="C10" s="28"/>
      <c r="D10" s="28" t="s">
        <v>4018</v>
      </c>
      <c r="E10" s="28"/>
      <c r="F10" s="28"/>
      <c r="G10" s="28"/>
      <c r="H10" s="28" t="s">
        <v>2452</v>
      </c>
      <c r="I10" s="28"/>
      <c r="J10" s="28"/>
      <c r="K10" s="28"/>
      <c r="L10" s="28"/>
      <c r="M10" s="28"/>
      <c r="N10" s="28"/>
      <c r="O10" s="28"/>
    </row>
    <row r="11" spans="1:15" ht="12.75" customHeight="1" x14ac:dyDescent="0.35">
      <c r="A11" s="28"/>
      <c r="B11" s="28"/>
      <c r="C11" s="28"/>
      <c r="D11" s="28" t="s">
        <v>4019</v>
      </c>
      <c r="E11" s="28"/>
      <c r="F11" s="28"/>
      <c r="G11" s="28"/>
      <c r="H11" s="28" t="str">
        <f>"(Am "&amp;IF(CalcPoint=0,"Anfang","Ende")&amp;" der Periode)"</f>
        <v>(Am Anfang der Periode)</v>
      </c>
      <c r="I11" s="28"/>
      <c r="J11" s="28"/>
      <c r="K11" s="28"/>
      <c r="L11" s="28"/>
      <c r="M11" s="28"/>
      <c r="N11" s="28"/>
      <c r="O11" s="28"/>
    </row>
    <row r="12" spans="1:15" ht="12.75" customHeight="1" x14ac:dyDescent="0.35">
      <c r="A12" s="28"/>
      <c r="B12" s="28"/>
      <c r="C12" s="28"/>
      <c r="D12" s="28"/>
      <c r="E12" s="28"/>
      <c r="F12" s="28"/>
      <c r="G12" s="28"/>
      <c r="H12" s="28"/>
      <c r="I12" s="28"/>
      <c r="J12" s="28"/>
      <c r="K12" s="28"/>
      <c r="L12" s="28"/>
      <c r="M12" s="28"/>
      <c r="N12" s="28"/>
      <c r="O12" s="28"/>
    </row>
    <row r="13" spans="1:15" ht="12.75" customHeight="1" x14ac:dyDescent="0.35">
      <c r="A13" s="28"/>
      <c r="B13" s="28"/>
      <c r="C13" s="28"/>
      <c r="D13" s="28"/>
      <c r="E13" s="28"/>
      <c r="F13" s="28"/>
      <c r="G13" s="28"/>
      <c r="H13" s="28"/>
      <c r="I13" s="28"/>
      <c r="J13" s="28"/>
      <c r="K13" s="28"/>
      <c r="L13" s="28"/>
      <c r="M13" s="28"/>
      <c r="N13" s="28"/>
      <c r="O13" s="28"/>
    </row>
    <row r="14" spans="1:15" ht="12.75" customHeight="1" x14ac:dyDescent="0.35">
      <c r="A14" s="28"/>
      <c r="B14" s="28"/>
      <c r="C14" s="28"/>
      <c r="D14" s="28" t="s">
        <v>4020</v>
      </c>
      <c r="E14" s="28"/>
      <c r="F14" s="28"/>
      <c r="G14" s="28"/>
      <c r="H14" s="28" t="s">
        <v>4021</v>
      </c>
      <c r="I14" s="28"/>
      <c r="J14" s="28"/>
      <c r="K14" s="28"/>
      <c r="L14" s="28"/>
      <c r="M14" s="28"/>
      <c r="N14" s="28"/>
      <c r="O14" s="28"/>
    </row>
    <row r="15" spans="1:15" ht="12.75" customHeight="1" x14ac:dyDescent="0.35">
      <c r="A15" s="28"/>
      <c r="B15" s="28"/>
      <c r="C15" s="28"/>
      <c r="D15" s="28" t="s">
        <v>4022</v>
      </c>
      <c r="E15" s="28"/>
      <c r="F15" s="28"/>
      <c r="G15" s="28"/>
      <c r="H15" s="28"/>
      <c r="I15" s="28"/>
      <c r="J15" s="28"/>
      <c r="K15" s="28"/>
      <c r="L15" s="28"/>
      <c r="M15" s="28"/>
      <c r="N15" s="28"/>
      <c r="O15" s="28"/>
    </row>
    <row r="16" spans="1:15" ht="12.75" customHeight="1" x14ac:dyDescent="0.35">
      <c r="A16" s="28"/>
      <c r="B16" s="28"/>
      <c r="C16" s="28"/>
      <c r="D16" s="28" t="s">
        <v>4023</v>
      </c>
      <c r="E16" s="28"/>
      <c r="F16" s="28"/>
      <c r="G16" s="28"/>
      <c r="H16" s="28"/>
      <c r="I16" s="28"/>
      <c r="J16" s="28"/>
      <c r="K16" s="28"/>
      <c r="L16" s="28"/>
      <c r="M16" s="28"/>
      <c r="N16" s="28"/>
      <c r="O16" s="28"/>
    </row>
    <row r="17" spans="1:15" ht="12.75" customHeight="1" x14ac:dyDescent="0.35">
      <c r="A17" s="28"/>
      <c r="B17" s="28"/>
      <c r="C17" s="28"/>
      <c r="D17" s="28"/>
      <c r="E17" s="28"/>
      <c r="F17" s="28"/>
      <c r="G17" s="28"/>
      <c r="H17" s="28"/>
      <c r="I17" s="28"/>
      <c r="J17" s="28"/>
      <c r="K17" s="28"/>
      <c r="L17" s="28"/>
      <c r="M17" s="28"/>
      <c r="N17" s="28"/>
      <c r="O17" s="28"/>
    </row>
    <row r="18" spans="1:15" ht="12.75" customHeight="1" x14ac:dyDescent="0.35">
      <c r="A18" s="28"/>
      <c r="B18" s="28"/>
      <c r="C18" s="28"/>
      <c r="D18" s="28" t="str">
        <f>"Basis für "&amp;IF(PerpetuityLimitation=1,"Fortführungswert (Perpetuity)","Extrapolation")</f>
        <v>Basis für Fortführungswert (Perpetuity)</v>
      </c>
      <c r="E18" s="28"/>
      <c r="F18" s="28"/>
      <c r="G18" s="28"/>
      <c r="H18" s="28"/>
      <c r="I18" s="28"/>
      <c r="J18" s="28"/>
      <c r="K18" s="28"/>
      <c r="L18" s="28"/>
      <c r="M18" s="28"/>
      <c r="N18" s="28"/>
      <c r="O18" s="28"/>
    </row>
    <row r="19" spans="1:15" ht="12.75" customHeight="1" x14ac:dyDescent="0.35">
      <c r="A19" s="28"/>
      <c r="B19" s="28"/>
      <c r="C19" s="28"/>
      <c r="D19" s="28"/>
      <c r="E19" s="28"/>
      <c r="F19" s="28"/>
      <c r="G19" s="28"/>
      <c r="H19" s="28"/>
      <c r="I19" s="28"/>
      <c r="J19" s="28"/>
      <c r="K19" s="28"/>
      <c r="L19" s="28"/>
      <c r="M19" s="28"/>
      <c r="N19" s="28"/>
      <c r="O19" s="28"/>
    </row>
    <row r="20" spans="1:15" ht="12.75" customHeight="1" x14ac:dyDescent="0.35">
      <c r="A20" s="28"/>
      <c r="B20" s="28"/>
      <c r="C20" s="28"/>
      <c r="D20" s="28" t="s">
        <v>4024</v>
      </c>
      <c r="E20" s="28"/>
      <c r="F20" s="28"/>
      <c r="G20" s="28"/>
      <c r="H20" s="97" t="s">
        <v>4854</v>
      </c>
      <c r="I20" s="28"/>
      <c r="J20" s="28"/>
      <c r="K20" s="28"/>
      <c r="L20" s="28"/>
      <c r="M20" s="28"/>
      <c r="N20" s="28"/>
      <c r="O20" s="28"/>
    </row>
    <row r="21" spans="1:15" ht="12.75" customHeight="1" x14ac:dyDescent="0.35">
      <c r="A21" s="28"/>
      <c r="B21" s="28"/>
      <c r="C21" s="28"/>
      <c r="D21" s="28"/>
      <c r="E21" s="28"/>
      <c r="F21" s="28"/>
      <c r="G21" s="28"/>
      <c r="H21" s="28"/>
      <c r="I21" s="28"/>
      <c r="J21" s="28"/>
      <c r="K21" s="28"/>
      <c r="L21" s="28"/>
      <c r="M21" s="28"/>
      <c r="N21" s="28"/>
      <c r="O21" s="28"/>
    </row>
    <row r="22" spans="1:15" ht="12.75" customHeight="1" x14ac:dyDescent="0.35">
      <c r="A22" s="28"/>
      <c r="B22" s="28"/>
      <c r="C22" s="28"/>
      <c r="D22" s="28" t="s">
        <v>4025</v>
      </c>
      <c r="E22" s="28"/>
      <c r="F22" s="28"/>
      <c r="G22" s="28"/>
      <c r="H22" s="28" t="str">
        <f ca="1">"Basis "&amp;Calculations!$N$627&amp;""</f>
        <v>Basis (12/2024)</v>
      </c>
      <c r="I22" s="28"/>
      <c r="J22" s="28"/>
      <c r="K22" s="28"/>
      <c r="L22" s="28"/>
      <c r="M22" s="28"/>
      <c r="N22" s="28"/>
      <c r="O22" s="28"/>
    </row>
    <row r="23" spans="1:15" ht="12.75" customHeight="1" x14ac:dyDescent="0.35">
      <c r="A23" s="28"/>
      <c r="B23" s="28"/>
      <c r="C23" s="28"/>
      <c r="D23" s="28"/>
      <c r="E23" s="28"/>
      <c r="F23" s="28"/>
      <c r="G23" s="28"/>
      <c r="H23" s="28"/>
      <c r="I23" s="28"/>
      <c r="J23" s="28"/>
      <c r="K23" s="28"/>
      <c r="L23" s="28"/>
      <c r="M23" s="28"/>
      <c r="N23" s="28"/>
      <c r="O23" s="28"/>
    </row>
    <row r="24" spans="1:15" ht="12.75" customHeight="1" x14ac:dyDescent="0.35">
      <c r="A24" s="28"/>
      <c r="B24" s="28"/>
      <c r="C24" s="28"/>
      <c r="D24" s="28" t="s">
        <v>4026</v>
      </c>
      <c r="E24" s="28"/>
      <c r="F24" s="28"/>
      <c r="G24" s="28"/>
      <c r="H24" s="28" t="s">
        <v>4855</v>
      </c>
      <c r="I24" s="28"/>
      <c r="J24" s="28"/>
      <c r="K24" s="28"/>
      <c r="L24" s="28"/>
      <c r="M24" s="28"/>
      <c r="N24" s="28"/>
      <c r="O24" s="28"/>
    </row>
    <row r="25" spans="1:15" ht="12.75" customHeight="1" x14ac:dyDescent="0.35">
      <c r="A25" s="28"/>
      <c r="B25" s="28"/>
      <c r="C25" s="28"/>
      <c r="D25" s="28"/>
      <c r="E25" s="28"/>
      <c r="F25" s="28"/>
      <c r="G25" s="28"/>
      <c r="H25" s="28"/>
      <c r="I25" s="28"/>
      <c r="J25" s="28"/>
      <c r="K25" s="28"/>
      <c r="L25" s="28"/>
      <c r="M25" s="28"/>
      <c r="N25" s="28"/>
      <c r="O25" s="28"/>
    </row>
    <row r="26" spans="1:15" ht="12.75" customHeight="1" x14ac:dyDescent="0.35">
      <c r="A26" s="28"/>
      <c r="B26" s="28"/>
      <c r="C26" s="28"/>
      <c r="D26" s="28" t="s">
        <v>4027</v>
      </c>
      <c r="E26" s="28"/>
      <c r="F26" s="28"/>
      <c r="G26" s="28"/>
      <c r="H26" s="28" t="str">
        <f ca="1">"Wert "&amp;Calculations!$N$627&amp;""</f>
        <v>Wert (12/2024)</v>
      </c>
      <c r="I26" s="28"/>
      <c r="J26" s="28"/>
      <c r="K26" s="28"/>
      <c r="L26" s="28"/>
      <c r="M26" s="28"/>
      <c r="N26" s="28"/>
      <c r="O26" s="28"/>
    </row>
    <row r="27" spans="1:15" ht="12.75" customHeight="1" x14ac:dyDescent="0.35">
      <c r="A27" s="28"/>
      <c r="B27" s="28"/>
      <c r="C27" s="28"/>
      <c r="D27" s="28"/>
      <c r="E27" s="28"/>
      <c r="F27" s="28"/>
      <c r="G27" s="28"/>
      <c r="H27" s="28"/>
      <c r="I27" s="28"/>
      <c r="J27" s="28"/>
      <c r="K27" s="28"/>
      <c r="L27" s="28"/>
      <c r="M27" s="28"/>
      <c r="N27" s="28"/>
      <c r="O27" s="28"/>
    </row>
    <row r="28" spans="1:15" ht="12.75" customHeight="1" x14ac:dyDescent="0.35">
      <c r="A28" s="28"/>
      <c r="B28" s="28"/>
      <c r="C28" s="28"/>
      <c r="D28" s="28" t="s">
        <v>4028</v>
      </c>
      <c r="E28" s="28"/>
      <c r="F28" s="28"/>
      <c r="G28" s="28"/>
      <c r="H28" s="28" t="str">
        <f>"Barwert ("&amp;$F$11&amp;")"</f>
        <v>Barwert ()</v>
      </c>
      <c r="I28" s="28"/>
      <c r="J28" s="28"/>
      <c r="K28" s="28"/>
      <c r="L28" s="28"/>
      <c r="M28" s="28"/>
      <c r="N28" s="28"/>
      <c r="O28" s="28"/>
    </row>
    <row r="29" spans="1:15" ht="12.75" customHeight="1" x14ac:dyDescent="0.35">
      <c r="A29" s="28"/>
      <c r="B29" s="28"/>
      <c r="C29" s="28"/>
      <c r="D29" s="28"/>
      <c r="E29" s="28"/>
      <c r="F29" s="28"/>
      <c r="G29" s="28"/>
      <c r="H29" s="28"/>
      <c r="I29" s="28"/>
      <c r="J29" s="28"/>
      <c r="K29" s="28"/>
      <c r="L29" s="28"/>
      <c r="M29" s="28"/>
      <c r="N29" s="28"/>
      <c r="O29" s="28"/>
    </row>
    <row r="30" spans="1:15" ht="12.75" customHeight="1" x14ac:dyDescent="0.35">
      <c r="A30" s="28"/>
      <c r="B30" s="28"/>
      <c r="C30" s="28"/>
      <c r="D30" s="28"/>
      <c r="E30" s="28"/>
      <c r="F30" s="28"/>
      <c r="G30" s="28"/>
      <c r="H30" s="28"/>
      <c r="I30" s="28"/>
      <c r="J30" s="28"/>
      <c r="K30" s="28"/>
      <c r="L30" s="28"/>
      <c r="M30" s="28"/>
      <c r="N30" s="28"/>
      <c r="O30" s="28"/>
    </row>
    <row r="31" spans="1:15" ht="12.75" customHeight="1" x14ac:dyDescent="0.35">
      <c r="A31" s="28"/>
      <c r="B31" s="28"/>
      <c r="C31" s="28"/>
      <c r="D31" s="105" t="s">
        <v>4856</v>
      </c>
      <c r="E31" s="28"/>
      <c r="F31" s="28"/>
      <c r="G31" s="28"/>
      <c r="H31" s="105" t="s">
        <v>2266</v>
      </c>
      <c r="I31" s="28"/>
      <c r="J31" s="28"/>
      <c r="K31" s="28"/>
      <c r="L31" s="28"/>
      <c r="M31" s="28"/>
      <c r="N31" s="28"/>
      <c r="O31" s="28"/>
    </row>
    <row r="32" spans="1:15" ht="12.75" customHeight="1" x14ac:dyDescent="0.35">
      <c r="A32" s="28"/>
      <c r="B32" s="28"/>
      <c r="C32" s="28"/>
      <c r="D32" s="28"/>
      <c r="E32" s="28"/>
      <c r="F32" s="28"/>
      <c r="G32" s="28"/>
      <c r="H32" s="28"/>
      <c r="I32" s="28"/>
      <c r="J32" s="28"/>
      <c r="K32" s="28"/>
      <c r="L32" s="28"/>
      <c r="M32" s="28"/>
      <c r="N32" s="28"/>
      <c r="O32" s="28"/>
    </row>
    <row r="33" spans="1:15" ht="12.75" customHeight="1" x14ac:dyDescent="0.35">
      <c r="A33" s="28"/>
      <c r="B33" s="28"/>
      <c r="C33" s="28"/>
      <c r="D33" s="28" t="s">
        <v>4020</v>
      </c>
      <c r="E33" s="28"/>
      <c r="F33" s="28"/>
      <c r="G33" s="28"/>
      <c r="H33" s="28"/>
      <c r="I33" s="28"/>
      <c r="J33" s="28"/>
      <c r="K33" s="28"/>
      <c r="L33" s="28"/>
      <c r="M33" s="28"/>
      <c r="N33" s="28"/>
      <c r="O33" s="28"/>
    </row>
    <row r="34" spans="1:15" ht="12.75" customHeight="1" x14ac:dyDescent="0.35">
      <c r="A34" s="28"/>
      <c r="B34" s="28"/>
      <c r="C34" s="28"/>
      <c r="D34" s="28"/>
      <c r="E34" s="28"/>
      <c r="F34" s="28"/>
      <c r="G34" s="28"/>
      <c r="H34" s="28"/>
      <c r="I34" s="28"/>
      <c r="J34" s="28"/>
      <c r="K34" s="28"/>
      <c r="L34" s="28"/>
      <c r="M34" s="28"/>
      <c r="N34" s="28"/>
      <c r="O34" s="28"/>
    </row>
    <row r="35" spans="1:15" ht="12.75" customHeight="1" x14ac:dyDescent="0.35">
      <c r="A35" s="28"/>
      <c r="B35" s="28"/>
      <c r="C35" s="28"/>
      <c r="D35" s="28" t="s">
        <v>5079</v>
      </c>
      <c r="E35" s="28"/>
      <c r="F35" s="28"/>
      <c r="G35" s="28"/>
      <c r="H35" s="28"/>
      <c r="I35" s="28"/>
      <c r="J35" s="28"/>
      <c r="K35" s="28"/>
      <c r="L35" s="28"/>
      <c r="M35" s="28"/>
      <c r="N35" s="28"/>
      <c r="O35" s="28"/>
    </row>
    <row r="36" spans="1:15" ht="12.75" customHeight="1" x14ac:dyDescent="0.35">
      <c r="A36" s="28"/>
      <c r="B36" s="28"/>
      <c r="C36" s="28"/>
      <c r="D36" s="28" t="s">
        <v>4029</v>
      </c>
      <c r="E36" s="28"/>
      <c r="F36" s="28"/>
      <c r="G36" s="28"/>
      <c r="H36" s="28"/>
      <c r="I36" s="28"/>
      <c r="J36" s="28"/>
      <c r="K36" s="28"/>
      <c r="L36" s="28"/>
      <c r="M36" s="28"/>
      <c r="N36" s="28"/>
      <c r="O36" s="28"/>
    </row>
    <row r="37" spans="1:15" ht="12.75" customHeight="1" x14ac:dyDescent="0.35">
      <c r="A37" s="28"/>
      <c r="B37" s="28"/>
      <c r="C37" s="28"/>
      <c r="D37" s="28"/>
      <c r="E37" s="28"/>
      <c r="F37" s="28"/>
      <c r="G37" s="28"/>
      <c r="H37" s="28"/>
      <c r="I37" s="28"/>
      <c r="J37" s="28"/>
      <c r="K37" s="28"/>
      <c r="L37" s="28"/>
      <c r="M37" s="28"/>
      <c r="N37" s="28"/>
      <c r="O37" s="28"/>
    </row>
    <row r="38" spans="1:15" ht="12.75" customHeight="1" x14ac:dyDescent="0.35">
      <c r="A38" s="28"/>
      <c r="B38" s="28"/>
      <c r="C38" s="28"/>
      <c r="D38" s="110" t="s">
        <v>4030</v>
      </c>
      <c r="E38" s="111"/>
      <c r="F38" s="112"/>
      <c r="G38" s="2"/>
      <c r="H38" s="2"/>
      <c r="I38" s="28"/>
      <c r="J38" s="28"/>
      <c r="K38" s="28"/>
      <c r="L38" s="28"/>
      <c r="M38" s="28"/>
      <c r="N38" s="28"/>
      <c r="O38" s="28"/>
    </row>
    <row r="39" spans="1:15" ht="12.75" customHeight="1" x14ac:dyDescent="0.35">
      <c r="A39" s="28"/>
      <c r="B39" s="28"/>
      <c r="C39" s="28"/>
      <c r="D39" s="110"/>
      <c r="E39" s="111"/>
      <c r="F39" s="112"/>
      <c r="G39" s="2"/>
      <c r="H39" s="2"/>
      <c r="I39" s="28"/>
      <c r="J39" s="28"/>
      <c r="K39" s="28"/>
      <c r="L39" s="28"/>
      <c r="M39" s="28"/>
      <c r="N39" s="28"/>
      <c r="O39" s="28"/>
    </row>
    <row r="40" spans="1:15" ht="12.75" customHeight="1" x14ac:dyDescent="0.35">
      <c r="A40" s="28"/>
      <c r="B40" s="28"/>
      <c r="C40" s="28"/>
      <c r="D40" s="110"/>
      <c r="E40" s="111"/>
      <c r="F40" s="112"/>
      <c r="G40" s="2"/>
      <c r="H40" s="2"/>
      <c r="I40" s="28"/>
      <c r="J40" s="28"/>
      <c r="K40" s="28"/>
      <c r="L40" s="28"/>
      <c r="M40" s="28"/>
      <c r="N40" s="28"/>
      <c r="O40" s="28"/>
    </row>
    <row r="41" spans="1:15" ht="12.75" customHeight="1" x14ac:dyDescent="0.35">
      <c r="A41" s="28"/>
      <c r="B41" s="28"/>
      <c r="C41" s="28"/>
      <c r="D41" s="110"/>
      <c r="E41" s="111"/>
      <c r="F41" s="112"/>
      <c r="G41" s="2"/>
      <c r="H41" s="2"/>
      <c r="I41" s="28"/>
      <c r="J41" s="28"/>
      <c r="K41" s="28"/>
      <c r="L41" s="28"/>
      <c r="M41" s="28"/>
      <c r="N41" s="28"/>
      <c r="O41" s="28"/>
    </row>
    <row r="42" spans="1:15" ht="12.75" customHeight="1" x14ac:dyDescent="0.35">
      <c r="A42" s="28"/>
      <c r="B42" s="28"/>
      <c r="C42" s="28"/>
      <c r="D42" s="110"/>
      <c r="E42" s="111"/>
      <c r="F42" s="112"/>
      <c r="G42" s="2"/>
      <c r="H42" s="2"/>
      <c r="I42" s="28"/>
      <c r="J42" s="28"/>
      <c r="K42" s="28"/>
      <c r="L42" s="28"/>
      <c r="M42" s="28"/>
      <c r="N42" s="28"/>
      <c r="O42" s="28"/>
    </row>
    <row r="43" spans="1:15" ht="12.75" customHeight="1" x14ac:dyDescent="0.35">
      <c r="A43" s="28"/>
      <c r="B43" s="28"/>
      <c r="C43" s="28"/>
      <c r="D43" s="110"/>
      <c r="E43" s="111"/>
      <c r="F43" s="112"/>
      <c r="G43" s="2"/>
      <c r="H43" s="2"/>
      <c r="I43" s="28"/>
      <c r="J43" s="28"/>
      <c r="K43" s="28"/>
      <c r="L43" s="28"/>
      <c r="M43" s="28"/>
      <c r="N43" s="28"/>
      <c r="O43" s="28"/>
    </row>
    <row r="44" spans="1:15" ht="12.75" customHeight="1" x14ac:dyDescent="0.35">
      <c r="A44" s="28"/>
      <c r="B44" s="28"/>
      <c r="C44" s="28"/>
      <c r="D44" s="110"/>
      <c r="E44" s="111"/>
      <c r="F44" s="112"/>
      <c r="G44" s="2"/>
      <c r="H44" s="2"/>
      <c r="I44" s="28"/>
      <c r="J44" s="28"/>
      <c r="K44" s="28"/>
      <c r="L44" s="28"/>
      <c r="M44" s="28"/>
      <c r="N44" s="28"/>
      <c r="O44" s="28"/>
    </row>
    <row r="45" spans="1:15" ht="12.75" customHeight="1" x14ac:dyDescent="0.35">
      <c r="A45" s="28"/>
      <c r="B45" s="28"/>
      <c r="C45" s="28"/>
      <c r="D45" s="110"/>
      <c r="E45" s="111"/>
      <c r="F45" s="112"/>
      <c r="G45" s="2"/>
      <c r="H45" s="2"/>
      <c r="I45" s="28"/>
      <c r="J45" s="28"/>
      <c r="K45" s="28"/>
      <c r="L45" s="28"/>
      <c r="M45" s="28"/>
      <c r="N45" s="28"/>
      <c r="O45" s="28"/>
    </row>
    <row r="46" spans="1:15" ht="12.75" customHeight="1" x14ac:dyDescent="0.35">
      <c r="A46" s="28"/>
      <c r="B46" s="28"/>
      <c r="C46" s="28"/>
      <c r="D46" s="110"/>
      <c r="E46" s="111"/>
      <c r="F46" s="112"/>
      <c r="G46" s="2"/>
      <c r="H46" s="2"/>
      <c r="I46" s="28"/>
      <c r="J46" s="28"/>
      <c r="K46" s="28"/>
      <c r="L46" s="28"/>
      <c r="M46" s="28"/>
      <c r="N46" s="28"/>
      <c r="O46" s="28"/>
    </row>
    <row r="47" spans="1:15" ht="12.75" customHeight="1" x14ac:dyDescent="0.35">
      <c r="A47" s="28"/>
      <c r="B47" s="28"/>
      <c r="C47" s="28"/>
      <c r="D47" s="110"/>
      <c r="E47" s="111"/>
      <c r="F47" s="112"/>
      <c r="G47" s="2"/>
      <c r="H47" s="2"/>
      <c r="I47" s="28"/>
      <c r="J47" s="28"/>
      <c r="K47" s="28"/>
      <c r="L47" s="28"/>
      <c r="M47" s="28"/>
      <c r="N47" s="28"/>
      <c r="O47" s="28"/>
    </row>
    <row r="48" spans="1:15" ht="12.75" customHeight="1" x14ac:dyDescent="0.35">
      <c r="A48" s="28"/>
      <c r="B48" s="28"/>
      <c r="C48" s="28"/>
      <c r="D48" s="111" t="s">
        <v>4857</v>
      </c>
      <c r="E48" s="111"/>
      <c r="F48" s="112"/>
      <c r="G48" s="2"/>
      <c r="H48" s="2"/>
      <c r="I48" s="28"/>
      <c r="J48" s="28"/>
      <c r="K48" s="28"/>
      <c r="L48" s="28"/>
      <c r="M48" s="28"/>
      <c r="N48" s="28"/>
      <c r="O48" s="28"/>
    </row>
    <row r="49" spans="1:15" ht="12.75" customHeight="1" x14ac:dyDescent="0.35">
      <c r="A49" s="28"/>
      <c r="B49" s="28"/>
      <c r="C49" s="28"/>
      <c r="D49" s="111" t="s">
        <v>1551</v>
      </c>
      <c r="E49" s="111"/>
      <c r="F49" s="112"/>
      <c r="G49" s="2"/>
      <c r="H49" s="113" t="s">
        <v>4031</v>
      </c>
      <c r="I49" s="28"/>
      <c r="J49" s="28"/>
      <c r="K49" s="28"/>
      <c r="L49" s="28"/>
      <c r="M49" s="28"/>
      <c r="N49" s="28"/>
      <c r="O49" s="28"/>
    </row>
    <row r="50" spans="1:15" ht="12.75" customHeight="1" x14ac:dyDescent="0.35">
      <c r="A50" s="28"/>
      <c r="B50" s="28"/>
      <c r="C50" s="28"/>
      <c r="D50" s="111"/>
      <c r="E50" s="111"/>
      <c r="F50" s="112"/>
      <c r="G50" s="2"/>
      <c r="H50" s="2"/>
      <c r="I50" s="28"/>
      <c r="J50" s="28"/>
      <c r="K50" s="28"/>
      <c r="L50" s="28"/>
      <c r="M50" s="28"/>
      <c r="N50" s="28"/>
      <c r="O50" s="28"/>
    </row>
    <row r="51" spans="1:15" ht="12.75" customHeight="1" x14ac:dyDescent="0.35">
      <c r="A51" s="28"/>
      <c r="B51" s="28"/>
      <c r="C51" s="28"/>
      <c r="D51" s="28" t="s">
        <v>4032</v>
      </c>
      <c r="E51" s="28" t="s">
        <v>4033</v>
      </c>
      <c r="F51" s="28" t="s">
        <v>4034</v>
      </c>
      <c r="G51" s="28"/>
      <c r="H51" s="28"/>
      <c r="I51" s="28"/>
      <c r="J51" s="28"/>
      <c r="K51" s="28"/>
      <c r="L51" s="28"/>
      <c r="M51" s="28"/>
      <c r="N51" s="28"/>
      <c r="O51" s="28"/>
    </row>
    <row r="52" spans="1:15" ht="12.75" customHeight="1" x14ac:dyDescent="0.35">
      <c r="A52" s="28"/>
      <c r="B52" s="28"/>
      <c r="C52" s="28"/>
      <c r="D52" s="28" t="s">
        <v>4035</v>
      </c>
      <c r="E52" s="28"/>
      <c r="F52" s="28"/>
      <c r="G52" s="28"/>
      <c r="H52" s="28"/>
      <c r="I52" s="28"/>
      <c r="J52" s="28"/>
      <c r="K52" s="28"/>
      <c r="L52" s="28"/>
      <c r="M52" s="28"/>
      <c r="N52" s="28"/>
      <c r="O52" s="28"/>
    </row>
    <row r="53" spans="1:15" ht="12.75" customHeight="1" x14ac:dyDescent="0.35">
      <c r="A53" s="28"/>
      <c r="B53" s="28"/>
      <c r="C53" s="28"/>
      <c r="D53" s="28" t="s">
        <v>4036</v>
      </c>
      <c r="E53" s="28"/>
      <c r="F53" s="28"/>
      <c r="G53" s="28"/>
      <c r="H53" s="28"/>
      <c r="I53" s="28"/>
      <c r="J53" s="28"/>
      <c r="K53" s="28"/>
      <c r="L53" s="28"/>
      <c r="M53" s="28"/>
      <c r="N53" s="28"/>
      <c r="O53" s="28"/>
    </row>
    <row r="54" spans="1:15" ht="12.75" customHeight="1" x14ac:dyDescent="0.35">
      <c r="A54" s="28"/>
      <c r="B54" s="28"/>
      <c r="C54" s="28"/>
      <c r="D54" s="28" t="s">
        <v>4037</v>
      </c>
      <c r="E54" s="28"/>
      <c r="F54" s="28"/>
      <c r="G54" s="28"/>
      <c r="H54" s="28"/>
      <c r="I54" s="28"/>
      <c r="J54" s="28"/>
      <c r="K54" s="28"/>
      <c r="L54" s="28"/>
      <c r="M54" s="28"/>
      <c r="N54" s="28"/>
      <c r="O54" s="28"/>
    </row>
    <row r="55" spans="1:15" ht="12.75" customHeight="1" x14ac:dyDescent="0.35">
      <c r="A55" s="28"/>
      <c r="B55" s="28"/>
      <c r="C55" s="28"/>
      <c r="D55" s="28" t="s">
        <v>4032</v>
      </c>
      <c r="E55" s="28"/>
      <c r="F55" s="28"/>
      <c r="G55" s="28"/>
      <c r="H55" s="28"/>
      <c r="I55" s="28"/>
      <c r="J55" s="28"/>
      <c r="K55" s="28"/>
      <c r="L55" s="28"/>
      <c r="M55" s="28"/>
      <c r="N55" s="28"/>
      <c r="O55" s="28"/>
    </row>
    <row r="56" spans="1:15" ht="12.75" customHeight="1" x14ac:dyDescent="0.35">
      <c r="A56" s="28"/>
      <c r="B56" s="28"/>
      <c r="C56" s="28"/>
      <c r="D56" s="28"/>
      <c r="E56" s="28"/>
      <c r="F56" s="28"/>
      <c r="G56" s="28"/>
      <c r="H56" s="28"/>
      <c r="I56" s="28"/>
      <c r="J56" s="28"/>
      <c r="K56" s="28"/>
      <c r="L56" s="28"/>
      <c r="M56" s="28"/>
      <c r="N56" s="28"/>
      <c r="O56" s="28"/>
    </row>
    <row r="57" spans="1:15" ht="12.75" customHeight="1" x14ac:dyDescent="0.35">
      <c r="A57" s="28" t="s">
        <v>4038</v>
      </c>
      <c r="B57" s="28"/>
      <c r="C57" s="28"/>
      <c r="D57" s="28" t="s">
        <v>4039</v>
      </c>
      <c r="E57" s="28"/>
      <c r="F57" s="28"/>
      <c r="G57" s="28"/>
      <c r="H57" s="28"/>
      <c r="I57" s="28"/>
      <c r="J57" s="28"/>
      <c r="K57" s="28"/>
      <c r="L57" s="28"/>
      <c r="M57" s="28"/>
      <c r="N57" s="28"/>
      <c r="O57" s="28"/>
    </row>
    <row r="58" spans="1:15" ht="12.75" customHeight="1" x14ac:dyDescent="0.35">
      <c r="A58" s="28" t="s">
        <v>4040</v>
      </c>
      <c r="B58" s="28"/>
      <c r="C58" s="28"/>
      <c r="D58" s="111" t="s">
        <v>4041</v>
      </c>
      <c r="E58" s="111"/>
      <c r="F58" s="112"/>
      <c r="G58" s="2"/>
      <c r="H58" s="2"/>
      <c r="K58" s="28"/>
      <c r="L58" s="28"/>
      <c r="M58" s="28"/>
      <c r="N58" s="28"/>
      <c r="O58" s="28"/>
    </row>
    <row r="59" spans="1:15" ht="12.75" customHeight="1" x14ac:dyDescent="0.35">
      <c r="A59" s="28"/>
      <c r="B59" s="28"/>
      <c r="C59" s="28"/>
      <c r="D59" s="111"/>
      <c r="E59" s="111"/>
      <c r="F59" s="112"/>
      <c r="G59" s="2"/>
      <c r="H59" s="2"/>
      <c r="I59" s="28"/>
      <c r="J59" s="28"/>
      <c r="K59" s="28"/>
      <c r="L59" s="28"/>
      <c r="M59" s="28"/>
      <c r="N59" s="28"/>
      <c r="O59" s="28"/>
    </row>
    <row r="60" spans="1:15" ht="12.75" customHeight="1" x14ac:dyDescent="0.35">
      <c r="A60" s="28"/>
      <c r="B60" s="28"/>
      <c r="C60" s="28"/>
      <c r="D60" s="6" t="s">
        <v>4042</v>
      </c>
      <c r="E60" s="6"/>
      <c r="F60" s="7"/>
      <c r="G60" s="1"/>
      <c r="H60" s="6" t="s">
        <v>4043</v>
      </c>
      <c r="I60" s="28"/>
      <c r="J60" s="28"/>
      <c r="K60" s="28"/>
      <c r="L60" s="28"/>
      <c r="M60" s="28"/>
      <c r="N60" s="28"/>
      <c r="O60" s="28"/>
    </row>
    <row r="61" spans="1:15" ht="12.75" customHeight="1" x14ac:dyDescent="0.35">
      <c r="A61" s="28"/>
      <c r="B61" s="28"/>
      <c r="C61" s="28"/>
      <c r="D61" s="6"/>
      <c r="E61" s="6"/>
      <c r="F61" s="7"/>
      <c r="G61" s="1"/>
      <c r="H61" s="6"/>
      <c r="I61" s="28"/>
      <c r="J61" s="28"/>
      <c r="K61" s="28"/>
      <c r="L61" s="28"/>
      <c r="M61" s="28"/>
      <c r="N61" s="28"/>
      <c r="O61" s="28"/>
    </row>
    <row r="62" spans="1:15" ht="12.75" customHeight="1" x14ac:dyDescent="0.35">
      <c r="A62" s="28"/>
      <c r="B62" s="28"/>
      <c r="C62" s="28"/>
      <c r="D62" s="115" t="s">
        <v>3188</v>
      </c>
      <c r="E62" s="6"/>
      <c r="F62" s="7"/>
      <c r="G62" s="1"/>
      <c r="H62" s="6"/>
      <c r="I62" s="28"/>
      <c r="J62" s="28"/>
      <c r="K62" s="28"/>
      <c r="L62" s="28"/>
      <c r="M62" s="28"/>
      <c r="N62" s="28"/>
      <c r="O62" s="28"/>
    </row>
    <row r="63" spans="1:15" ht="12.75" customHeight="1" x14ac:dyDescent="0.35">
      <c r="A63" s="28"/>
      <c r="B63" s="28"/>
      <c r="C63" s="28"/>
      <c r="D63" s="107" t="s">
        <v>4044</v>
      </c>
      <c r="E63" s="6"/>
      <c r="F63" s="7"/>
      <c r="G63" s="1"/>
      <c r="H63" s="6"/>
      <c r="I63" s="28"/>
      <c r="J63" s="28"/>
      <c r="K63" s="28"/>
      <c r="L63" s="28"/>
      <c r="M63" s="28"/>
      <c r="N63" s="28"/>
      <c r="O63" s="28"/>
    </row>
    <row r="64" spans="1:15" ht="12.75" customHeight="1" x14ac:dyDescent="0.35">
      <c r="A64" s="28"/>
      <c r="B64" s="28"/>
      <c r="C64" s="28"/>
      <c r="D64" s="6" t="s">
        <v>4045</v>
      </c>
      <c r="E64" s="6"/>
      <c r="F64" s="7"/>
      <c r="G64" s="1"/>
      <c r="H64" s="6"/>
      <c r="I64" s="28"/>
      <c r="J64" s="28"/>
      <c r="K64" s="28"/>
      <c r="L64" s="28"/>
      <c r="M64" s="28"/>
      <c r="N64" s="28"/>
      <c r="O64" s="28"/>
    </row>
    <row r="65" spans="1:15" ht="12.75" customHeight="1" x14ac:dyDescent="0.35">
      <c r="A65" s="28"/>
      <c r="B65" s="28"/>
      <c r="C65" s="28"/>
      <c r="D65" s="6" t="str">
        <f ca="1">IF(ResultControlValue&lt;0,"Wertverlust","Kontrollwert")&amp;" (B - A)"</f>
        <v>Kontrollwert (B - A)</v>
      </c>
      <c r="E65" s="6"/>
      <c r="F65" s="7"/>
      <c r="G65" s="1"/>
      <c r="H65" s="6"/>
      <c r="I65" s="28"/>
      <c r="J65" s="28"/>
      <c r="K65" s="28"/>
      <c r="L65" s="28"/>
      <c r="M65" s="28"/>
      <c r="N65" s="28"/>
      <c r="O65" s="28"/>
    </row>
    <row r="66" spans="1:15" ht="12.75" customHeight="1" x14ac:dyDescent="0.35">
      <c r="A66" s="28"/>
      <c r="B66" s="28"/>
      <c r="C66" s="28"/>
      <c r="D66" s="6"/>
      <c r="E66" s="6"/>
      <c r="F66" s="7"/>
      <c r="G66" s="1"/>
      <c r="H66" s="6"/>
      <c r="I66" s="28"/>
      <c r="J66" s="28"/>
      <c r="K66" s="28"/>
      <c r="L66" s="28"/>
      <c r="M66" s="28"/>
      <c r="N66" s="28"/>
      <c r="O66" s="28"/>
    </row>
    <row r="67" spans="1:15" ht="12.75" customHeight="1" x14ac:dyDescent="0.35">
      <c r="A67" s="28"/>
      <c r="B67" s="28"/>
      <c r="C67" s="28"/>
      <c r="D67" s="28" t="s">
        <v>4046</v>
      </c>
      <c r="E67" s="28"/>
      <c r="F67" s="28"/>
      <c r="G67" s="28"/>
      <c r="H67" s="28"/>
      <c r="I67" s="28"/>
      <c r="J67" s="28"/>
      <c r="K67" s="28"/>
      <c r="L67" s="28"/>
      <c r="M67" s="28"/>
      <c r="N67" s="28"/>
      <c r="O67" s="28"/>
    </row>
    <row r="68" spans="1:15" ht="12.75" customHeight="1" x14ac:dyDescent="0.35">
      <c r="A68" s="28"/>
      <c r="B68" s="28"/>
      <c r="C68" s="28"/>
      <c r="D68" s="105" t="s">
        <v>4047</v>
      </c>
      <c r="E68" s="28"/>
      <c r="F68" s="28"/>
      <c r="G68" s="28"/>
      <c r="H68" s="28"/>
      <c r="I68" s="28"/>
      <c r="J68" s="28"/>
      <c r="K68" s="28"/>
      <c r="L68" s="28"/>
      <c r="M68" s="28"/>
      <c r="N68" s="28"/>
      <c r="O68" s="28"/>
    </row>
    <row r="69" spans="1:15" ht="12.75" customHeight="1" x14ac:dyDescent="0.35">
      <c r="A69" s="28"/>
      <c r="B69" s="28"/>
      <c r="C69" s="28"/>
      <c r="D69" s="28" t="s">
        <v>4048</v>
      </c>
      <c r="E69" s="28"/>
      <c r="F69" s="28"/>
      <c r="G69" s="28"/>
      <c r="H69" s="28"/>
      <c r="I69" s="28"/>
      <c r="J69" s="28"/>
      <c r="K69" s="28"/>
      <c r="L69" s="28"/>
      <c r="M69" s="28"/>
      <c r="N69" s="28"/>
      <c r="O69" s="28"/>
    </row>
    <row r="70" spans="1:15" ht="12.75" customHeight="1" x14ac:dyDescent="0.35">
      <c r="A70" s="28"/>
      <c r="B70" s="28"/>
      <c r="C70" s="28"/>
      <c r="D70" s="28" t="s">
        <v>4049</v>
      </c>
      <c r="E70" s="28"/>
      <c r="F70" s="28"/>
      <c r="G70" s="28"/>
      <c r="H70" s="28"/>
      <c r="I70" s="28"/>
      <c r="J70" s="28"/>
      <c r="K70" s="28"/>
      <c r="L70" s="28"/>
      <c r="M70" s="28"/>
      <c r="N70" s="28"/>
      <c r="O70" s="28"/>
    </row>
    <row r="71" spans="1:15" ht="12.75" customHeight="1" x14ac:dyDescent="0.35">
      <c r="A71" s="28"/>
      <c r="B71" s="28"/>
      <c r="C71" s="28"/>
      <c r="D71" s="28"/>
      <c r="E71" s="28"/>
      <c r="F71" s="28"/>
      <c r="G71" s="28"/>
      <c r="H71" s="28"/>
      <c r="I71" s="28"/>
      <c r="J71" s="28"/>
      <c r="K71" s="28"/>
      <c r="L71" s="28"/>
      <c r="M71" s="28"/>
      <c r="N71" s="28"/>
      <c r="O71" s="28"/>
    </row>
    <row r="72" spans="1:15" ht="12.75" customHeight="1" x14ac:dyDescent="0.35">
      <c r="A72" s="28"/>
      <c r="B72" s="28"/>
      <c r="C72" s="28"/>
      <c r="D72" s="28" t="s">
        <v>4050</v>
      </c>
      <c r="E72" s="28"/>
      <c r="F72" s="28"/>
      <c r="G72" s="28"/>
      <c r="H72" s="28" t="s">
        <v>4051</v>
      </c>
      <c r="I72" s="28"/>
      <c r="J72" s="28"/>
      <c r="K72" s="28"/>
      <c r="L72" s="28"/>
      <c r="M72" s="28"/>
      <c r="N72" s="28"/>
      <c r="O72" s="28"/>
    </row>
    <row r="73" spans="1:15" ht="12.75" customHeight="1" x14ac:dyDescent="0.35">
      <c r="A73" s="28"/>
      <c r="B73" s="28"/>
      <c r="C73" s="28"/>
      <c r="D73" s="28" t="str">
        <f ca="1">"Kumulierter diskontierter Free Cash Flow "&amp;IF(ISERROR($I$131),"",OFFSET(Calculations!$G$11,0,CalcPointPB))&amp;"-&gt;"&amp;IF(ISERROR(D77),F77,D77)</f>
        <v>Kumulierter diskontierter Free Cash Flow 9/2019-&gt;</v>
      </c>
      <c r="E73" s="28"/>
      <c r="F73" s="28"/>
      <c r="G73" s="28"/>
      <c r="H73" s="28"/>
      <c r="I73" s="28"/>
      <c r="J73" s="28"/>
      <c r="K73" s="28"/>
      <c r="L73" s="28"/>
      <c r="M73" s="28"/>
      <c r="N73" s="28"/>
      <c r="O73" s="28"/>
    </row>
    <row r="74" spans="1:15" ht="12.75" customHeight="1" x14ac:dyDescent="0.35">
      <c r="A74" s="28"/>
      <c r="B74" s="28"/>
      <c r="C74" s="28"/>
      <c r="D74" s="28" t="str">
        <f ca="1">"Kumulierter diskontierter Free Cash Flow "&amp;IF(ISERROR($I$131),"",OFFSET(Calculations!$G$11,0,CalcPointPB))&amp;"-&gt;"&amp;IF(ISERROR(E77),F77,IF(E77=D77,F77,E77))</f>
        <v>Kumulierter diskontierter Free Cash Flow 9/2019-&gt;</v>
      </c>
      <c r="E74" s="28"/>
      <c r="F74" s="28"/>
      <c r="G74" s="28"/>
      <c r="H74" s="28"/>
      <c r="I74" s="28"/>
      <c r="J74" s="28"/>
      <c r="K74" s="28"/>
      <c r="L74" s="28"/>
      <c r="M74" s="28"/>
      <c r="N74" s="28"/>
      <c r="O74" s="28"/>
    </row>
    <row r="75" spans="1:15" ht="12.75" customHeight="1" x14ac:dyDescent="0.35">
      <c r="A75" s="28"/>
      <c r="B75" s="28"/>
      <c r="C75" s="28"/>
      <c r="D75" s="28" t="s">
        <v>4052</v>
      </c>
      <c r="E75" s="28"/>
      <c r="F75" s="28"/>
      <c r="G75" s="28"/>
      <c r="H75" s="28"/>
      <c r="I75" s="28"/>
      <c r="J75" s="28"/>
      <c r="K75" s="28"/>
      <c r="L75" s="28"/>
      <c r="M75" s="28"/>
      <c r="N75" s="28"/>
      <c r="O75" s="28"/>
    </row>
    <row r="76" spans="1:15" ht="12.75" customHeight="1" x14ac:dyDescent="0.35">
      <c r="A76" s="28"/>
      <c r="B76" s="28"/>
      <c r="C76" s="28"/>
      <c r="D76" s="28" t="s">
        <v>4053</v>
      </c>
      <c r="E76" s="28"/>
      <c r="F76" s="28"/>
      <c r="G76" s="28"/>
      <c r="H76" s="28" t="s">
        <v>4054</v>
      </c>
      <c r="I76" s="28"/>
      <c r="J76" s="28"/>
      <c r="K76" s="28"/>
      <c r="L76" s="28"/>
      <c r="M76" s="28"/>
      <c r="N76" s="28"/>
      <c r="O76" s="28"/>
    </row>
    <row r="77" spans="1:15" ht="12.75" customHeight="1" x14ac:dyDescent="0.35">
      <c r="A77" s="28"/>
      <c r="B77" s="28"/>
      <c r="C77" s="28"/>
      <c r="D77" s="28"/>
      <c r="E77" s="28"/>
      <c r="F77" s="28"/>
      <c r="G77" s="28"/>
      <c r="H77" s="28"/>
      <c r="I77" s="28"/>
      <c r="J77" s="28"/>
      <c r="K77" s="28"/>
      <c r="L77" s="28"/>
      <c r="M77" s="28"/>
      <c r="N77" s="28"/>
      <c r="O77" s="28"/>
    </row>
    <row r="78" spans="1:15" ht="12.75" customHeight="1" x14ac:dyDescent="0.35">
      <c r="A78" s="28"/>
      <c r="B78" s="28"/>
      <c r="C78" s="28"/>
      <c r="D78" s="28" t="s">
        <v>3062</v>
      </c>
      <c r="E78" s="28"/>
      <c r="F78" s="28"/>
      <c r="G78" s="28"/>
      <c r="H78" s="28" t="str">
        <f>"durchschnittlich "&amp;IF(NOT(ISERROR($N78)),$N78&amp;" Jahre","-")</f>
        <v>durchschnittlich  Jahre</v>
      </c>
      <c r="I78" s="28"/>
      <c r="J78" s="28"/>
      <c r="K78" s="28"/>
      <c r="L78" s="28"/>
      <c r="M78" s="28"/>
      <c r="N78" s="28"/>
      <c r="O78" s="28"/>
    </row>
    <row r="79" spans="1:15" ht="12.75" customHeight="1" x14ac:dyDescent="0.35">
      <c r="A79" s="28"/>
      <c r="B79" s="28"/>
      <c r="C79" s="28"/>
      <c r="D79" s="28" t="s">
        <v>3063</v>
      </c>
      <c r="E79" s="28"/>
      <c r="F79" s="28"/>
      <c r="G79" s="28"/>
      <c r="H79" s="28" t="str">
        <f>"durchschnittlich "&amp;IF(NOT(ISERROR($N79)),$N79&amp;" Jahre","-")</f>
        <v>durchschnittlich  Jahre</v>
      </c>
      <c r="I79" s="28"/>
      <c r="J79" s="28"/>
      <c r="K79" s="28"/>
      <c r="L79" s="28"/>
      <c r="M79" s="28"/>
      <c r="N79" s="28"/>
      <c r="O79" s="28"/>
    </row>
    <row r="80" spans="1:15" ht="12.75" customHeight="1" x14ac:dyDescent="0.35">
      <c r="A80" s="28"/>
      <c r="B80" s="28"/>
      <c r="C80" s="28"/>
      <c r="D80" s="28"/>
      <c r="E80" s="28"/>
      <c r="F80" s="28"/>
      <c r="G80" s="28"/>
      <c r="H80" s="28"/>
      <c r="I80" s="28"/>
      <c r="J80" s="28"/>
      <c r="K80" s="28"/>
      <c r="L80" s="28"/>
      <c r="M80" s="28"/>
      <c r="N80" s="28"/>
      <c r="O80" s="28"/>
    </row>
    <row r="81" spans="1:15" ht="12.75" customHeight="1" x14ac:dyDescent="0.35">
      <c r="A81" s="28"/>
      <c r="B81" s="28"/>
      <c r="C81" s="28"/>
      <c r="D81" s="28" t="s">
        <v>3064</v>
      </c>
      <c r="E81" s="111"/>
      <c r="F81" s="112"/>
      <c r="G81" s="2"/>
      <c r="H81" s="2"/>
      <c r="I81" s="28"/>
      <c r="J81" s="28"/>
      <c r="K81" s="28"/>
      <c r="L81" s="28"/>
      <c r="M81" s="28"/>
      <c r="N81" s="28"/>
      <c r="O81" s="28"/>
    </row>
    <row r="82" spans="1:15" ht="12.75" customHeight="1" x14ac:dyDescent="0.35">
      <c r="A82" s="28"/>
      <c r="B82" s="28"/>
      <c r="C82" s="28"/>
      <c r="D82" s="28"/>
      <c r="E82" s="111"/>
      <c r="F82" s="112"/>
      <c r="G82" s="2"/>
      <c r="H82" s="2"/>
      <c r="I82" s="28"/>
      <c r="J82" s="28"/>
      <c r="K82" s="28"/>
      <c r="L82" s="28"/>
      <c r="M82" s="28"/>
      <c r="N82" s="28"/>
      <c r="O82" s="28"/>
    </row>
    <row r="83" spans="1:15" ht="12.75" customHeight="1" x14ac:dyDescent="0.35">
      <c r="A83" s="28"/>
      <c r="B83" s="28"/>
      <c r="C83" s="28"/>
      <c r="D83" s="111" t="s">
        <v>4055</v>
      </c>
      <c r="E83" s="111"/>
      <c r="F83" s="112"/>
      <c r="G83" s="2"/>
      <c r="H83" s="2"/>
      <c r="I83" s="28"/>
      <c r="J83" s="28"/>
      <c r="K83" s="28"/>
      <c r="L83" s="28"/>
      <c r="M83" s="28"/>
      <c r="N83" s="28"/>
      <c r="O83" s="28"/>
    </row>
    <row r="84" spans="1:15" ht="12.75" customHeight="1" x14ac:dyDescent="0.35">
      <c r="A84" s="28"/>
      <c r="B84" s="28"/>
      <c r="C84" s="28"/>
      <c r="D84" s="111" t="s">
        <v>4056</v>
      </c>
      <c r="E84" s="111"/>
      <c r="F84" s="112"/>
      <c r="G84" s="2"/>
      <c r="H84" s="2"/>
      <c r="I84" s="28"/>
      <c r="J84" s="28"/>
      <c r="K84" s="28"/>
      <c r="L84" s="28"/>
      <c r="M84" s="28"/>
      <c r="N84" s="28"/>
      <c r="O84" s="28"/>
    </row>
    <row r="85" spans="1:15" ht="12.75" customHeight="1" x14ac:dyDescent="0.35">
      <c r="A85" s="28"/>
      <c r="B85" s="28"/>
      <c r="C85" s="28"/>
      <c r="D85" s="28"/>
      <c r="E85" s="111"/>
      <c r="F85" s="112"/>
      <c r="G85" s="2"/>
      <c r="H85" s="2"/>
      <c r="I85" s="28"/>
      <c r="J85" s="28"/>
      <c r="K85" s="28"/>
      <c r="L85" s="28"/>
      <c r="M85" s="28"/>
      <c r="N85" s="28"/>
      <c r="O85" s="28"/>
    </row>
    <row r="86" spans="1:15" ht="12.75" customHeight="1" x14ac:dyDescent="0.35">
      <c r="A86" s="28"/>
      <c r="B86" s="28"/>
      <c r="C86" s="28"/>
      <c r="D86" s="28" t="s">
        <v>4057</v>
      </c>
      <c r="E86" s="111"/>
      <c r="F86" s="112"/>
      <c r="G86" s="2"/>
      <c r="H86" s="2"/>
      <c r="I86" s="28"/>
      <c r="J86" s="28"/>
      <c r="K86" s="28"/>
      <c r="L86" s="28"/>
      <c r="M86" s="28"/>
      <c r="N86" s="28"/>
      <c r="O86" s="28"/>
    </row>
    <row r="87" spans="1:15" ht="12.75" customHeight="1" x14ac:dyDescent="0.35">
      <c r="A87" s="28"/>
      <c r="B87" s="28"/>
      <c r="C87" s="28"/>
      <c r="D87" s="28" t="str">
        <f ca="1">"Kumulierter DCVA "&amp;IF(ISERROR($I$132),"",OFFSET(Calculations!$G$11,0,CalcPointPB))&amp;"-&gt;"&amp;IF(ISERROR($D$90),$F$90,$D$90)</f>
        <v>Kumulierter DCVA 9/2019-&gt;</v>
      </c>
      <c r="E87" s="111"/>
      <c r="F87" s="112"/>
      <c r="G87" s="2"/>
      <c r="H87" s="2"/>
      <c r="I87" s="28"/>
      <c r="J87" s="28"/>
      <c r="K87" s="28"/>
      <c r="L87" s="28"/>
      <c r="M87" s="28"/>
      <c r="N87" s="28"/>
      <c r="O87" s="28"/>
    </row>
    <row r="88" spans="1:15" ht="12.75" customHeight="1" x14ac:dyDescent="0.35">
      <c r="A88" s="28"/>
      <c r="B88" s="28"/>
      <c r="C88" s="28"/>
      <c r="D88" s="28" t="str">
        <f ca="1">"Kumulierter DCVA "&amp;IF(ISERROR($I$132),"",OFFSET(Calculations!$G$11,0,CalcPointPB))&amp;"-&gt;"&amp;IF(ISERROR($E$90),$F$90,IF($E$90=$D$90,$F$90,$E$90))</f>
        <v>Kumulierter DCVA 9/2019-&gt;</v>
      </c>
      <c r="E88" s="111"/>
      <c r="F88" s="112"/>
      <c r="G88" s="2"/>
      <c r="H88" s="2"/>
      <c r="I88" s="28"/>
      <c r="J88" s="28"/>
      <c r="K88" s="28"/>
      <c r="L88" s="28"/>
      <c r="M88" s="28"/>
      <c r="N88" s="28"/>
      <c r="O88" s="28"/>
    </row>
    <row r="89" spans="1:15" ht="12.75" customHeight="1" x14ac:dyDescent="0.35">
      <c r="A89" s="28"/>
      <c r="B89" s="28"/>
      <c r="C89" s="28"/>
      <c r="D89" s="28" t="s">
        <v>4052</v>
      </c>
      <c r="E89" s="111"/>
      <c r="F89" s="112"/>
      <c r="G89" s="2"/>
      <c r="H89" s="2"/>
      <c r="I89" s="28"/>
      <c r="J89" s="28"/>
      <c r="K89" s="28"/>
      <c r="L89" s="28"/>
      <c r="M89" s="28"/>
      <c r="N89" s="28"/>
      <c r="O89" s="28"/>
    </row>
    <row r="90" spans="1:15" ht="12.75" customHeight="1" x14ac:dyDescent="0.35">
      <c r="A90" s="28"/>
      <c r="B90" s="28"/>
      <c r="C90" s="28"/>
      <c r="D90" s="28"/>
      <c r="E90" s="111"/>
      <c r="F90" s="112"/>
      <c r="G90" s="2"/>
      <c r="H90" s="2"/>
      <c r="I90" s="28"/>
      <c r="J90" s="28"/>
      <c r="K90" s="28"/>
      <c r="L90" s="28"/>
      <c r="M90" s="28"/>
      <c r="N90" s="28"/>
      <c r="O90" s="28"/>
    </row>
    <row r="91" spans="1:15" ht="12.75" customHeight="1" x14ac:dyDescent="0.35">
      <c r="A91" s="28"/>
      <c r="B91" s="28"/>
      <c r="C91" s="28"/>
      <c r="D91" s="28" t="s">
        <v>4851</v>
      </c>
      <c r="E91" s="28"/>
      <c r="F91" s="28"/>
      <c r="G91" s="28"/>
      <c r="H91" s="28"/>
      <c r="I91" s="28"/>
      <c r="J91" s="28"/>
      <c r="K91" s="28"/>
      <c r="L91" s="28"/>
      <c r="M91" s="28"/>
      <c r="N91" s="28"/>
      <c r="O91" s="28"/>
    </row>
    <row r="92" spans="1:15" ht="12.75" customHeight="1" x14ac:dyDescent="0.35">
      <c r="A92" s="28"/>
      <c r="B92" s="28"/>
      <c r="C92" s="28"/>
      <c r="D92" s="28"/>
      <c r="E92" s="28"/>
      <c r="F92" s="28"/>
      <c r="G92" s="28"/>
      <c r="H92" s="28"/>
      <c r="I92" s="28"/>
      <c r="J92" s="28"/>
      <c r="K92" s="28"/>
      <c r="L92" s="28"/>
      <c r="M92" s="28"/>
      <c r="N92" s="28"/>
      <c r="O92" s="28"/>
    </row>
    <row r="93" spans="1:15" ht="12.75" customHeight="1" x14ac:dyDescent="0.35">
      <c r="A93" s="28"/>
      <c r="B93" s="28"/>
      <c r="C93" s="28"/>
      <c r="D93" s="28" t="s">
        <v>4058</v>
      </c>
      <c r="E93" s="28"/>
      <c r="F93" s="28"/>
      <c r="G93" s="28"/>
      <c r="H93" s="28"/>
      <c r="I93" s="28"/>
      <c r="J93" s="28"/>
      <c r="K93" s="28"/>
      <c r="L93" s="28"/>
      <c r="M93" s="28"/>
      <c r="N93" s="28"/>
      <c r="O93" s="28"/>
    </row>
    <row r="94" spans="1:15" ht="12.75" customHeight="1" x14ac:dyDescent="0.35">
      <c r="A94" s="28"/>
      <c r="B94" s="28"/>
      <c r="C94" s="28"/>
      <c r="D94" s="28"/>
      <c r="E94" s="28"/>
      <c r="F94" s="28"/>
      <c r="G94" s="28"/>
      <c r="H94" s="28"/>
      <c r="I94" s="28"/>
      <c r="J94" s="28"/>
      <c r="K94" s="28"/>
      <c r="L94" s="28"/>
      <c r="M94" s="28"/>
      <c r="N94" s="28"/>
      <c r="O94" s="28"/>
    </row>
    <row r="95" spans="1:15" ht="12.75" customHeight="1" x14ac:dyDescent="0.35">
      <c r="A95" s="28"/>
      <c r="B95" s="28"/>
      <c r="C95" s="28"/>
      <c r="D95" s="28" t="s">
        <v>4059</v>
      </c>
      <c r="E95" s="28"/>
      <c r="F95" s="28"/>
      <c r="G95" s="28"/>
      <c r="H95" s="28"/>
      <c r="I95" s="28"/>
      <c r="J95" s="28"/>
      <c r="K95" s="28"/>
      <c r="L95" s="28"/>
      <c r="M95" s="28"/>
      <c r="N95" s="28"/>
      <c r="O95" s="28"/>
    </row>
    <row r="96" spans="1:15" ht="12.75" customHeight="1" x14ac:dyDescent="0.35">
      <c r="A96" s="28"/>
      <c r="B96" s="28"/>
      <c r="C96" s="28"/>
      <c r="D96" s="28" t="s">
        <v>4060</v>
      </c>
      <c r="E96" s="28"/>
      <c r="F96" s="28"/>
      <c r="G96" s="28"/>
      <c r="H96" s="28"/>
      <c r="I96" s="28"/>
      <c r="J96" s="28"/>
      <c r="K96" s="28"/>
      <c r="L96" s="28"/>
      <c r="M96" s="28"/>
      <c r="N96" s="28"/>
      <c r="O96" s="28"/>
    </row>
    <row r="97" spans="1:15" ht="12.75" customHeight="1" x14ac:dyDescent="0.35">
      <c r="A97" s="28"/>
      <c r="B97" s="28"/>
      <c r="C97" s="28"/>
      <c r="D97" s="28"/>
      <c r="E97" s="28"/>
      <c r="F97" s="28"/>
      <c r="G97" s="28"/>
      <c r="H97" s="28"/>
      <c r="I97" s="28"/>
      <c r="J97" s="28"/>
      <c r="K97" s="28"/>
      <c r="L97" s="28"/>
      <c r="M97" s="28"/>
      <c r="N97" s="28"/>
      <c r="O97" s="28"/>
    </row>
    <row r="98" spans="1:15" ht="12.75" customHeight="1" x14ac:dyDescent="0.35">
      <c r="A98" s="28"/>
      <c r="B98" s="28"/>
      <c r="C98" s="28"/>
      <c r="D98" s="28" t="str">
        <f>"Basis für "&amp;IF(PerpetuityLimitationEquity=1,"Fortführungswert (Perpetuity)","Extrapolation")</f>
        <v>Basis für Fortführungswert (Perpetuity)</v>
      </c>
      <c r="E98" s="28"/>
      <c r="F98" s="28"/>
      <c r="G98" s="28"/>
      <c r="H98" s="28"/>
      <c r="I98" s="28"/>
      <c r="J98" s="28"/>
      <c r="K98" s="28"/>
      <c r="L98" s="28"/>
      <c r="M98" s="28"/>
      <c r="N98" s="28"/>
      <c r="O98" s="28"/>
    </row>
    <row r="99" spans="1:15" ht="12.75" customHeight="1" x14ac:dyDescent="0.35">
      <c r="A99" s="28"/>
      <c r="B99" s="28"/>
      <c r="C99" s="28"/>
      <c r="D99" s="28"/>
      <c r="E99" s="28"/>
      <c r="F99" s="28"/>
      <c r="G99" s="28"/>
      <c r="H99" s="28"/>
      <c r="I99" s="28"/>
      <c r="J99" s="28"/>
      <c r="K99" s="28"/>
      <c r="L99" s="28"/>
      <c r="M99" s="28"/>
      <c r="N99" s="28"/>
      <c r="O99" s="28"/>
    </row>
    <row r="100" spans="1:15" ht="12.75" customHeight="1" x14ac:dyDescent="0.35">
      <c r="A100" s="28"/>
      <c r="B100" s="28"/>
      <c r="C100" s="28"/>
      <c r="D100" s="28" t="s">
        <v>4024</v>
      </c>
      <c r="E100" s="28"/>
      <c r="F100" s="28"/>
      <c r="G100" s="28"/>
      <c r="H100" s="97" t="s">
        <v>4854</v>
      </c>
      <c r="I100" s="28"/>
      <c r="J100" s="28"/>
      <c r="K100" s="28"/>
      <c r="L100" s="28"/>
      <c r="M100" s="28"/>
      <c r="N100" s="28"/>
      <c r="O100" s="28"/>
    </row>
    <row r="101" spans="1:15" ht="12.75" customHeight="1" x14ac:dyDescent="0.35">
      <c r="A101" s="28"/>
      <c r="B101" s="28"/>
      <c r="C101" s="28"/>
      <c r="D101" s="28"/>
      <c r="E101" s="28"/>
      <c r="F101" s="28"/>
      <c r="G101" s="28"/>
      <c r="H101" s="28"/>
      <c r="I101" s="28"/>
      <c r="J101" s="28"/>
      <c r="K101" s="28"/>
      <c r="L101" s="28"/>
      <c r="M101" s="28"/>
      <c r="N101" s="28"/>
      <c r="O101" s="28"/>
    </row>
    <row r="102" spans="1:15" ht="12.75" customHeight="1" x14ac:dyDescent="0.35">
      <c r="A102" s="28"/>
      <c r="B102" s="28"/>
      <c r="C102" s="28"/>
      <c r="D102" s="28" t="s">
        <v>4025</v>
      </c>
      <c r="E102" s="28"/>
      <c r="F102" s="28"/>
      <c r="G102" s="28"/>
      <c r="H102" s="28" t="str">
        <f ca="1">"Basis "&amp;Calculations!$N$627&amp;""</f>
        <v>Basis (12/2024)</v>
      </c>
      <c r="I102" s="28"/>
      <c r="J102" s="28"/>
      <c r="K102" s="28"/>
      <c r="L102" s="28"/>
      <c r="M102" s="28"/>
      <c r="N102" s="28"/>
      <c r="O102" s="28"/>
    </row>
    <row r="103" spans="1:15" ht="12.75" customHeight="1" x14ac:dyDescent="0.35">
      <c r="A103" s="28"/>
      <c r="B103" s="28"/>
      <c r="C103" s="28"/>
      <c r="D103" s="28"/>
      <c r="E103" s="28"/>
      <c r="F103" s="28"/>
      <c r="G103" s="28"/>
      <c r="H103" s="28"/>
      <c r="I103" s="28"/>
      <c r="J103" s="28"/>
      <c r="K103" s="28"/>
      <c r="L103" s="28"/>
      <c r="M103" s="28"/>
      <c r="N103" s="28"/>
      <c r="O103" s="28"/>
    </row>
    <row r="104" spans="1:15" ht="12.75" customHeight="1" x14ac:dyDescent="0.35">
      <c r="A104" s="28"/>
      <c r="B104" s="28"/>
      <c r="C104" s="28"/>
      <c r="D104" s="28" t="s">
        <v>4026</v>
      </c>
      <c r="E104" s="28"/>
      <c r="F104" s="28"/>
      <c r="G104" s="28"/>
      <c r="H104" s="28" t="s">
        <v>4855</v>
      </c>
      <c r="I104" s="28"/>
      <c r="J104" s="28"/>
      <c r="K104" s="28"/>
      <c r="L104" s="28"/>
      <c r="M104" s="28"/>
      <c r="N104" s="28"/>
      <c r="O104" s="28"/>
    </row>
    <row r="105" spans="1:15" ht="12.75" customHeight="1" x14ac:dyDescent="0.35">
      <c r="A105" s="28"/>
      <c r="B105" s="28"/>
      <c r="C105" s="28"/>
      <c r="D105" s="28"/>
      <c r="E105" s="28"/>
      <c r="F105" s="28"/>
      <c r="G105" s="28"/>
      <c r="H105" s="28"/>
      <c r="I105" s="28"/>
      <c r="J105" s="28"/>
      <c r="K105" s="28"/>
      <c r="L105" s="28"/>
      <c r="M105" s="28"/>
      <c r="N105" s="28"/>
      <c r="O105" s="28"/>
    </row>
    <row r="106" spans="1:15" ht="12.75" customHeight="1" x14ac:dyDescent="0.35">
      <c r="A106" s="28"/>
      <c r="B106" s="28"/>
      <c r="C106" s="28"/>
      <c r="D106" s="28" t="s">
        <v>4027</v>
      </c>
      <c r="E106" s="28"/>
      <c r="F106" s="28"/>
      <c r="G106" s="28"/>
      <c r="H106" s="28" t="str">
        <f ca="1">"Wert "&amp;Calculations!$N$627&amp;""</f>
        <v>Wert (12/2024)</v>
      </c>
      <c r="I106" s="28"/>
      <c r="J106" s="28"/>
      <c r="K106" s="28"/>
      <c r="L106" s="28"/>
      <c r="M106" s="28"/>
      <c r="N106" s="28"/>
      <c r="O106" s="28"/>
    </row>
    <row r="107" spans="1:15" ht="12.75" customHeight="1" x14ac:dyDescent="0.35">
      <c r="A107" s="28"/>
      <c r="B107" s="28"/>
      <c r="C107" s="28"/>
      <c r="D107" s="28"/>
      <c r="E107" s="28"/>
      <c r="F107" s="28"/>
      <c r="G107" s="28"/>
      <c r="H107" s="28"/>
      <c r="I107" s="28"/>
      <c r="J107" s="28"/>
      <c r="K107" s="28"/>
      <c r="L107" s="28"/>
      <c r="M107" s="28"/>
      <c r="N107" s="28"/>
      <c r="O107" s="28"/>
    </row>
    <row r="108" spans="1:15" ht="12.75" customHeight="1" x14ac:dyDescent="0.35">
      <c r="A108" s="28"/>
      <c r="B108" s="28"/>
      <c r="C108" s="28"/>
      <c r="D108" s="28" t="s">
        <v>4028</v>
      </c>
      <c r="E108" s="28"/>
      <c r="F108" s="28"/>
      <c r="G108" s="28"/>
      <c r="H108" s="28" t="str">
        <f>"Barwert ("&amp;$F$11&amp;")"</f>
        <v>Barwert ()</v>
      </c>
      <c r="I108" s="28"/>
      <c r="J108" s="28"/>
      <c r="K108" s="28"/>
      <c r="L108" s="28"/>
      <c r="M108" s="28"/>
      <c r="N108" s="28"/>
      <c r="O108" s="28"/>
    </row>
    <row r="109" spans="1:15" ht="12.75" customHeight="1" x14ac:dyDescent="0.35">
      <c r="A109" s="28"/>
      <c r="B109" s="28"/>
      <c r="C109" s="28"/>
      <c r="D109" s="28"/>
      <c r="E109" s="28"/>
      <c r="F109" s="28"/>
      <c r="G109" s="28"/>
      <c r="H109" s="28"/>
      <c r="I109" s="28"/>
      <c r="J109" s="28"/>
      <c r="K109" s="28"/>
      <c r="L109" s="28"/>
      <c r="M109" s="28"/>
      <c r="N109" s="28"/>
      <c r="O109" s="28"/>
    </row>
    <row r="110" spans="1:15" ht="12.75" customHeight="1" x14ac:dyDescent="0.35">
      <c r="A110" s="28"/>
      <c r="B110" s="28"/>
      <c r="C110" s="28"/>
      <c r="D110" s="105" t="s">
        <v>4061</v>
      </c>
      <c r="E110" s="28"/>
      <c r="F110" s="28"/>
      <c r="G110" s="28"/>
      <c r="H110" s="28"/>
      <c r="I110" s="28"/>
      <c r="J110" s="28"/>
      <c r="K110" s="28"/>
      <c r="L110" s="28"/>
      <c r="M110" s="28"/>
      <c r="N110" s="28"/>
      <c r="O110" s="28"/>
    </row>
    <row r="111" spans="1:15" ht="12.75" customHeight="1" x14ac:dyDescent="0.35">
      <c r="A111" s="28"/>
      <c r="B111" s="28"/>
      <c r="C111" s="28"/>
      <c r="D111" s="28" t="s">
        <v>4062</v>
      </c>
      <c r="E111" s="28"/>
      <c r="F111" s="28"/>
      <c r="G111" s="28"/>
      <c r="H111" s="28"/>
      <c r="I111" s="28"/>
      <c r="J111" s="28"/>
      <c r="K111" s="28"/>
      <c r="L111" s="28"/>
      <c r="M111" s="28"/>
      <c r="N111" s="28"/>
      <c r="O111" s="28"/>
    </row>
    <row r="112" spans="1:15" ht="12.75" customHeight="1" x14ac:dyDescent="0.35">
      <c r="A112" s="28"/>
      <c r="B112" s="28"/>
      <c r="C112" s="28"/>
      <c r="D112" s="28" t="s">
        <v>4063</v>
      </c>
      <c r="E112" s="28"/>
      <c r="F112" s="28"/>
      <c r="G112" s="28"/>
      <c r="H112" s="28"/>
      <c r="I112" s="28"/>
      <c r="J112" s="28"/>
      <c r="K112" s="28"/>
      <c r="L112" s="28"/>
      <c r="M112" s="28"/>
      <c r="N112" s="28"/>
      <c r="O112" s="28"/>
    </row>
    <row r="113" spans="1:15" ht="12.75" customHeight="1" x14ac:dyDescent="0.35">
      <c r="A113" s="28"/>
      <c r="B113" s="28"/>
      <c r="C113" s="28"/>
      <c r="D113" s="28"/>
      <c r="E113" s="28"/>
      <c r="F113" s="28"/>
      <c r="G113" s="28"/>
      <c r="H113" s="28"/>
      <c r="I113" s="28"/>
      <c r="J113" s="28"/>
      <c r="K113" s="28"/>
      <c r="L113" s="28"/>
      <c r="M113" s="28"/>
      <c r="N113" s="28"/>
      <c r="O113" s="28"/>
    </row>
    <row r="114" spans="1:15" ht="12.75" customHeight="1" x14ac:dyDescent="0.35">
      <c r="A114" s="28"/>
      <c r="B114" s="28"/>
      <c r="C114" s="28"/>
      <c r="D114" s="28" t="s">
        <v>4064</v>
      </c>
      <c r="E114" s="28"/>
      <c r="F114" s="28"/>
      <c r="G114" s="28"/>
      <c r="H114" s="28"/>
      <c r="I114" s="28"/>
      <c r="J114" s="28"/>
      <c r="K114" s="28"/>
      <c r="L114" s="28"/>
      <c r="M114" s="28"/>
      <c r="N114" s="28"/>
      <c r="O114" s="28"/>
    </row>
    <row r="115" spans="1:15" ht="12.75" customHeight="1" x14ac:dyDescent="0.35">
      <c r="A115" s="28"/>
      <c r="B115" s="28"/>
      <c r="C115" s="28"/>
      <c r="D115" s="105" t="s">
        <v>4065</v>
      </c>
      <c r="E115" s="28"/>
      <c r="F115" s="28"/>
      <c r="G115" s="28"/>
      <c r="H115" s="28"/>
      <c r="I115" s="28"/>
      <c r="J115" s="28"/>
      <c r="K115" s="28"/>
      <c r="L115" s="28"/>
      <c r="M115" s="28"/>
      <c r="N115" s="28"/>
      <c r="O115" s="28"/>
    </row>
    <row r="116" spans="1:15" ht="12.75" customHeight="1" x14ac:dyDescent="0.35">
      <c r="A116" s="28"/>
      <c r="B116" s="28"/>
      <c r="C116" s="28"/>
      <c r="D116" s="28" t="s">
        <v>4066</v>
      </c>
      <c r="E116" s="28"/>
      <c r="F116" s="28"/>
      <c r="G116" s="28"/>
      <c r="H116" s="28"/>
      <c r="I116" s="28"/>
      <c r="J116" s="28"/>
      <c r="K116" s="28"/>
      <c r="L116" s="28"/>
      <c r="M116" s="28"/>
      <c r="N116" s="28"/>
      <c r="O116" s="28"/>
    </row>
    <row r="117" spans="1:15" ht="12.75" customHeight="1" x14ac:dyDescent="0.35">
      <c r="A117" s="28"/>
      <c r="B117" s="28"/>
      <c r="C117" s="28"/>
      <c r="D117" s="28"/>
      <c r="E117" s="28"/>
      <c r="F117" s="28"/>
      <c r="G117" s="28"/>
      <c r="H117" s="28"/>
      <c r="I117" s="28"/>
      <c r="J117" s="28"/>
      <c r="K117" s="28"/>
      <c r="L117" s="28"/>
      <c r="M117" s="28"/>
      <c r="N117" s="28"/>
      <c r="O117" s="28"/>
    </row>
    <row r="118" spans="1:15" ht="12.75" customHeight="1" x14ac:dyDescent="0.35">
      <c r="A118" s="28"/>
      <c r="B118" s="28"/>
      <c r="C118" s="28"/>
      <c r="D118" s="28" t="s">
        <v>4067</v>
      </c>
      <c r="E118" s="28"/>
      <c r="F118" s="28"/>
      <c r="G118" s="28"/>
      <c r="H118" s="28" t="s">
        <v>4068</v>
      </c>
      <c r="I118" s="28"/>
      <c r="J118" s="28"/>
      <c r="K118" s="28"/>
      <c r="L118" s="28"/>
      <c r="M118" s="28"/>
      <c r="N118" s="28"/>
      <c r="O118" s="28"/>
    </row>
    <row r="119" spans="1:15" ht="12.75" customHeight="1" x14ac:dyDescent="0.35">
      <c r="A119" s="28"/>
      <c r="B119" s="28"/>
      <c r="C119" s="28"/>
      <c r="D119" s="28" t="str">
        <f ca="1">"Diskontierter FCFE kumuliert "&amp;IF(ISERROR($G$131),"",OFFSET(Calculations!$G$11,0,CalcPointPB))&amp;"-&gt;"&amp;IF(ISERROR($D$123),$F$123,$D$123)</f>
        <v>Diskontierter FCFE kumuliert 9/2019-&gt;</v>
      </c>
      <c r="E119" s="28"/>
      <c r="F119" s="28"/>
      <c r="G119" s="28"/>
      <c r="H119" s="28"/>
      <c r="I119" s="28"/>
      <c r="J119" s="28"/>
      <c r="K119" s="28"/>
      <c r="L119" s="28"/>
      <c r="M119" s="28"/>
      <c r="N119" s="28"/>
      <c r="O119" s="28"/>
    </row>
    <row r="120" spans="1:15" ht="12.75" customHeight="1" x14ac:dyDescent="0.35">
      <c r="A120" s="28"/>
      <c r="B120" s="28"/>
      <c r="C120" s="28"/>
      <c r="D120" s="28" t="str">
        <f ca="1">"Diskontierter FCFE kumuliert "&amp;IF(ISERROR($G$131),"",OFFSET(Calculations!$G$11,0,CalcPointPB))&amp;"-&gt;"&amp;IF(ISERROR($E$123),$F$123,IF($E$123=$D$123,$F$123,$E$123))</f>
        <v>Diskontierter FCFE kumuliert 9/2019-&gt;</v>
      </c>
      <c r="E120" s="28"/>
      <c r="F120" s="28"/>
      <c r="G120" s="28"/>
      <c r="H120" s="28"/>
      <c r="I120" s="28"/>
      <c r="J120" s="28"/>
      <c r="K120" s="28"/>
      <c r="L120" s="28"/>
      <c r="M120" s="28"/>
      <c r="N120" s="28"/>
      <c r="O120" s="28"/>
    </row>
    <row r="121" spans="1:15" ht="12.75" customHeight="1" x14ac:dyDescent="0.35">
      <c r="A121" s="28"/>
      <c r="B121" s="28"/>
      <c r="C121" s="28"/>
      <c r="D121" s="28" t="s">
        <v>4052</v>
      </c>
      <c r="E121" s="28"/>
      <c r="F121" s="28"/>
      <c r="G121" s="28"/>
      <c r="I121" s="28"/>
      <c r="J121" s="28"/>
      <c r="K121" s="28"/>
      <c r="L121" s="28"/>
      <c r="M121" s="28"/>
      <c r="N121" s="28"/>
      <c r="O121" s="28"/>
    </row>
    <row r="122" spans="1:15" ht="12.75" customHeight="1" x14ac:dyDescent="0.35">
      <c r="A122" s="28"/>
      <c r="B122" s="28"/>
      <c r="C122" s="28"/>
      <c r="D122" s="28" t="s">
        <v>4069</v>
      </c>
      <c r="E122" s="28"/>
      <c r="F122" s="28"/>
      <c r="G122" s="28"/>
      <c r="H122" s="28" t="s">
        <v>4070</v>
      </c>
      <c r="I122" s="28"/>
      <c r="J122" s="28"/>
      <c r="K122" s="28"/>
      <c r="L122" s="28"/>
      <c r="M122" s="28"/>
      <c r="N122" s="28"/>
      <c r="O122" s="28"/>
    </row>
    <row r="123" spans="1:15" ht="12.75" customHeight="1" x14ac:dyDescent="0.35">
      <c r="A123" s="28"/>
      <c r="B123" s="28"/>
      <c r="C123" s="28"/>
      <c r="D123" s="28"/>
      <c r="E123" s="28"/>
      <c r="F123" s="28"/>
      <c r="G123" s="28"/>
      <c r="H123" s="28"/>
      <c r="I123" s="28"/>
      <c r="J123" s="28"/>
      <c r="K123" s="28"/>
      <c r="L123" s="28"/>
      <c r="M123" s="28"/>
      <c r="N123" s="28"/>
      <c r="O123" s="28"/>
    </row>
    <row r="124" spans="1:15" ht="12.75" customHeight="1" x14ac:dyDescent="0.35">
      <c r="A124" s="28"/>
      <c r="B124" s="28"/>
      <c r="C124" s="28"/>
      <c r="D124" s="28"/>
      <c r="E124" s="28"/>
      <c r="F124" s="28"/>
      <c r="G124" s="28"/>
      <c r="H124" s="28"/>
      <c r="I124" s="28"/>
      <c r="J124" s="28"/>
      <c r="K124" s="28"/>
      <c r="L124" s="28"/>
      <c r="M124" s="28"/>
      <c r="N124" s="28"/>
      <c r="O124" s="28"/>
    </row>
    <row r="125" spans="1:15" ht="12.75" customHeight="1" x14ac:dyDescent="0.35">
      <c r="A125" s="28"/>
      <c r="B125" s="28"/>
      <c r="C125" s="28"/>
      <c r="D125" s="28" t="s">
        <v>4071</v>
      </c>
      <c r="E125" s="28"/>
      <c r="F125" s="28"/>
      <c r="G125" s="28"/>
      <c r="H125" s="28"/>
      <c r="I125" s="28"/>
      <c r="J125" s="28"/>
      <c r="K125" s="28"/>
      <c r="L125" s="28"/>
      <c r="M125" s="28"/>
      <c r="N125" s="28"/>
      <c r="O125" s="28"/>
    </row>
    <row r="126" spans="1:15" ht="12.75" customHeight="1" x14ac:dyDescent="0.35">
      <c r="A126" s="28"/>
      <c r="B126" s="28"/>
      <c r="C126" s="28"/>
      <c r="D126" s="28" t="s">
        <v>4072</v>
      </c>
      <c r="E126" s="28"/>
      <c r="F126" s="28"/>
      <c r="G126" s="28"/>
      <c r="H126" s="28"/>
      <c r="I126" s="28"/>
      <c r="J126" s="28"/>
      <c r="K126" s="28"/>
      <c r="L126" s="28"/>
      <c r="M126" s="28"/>
      <c r="N126" s="28"/>
      <c r="O126" s="28"/>
    </row>
    <row r="127" spans="1:15" ht="12.75" customHeight="1" x14ac:dyDescent="0.35">
      <c r="A127" s="28"/>
      <c r="B127" s="28"/>
      <c r="C127" s="28"/>
      <c r="D127" s="28"/>
      <c r="E127" s="28"/>
      <c r="F127" s="28"/>
      <c r="G127" s="28"/>
      <c r="H127" s="28"/>
      <c r="I127" s="28"/>
      <c r="J127" s="28"/>
      <c r="K127" s="28"/>
      <c r="L127" s="28"/>
      <c r="M127" s="28"/>
      <c r="N127" s="28"/>
      <c r="O127" s="28"/>
    </row>
    <row r="128" spans="1:15" ht="12.75" customHeight="1" x14ac:dyDescent="0.35">
      <c r="A128" s="28"/>
      <c r="B128" s="28"/>
      <c r="C128" s="28"/>
      <c r="D128" s="28"/>
      <c r="E128" s="28"/>
      <c r="F128" s="28"/>
      <c r="G128" s="28"/>
      <c r="H128" s="28"/>
      <c r="I128" s="28"/>
      <c r="J128" s="28"/>
      <c r="K128" s="28"/>
      <c r="L128" s="28"/>
      <c r="M128" s="28"/>
      <c r="N128" s="28"/>
      <c r="O128" s="28"/>
    </row>
    <row r="129" spans="1:15" ht="12.75" customHeight="1" x14ac:dyDescent="0.35">
      <c r="A129" s="28"/>
      <c r="B129" s="28"/>
      <c r="C129" s="28"/>
      <c r="D129" s="28"/>
      <c r="E129" s="28"/>
      <c r="F129" s="28"/>
      <c r="G129" s="28"/>
      <c r="H129" s="28"/>
      <c r="I129" s="28"/>
      <c r="J129" s="28"/>
      <c r="K129" s="28"/>
      <c r="L129" s="28"/>
      <c r="M129" s="28"/>
      <c r="N129" s="28"/>
      <c r="O129" s="28"/>
    </row>
    <row r="130" spans="1:15" ht="12.75" customHeight="1" x14ac:dyDescent="0.35">
      <c r="A130" s="28"/>
      <c r="B130" s="28"/>
      <c r="C130" s="28"/>
      <c r="D130" s="28" t="s">
        <v>4073</v>
      </c>
      <c r="E130" s="28"/>
      <c r="F130" s="28"/>
      <c r="G130" s="28"/>
      <c r="H130" s="28"/>
      <c r="I130" s="28"/>
      <c r="J130" s="28"/>
      <c r="K130" s="28"/>
      <c r="L130" s="28"/>
      <c r="M130" s="28"/>
      <c r="N130" s="28"/>
      <c r="O130" s="28"/>
    </row>
  </sheetData>
  <printOptions gridLines="1"/>
  <pageMargins left="0.75" right="0.75" top="1" bottom="1" header="0.51181102300000003" footer="0.51181102300000003"/>
  <pageSetup paperSize="9" orientation="portrait" r:id="rId1"/>
  <headerFooter>
    <oddHeader>&amp;C&amp;A</oddHeader>
    <oddFooter>&amp;CSeite &amp;P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9">
    <pageSetUpPr autoPageBreaks="0"/>
  </sheetPr>
  <dimension ref="A1:O130"/>
  <sheetViews>
    <sheetView workbookViewId="0">
      <selection activeCell="D35" sqref="D35"/>
    </sheetView>
  </sheetViews>
  <sheetFormatPr defaultColWidth="9.1796875" defaultRowHeight="14.5" x14ac:dyDescent="0.35"/>
  <cols>
    <col min="1" max="2" width="4" style="97" customWidth="1"/>
    <col min="3" max="3" width="9.1796875" style="97"/>
    <col min="4" max="4" width="10.453125" style="97" customWidth="1"/>
    <col min="5" max="16384" width="9.1796875" style="97"/>
  </cols>
  <sheetData>
    <row r="1" spans="3:15" ht="12.75" customHeight="1" x14ac:dyDescent="0.35">
      <c r="C1" s="97" t="s">
        <v>4074</v>
      </c>
      <c r="N1" s="97" t="s">
        <v>4075</v>
      </c>
      <c r="O1" s="97" t="s">
        <v>4076</v>
      </c>
    </row>
    <row r="2" spans="3:15" ht="12.75" customHeight="1" x14ac:dyDescent="0.35"/>
    <row r="3" spans="3:15" ht="12.75" customHeight="1" x14ac:dyDescent="0.35">
      <c r="C3" s="97" t="s">
        <v>4077</v>
      </c>
    </row>
    <row r="4" spans="3:15" ht="12.75" customHeight="1" x14ac:dyDescent="0.35"/>
    <row r="5" spans="3:15" ht="12.75" customHeight="1" x14ac:dyDescent="0.35">
      <c r="D5" s="97" t="s">
        <v>4078</v>
      </c>
    </row>
    <row r="6" spans="3:15" ht="12.75" customHeight="1" x14ac:dyDescent="0.35">
      <c r="D6" s="97" t="s">
        <v>4079</v>
      </c>
    </row>
    <row r="7" spans="3:15" ht="12.75" customHeight="1" x14ac:dyDescent="0.35"/>
    <row r="8" spans="3:15" ht="12.75" customHeight="1" x14ac:dyDescent="0.35">
      <c r="D8" s="97" t="s">
        <v>4080</v>
      </c>
      <c r="H8" s="97" t="s">
        <v>4081</v>
      </c>
    </row>
    <row r="9" spans="3:15" ht="12.75" customHeight="1" x14ac:dyDescent="0.35">
      <c r="D9" s="97" t="s">
        <v>4082</v>
      </c>
    </row>
    <row r="10" spans="3:15" ht="12.75" customHeight="1" x14ac:dyDescent="0.35">
      <c r="D10" s="97" t="s">
        <v>4083</v>
      </c>
      <c r="H10" s="97" t="s">
        <v>2480</v>
      </c>
    </row>
    <row r="11" spans="3:15" ht="12.75" customHeight="1" x14ac:dyDescent="0.35">
      <c r="D11" s="97" t="s">
        <v>4084</v>
      </c>
      <c r="H11" s="97" t="str">
        <f>IF(CalcPoint=0,"(na początku okresu)","(na końcu okresu)")</f>
        <v>(na początku okresu)</v>
      </c>
    </row>
    <row r="12" spans="3:15" ht="12.75" customHeight="1" x14ac:dyDescent="0.35"/>
    <row r="13" spans="3:15" ht="12.75" customHeight="1" x14ac:dyDescent="0.35"/>
    <row r="14" spans="3:15" ht="12.75" customHeight="1" x14ac:dyDescent="0.35">
      <c r="D14" s="97" t="s">
        <v>4085</v>
      </c>
      <c r="H14" s="97" t="s">
        <v>4086</v>
      </c>
    </row>
    <row r="15" spans="3:15" ht="12.75" customHeight="1" x14ac:dyDescent="0.35">
      <c r="D15" s="97" t="s">
        <v>4087</v>
      </c>
    </row>
    <row r="16" spans="3:15" ht="12.75" customHeight="1" x14ac:dyDescent="0.35">
      <c r="D16" s="97" t="str">
        <f>"Wartość bieżąca wartości rezydualnej"&amp;IF(UsePerpetuity=1," (renta wieczysta)","")</f>
        <v>Wartość bieżąca wartości rezydualnej</v>
      </c>
    </row>
    <row r="17" spans="4:8" ht="12.75" customHeight="1" x14ac:dyDescent="0.35"/>
    <row r="18" spans="4:8" ht="12.75" customHeight="1" x14ac:dyDescent="0.35">
      <c r="D18" s="97" t="s">
        <v>4088</v>
      </c>
    </row>
    <row r="19" spans="4:8" ht="12.75" customHeight="1" x14ac:dyDescent="0.35"/>
    <row r="20" spans="4:8" ht="12.75" customHeight="1" x14ac:dyDescent="0.35">
      <c r="D20" s="97" t="s">
        <v>4089</v>
      </c>
      <c r="H20" s="97" t="s">
        <v>4090</v>
      </c>
    </row>
    <row r="21" spans="4:8" ht="12.75" customHeight="1" x14ac:dyDescent="0.35"/>
    <row r="22" spans="4:8" ht="12.75" customHeight="1" x14ac:dyDescent="0.35">
      <c r="D22" s="97" t="str">
        <f>"      Wprowadź wartość roczną"&amp;IF(TRIM($J$5)&lt;&gt;""," ("&amp;$J$5&amp;")","")</f>
        <v xml:space="preserve">      Wprowadź wartość roczną</v>
      </c>
      <c r="H22" s="97" t="str">
        <f ca="1">"Wartość bazowa "&amp;Calculations!$N$627</f>
        <v>Wartość bazowa (12/2024)</v>
      </c>
    </row>
    <row r="23" spans="4:8" ht="12.75" customHeight="1" x14ac:dyDescent="0.35"/>
    <row r="24" spans="4:8" ht="12.75" customHeight="1" x14ac:dyDescent="0.35">
      <c r="D24" s="97" t="s">
        <v>4091</v>
      </c>
      <c r="H24" s="97" t="s">
        <v>4092</v>
      </c>
    </row>
    <row r="25" spans="4:8" ht="12.75" customHeight="1" x14ac:dyDescent="0.35"/>
    <row r="26" spans="4:8" ht="12.75" customHeight="1" x14ac:dyDescent="0.35">
      <c r="D26" s="97" t="s">
        <v>4093</v>
      </c>
      <c r="H26" s="97" t="str">
        <f ca="1">"Renta wieczysta "&amp;Calculations!$N$627</f>
        <v>Renta wieczysta (12/2024)</v>
      </c>
    </row>
    <row r="27" spans="4:8" ht="12.75" customHeight="1" x14ac:dyDescent="0.35"/>
    <row r="28" spans="4:8" ht="12.75" customHeight="1" x14ac:dyDescent="0.35">
      <c r="D28" s="97" t="s">
        <v>4094</v>
      </c>
      <c r="H28" s="97" t="str">
        <f>"Wartość bieżąca ("&amp;$F$11&amp;")"</f>
        <v>Wartość bieżąca ()</v>
      </c>
    </row>
    <row r="29" spans="4:8" ht="12.75" customHeight="1" x14ac:dyDescent="0.35"/>
    <row r="30" spans="4:8" ht="12.75" customHeight="1" x14ac:dyDescent="0.35"/>
    <row r="31" spans="4:8" ht="12.75" customHeight="1" x14ac:dyDescent="0.35">
      <c r="D31" s="101" t="s">
        <v>4095</v>
      </c>
      <c r="H31" s="101" t="s">
        <v>4096</v>
      </c>
    </row>
    <row r="32" spans="4:8" ht="12.75" customHeight="1" x14ac:dyDescent="0.35"/>
    <row r="33" spans="4:4" ht="12.75" customHeight="1" x14ac:dyDescent="0.35">
      <c r="D33" s="97" t="s">
        <v>4097</v>
      </c>
    </row>
    <row r="34" spans="4:4" ht="12.75" customHeight="1" x14ac:dyDescent="0.35"/>
    <row r="35" spans="4:4" ht="12.75" customHeight="1" x14ac:dyDescent="0.35">
      <c r="D35" s="97" t="s">
        <v>5080</v>
      </c>
    </row>
    <row r="36" spans="4:4" ht="12.75" customHeight="1" x14ac:dyDescent="0.35">
      <c r="D36" s="97" t="s">
        <v>4098</v>
      </c>
    </row>
    <row r="37" spans="4:4" ht="12.75" customHeight="1" x14ac:dyDescent="0.35"/>
    <row r="38" spans="4:4" ht="12.75" customHeight="1" x14ac:dyDescent="0.35">
      <c r="D38" s="97" t="s">
        <v>4099</v>
      </c>
    </row>
    <row r="39" spans="4:4" ht="12.75" customHeight="1" x14ac:dyDescent="0.35"/>
    <row r="40" spans="4:4" ht="12.75" customHeight="1" x14ac:dyDescent="0.35"/>
    <row r="41" spans="4:4" ht="12.75" customHeight="1" x14ac:dyDescent="0.35"/>
    <row r="42" spans="4:4" ht="12.75" customHeight="1" x14ac:dyDescent="0.35"/>
    <row r="43" spans="4:4" ht="12.75" customHeight="1" x14ac:dyDescent="0.35"/>
    <row r="44" spans="4:4" ht="12.75" customHeight="1" x14ac:dyDescent="0.35"/>
    <row r="45" spans="4:4" ht="12.75" customHeight="1" x14ac:dyDescent="0.35"/>
    <row r="46" spans="4:4" ht="12.75" customHeight="1" x14ac:dyDescent="0.35"/>
    <row r="47" spans="4:4" ht="12.75" customHeight="1" x14ac:dyDescent="0.35"/>
    <row r="48" spans="4:4" ht="12.75" customHeight="1" x14ac:dyDescent="0.35">
      <c r="D48" s="97" t="s">
        <v>4849</v>
      </c>
    </row>
    <row r="49" spans="1:8" ht="12.75" customHeight="1" x14ac:dyDescent="0.35">
      <c r="D49" s="97" t="s">
        <v>1551</v>
      </c>
      <c r="H49" s="101" t="s">
        <v>4100</v>
      </c>
    </row>
    <row r="50" spans="1:8" ht="12.75" customHeight="1" x14ac:dyDescent="0.35"/>
    <row r="51" spans="1:8" ht="12.75" customHeight="1" x14ac:dyDescent="0.35">
      <c r="D51" s="97" t="s">
        <v>4075</v>
      </c>
      <c r="E51" s="97" t="s">
        <v>4101</v>
      </c>
      <c r="F51" s="97" t="s">
        <v>4102</v>
      </c>
    </row>
    <row r="52" spans="1:8" ht="12.75" customHeight="1" x14ac:dyDescent="0.35">
      <c r="D52" s="97" t="s">
        <v>4103</v>
      </c>
    </row>
    <row r="53" spans="1:8" ht="12.75" customHeight="1" x14ac:dyDescent="0.35">
      <c r="D53" s="97" t="s">
        <v>4104</v>
      </c>
    </row>
    <row r="54" spans="1:8" ht="12.75" customHeight="1" x14ac:dyDescent="0.35">
      <c r="D54" s="97" t="s">
        <v>4105</v>
      </c>
    </row>
    <row r="55" spans="1:8" ht="12.75" customHeight="1" x14ac:dyDescent="0.35">
      <c r="D55" s="97" t="s">
        <v>4075</v>
      </c>
    </row>
    <row r="56" spans="1:8" ht="12.75" customHeight="1" x14ac:dyDescent="0.35"/>
    <row r="57" spans="1:8" ht="12.75" customHeight="1" x14ac:dyDescent="0.35">
      <c r="A57" s="102" t="s">
        <v>4106</v>
      </c>
      <c r="D57" s="97" t="s">
        <v>4107</v>
      </c>
    </row>
    <row r="58" spans="1:8" ht="12.75" customHeight="1" x14ac:dyDescent="0.35">
      <c r="A58" s="102" t="s">
        <v>4108</v>
      </c>
      <c r="D58" s="102" t="s">
        <v>4109</v>
      </c>
    </row>
    <row r="59" spans="1:8" ht="12.75" customHeight="1" x14ac:dyDescent="0.35"/>
    <row r="60" spans="1:8" ht="12.75" customHeight="1" x14ac:dyDescent="0.35">
      <c r="D60" s="97" t="s">
        <v>4110</v>
      </c>
      <c r="H60" s="97" t="s">
        <v>4111</v>
      </c>
    </row>
    <row r="61" spans="1:8" ht="12.75" customHeight="1" x14ac:dyDescent="0.35"/>
    <row r="62" spans="1:8" ht="12.75" customHeight="1" x14ac:dyDescent="0.35">
      <c r="D62" s="97" t="s">
        <v>3415</v>
      </c>
    </row>
    <row r="63" spans="1:8" ht="12.75" customHeight="1" x14ac:dyDescent="0.35">
      <c r="D63" s="97" t="s">
        <v>4112</v>
      </c>
    </row>
    <row r="64" spans="1:8" ht="12.75" customHeight="1" x14ac:dyDescent="0.35">
      <c r="D64" s="97" t="s">
        <v>4113</v>
      </c>
    </row>
    <row r="65" spans="4:8" ht="12.75" customHeight="1" x14ac:dyDescent="0.35">
      <c r="D65" s="97" t="str">
        <f ca="1">IF(ResultControlValue&lt;0,"Strata z tytułu trwałej utraty wartości","Wartość kontrolna")&amp;" (B - A)"</f>
        <v>Wartość kontrolna (B - A)</v>
      </c>
    </row>
    <row r="66" spans="4:8" ht="12.75" customHeight="1" x14ac:dyDescent="0.35"/>
    <row r="67" spans="4:8" ht="12.75" customHeight="1" x14ac:dyDescent="0.35">
      <c r="D67" s="97" t="s">
        <v>4114</v>
      </c>
    </row>
    <row r="68" spans="4:8" ht="12.75" customHeight="1" x14ac:dyDescent="0.35">
      <c r="D68" s="101" t="s">
        <v>4115</v>
      </c>
    </row>
    <row r="69" spans="4:8" ht="12.75" customHeight="1" x14ac:dyDescent="0.35">
      <c r="D69" s="97" t="s">
        <v>4116</v>
      </c>
    </row>
    <row r="70" spans="4:8" ht="12.75" customHeight="1" x14ac:dyDescent="0.35">
      <c r="D70" s="97" t="s">
        <v>4117</v>
      </c>
    </row>
    <row r="71" spans="4:8" ht="12.75" customHeight="1" x14ac:dyDescent="0.35"/>
    <row r="72" spans="4:8" ht="12.75" customHeight="1" x14ac:dyDescent="0.35">
      <c r="D72" s="97" t="s">
        <v>4118</v>
      </c>
      <c r="H72" s="97" t="s">
        <v>4119</v>
      </c>
    </row>
    <row r="73" spans="4:8" ht="12.75" customHeight="1" x14ac:dyDescent="0.35">
      <c r="D73" s="97" t="str">
        <f ca="1">"Skumulowane wolne przepływy pieniężne "&amp;IF(ISERROR($I$131),"",OFFSET(Calculations!$G$11,0,CalcPointPB))&amp;"-&gt;"&amp;IF(ISERROR(D77),F77,D77)</f>
        <v>Skumulowane wolne przepływy pieniężne 9/2019-&gt;</v>
      </c>
    </row>
    <row r="74" spans="4:8" ht="12.75" customHeight="1" x14ac:dyDescent="0.35">
      <c r="D74" s="97" t="str">
        <f ca="1">"Skumulowane wolne przepływy pieniężne "&amp;IF(ISERROR($I$131),"",OFFSET(Calculations!$G$11,0,CalcPointPB))&amp;"-&gt;"&amp;IF(ISERROR(E77),F77,IF(E77=D77,F77,E77))</f>
        <v>Skumulowane wolne przepływy pieniężne 9/2019-&gt;</v>
      </c>
    </row>
    <row r="75" spans="4:8" ht="12.75" customHeight="1" x14ac:dyDescent="0.35">
      <c r="D75" s="97" t="s">
        <v>4120</v>
      </c>
    </row>
    <row r="76" spans="4:8" ht="12.75" customHeight="1" x14ac:dyDescent="0.35">
      <c r="D76" s="97" t="s">
        <v>4121</v>
      </c>
      <c r="H76" s="97" t="s">
        <v>4122</v>
      </c>
    </row>
    <row r="77" spans="4:8" ht="12.75" customHeight="1" x14ac:dyDescent="0.35"/>
    <row r="78" spans="4:8" ht="12.75" customHeight="1" x14ac:dyDescent="0.35">
      <c r="D78" s="97" t="s">
        <v>4123</v>
      </c>
      <c r="H78" s="97" t="str">
        <f>"Średnio "&amp;IF(NOT(ISERROR($N78)),$N78&amp;" lat(a)","-")</f>
        <v>Średnio  lat(a)</v>
      </c>
    </row>
    <row r="79" spans="4:8" ht="12.75" customHeight="1" x14ac:dyDescent="0.35">
      <c r="D79" s="97" t="s">
        <v>3275</v>
      </c>
      <c r="H79" s="97" t="str">
        <f>"Średnio "&amp;IF(NOT(ISERROR($N79)),$N79&amp;" lat(a)","-")</f>
        <v>Średnio  lat(a)</v>
      </c>
    </row>
    <row r="80" spans="4:8" ht="12.75" customHeight="1" x14ac:dyDescent="0.35"/>
    <row r="81" spans="4:4" ht="12.75" customHeight="1" x14ac:dyDescent="0.35">
      <c r="D81" s="97" t="s">
        <v>3276</v>
      </c>
    </row>
    <row r="82" spans="4:4" ht="12.75" customHeight="1" x14ac:dyDescent="0.35"/>
    <row r="83" spans="4:4" ht="12.75" customHeight="1" x14ac:dyDescent="0.35">
      <c r="D83" s="111" t="s">
        <v>4124</v>
      </c>
    </row>
    <row r="84" spans="4:4" ht="12.75" customHeight="1" x14ac:dyDescent="0.35">
      <c r="D84" s="111" t="s">
        <v>4125</v>
      </c>
    </row>
    <row r="85" spans="4:4" ht="12.75" customHeight="1" x14ac:dyDescent="0.35"/>
    <row r="86" spans="4:4" ht="12.75" customHeight="1" x14ac:dyDescent="0.35">
      <c r="D86" s="97" t="s">
        <v>4126</v>
      </c>
    </row>
    <row r="87" spans="4:4" ht="12.75" customHeight="1" x14ac:dyDescent="0.35">
      <c r="D87" s="97" t="str">
        <f ca="1">"Skumulowana zdyskontowana wartość dodana "&amp;IF(ISERROR($I$132),"",OFFSET(Calculations!$G$11,0,CalcPointPB))&amp;"-&gt;"&amp;IF(ISERROR($D$90),$F$90,$D$90)</f>
        <v>Skumulowana zdyskontowana wartość dodana 9/2019-&gt;</v>
      </c>
    </row>
    <row r="88" spans="4:4" ht="12.75" customHeight="1" x14ac:dyDescent="0.35">
      <c r="D88" s="97" t="str">
        <f ca="1">"Skumulowana zdyskontowana wartość dodana "&amp;IF(ISERROR($I$132),"",OFFSET(Calculations!$G$11,0,CalcPointPB))&amp;"-&gt;"&amp;IF(ISERROR($E$90),$F$90,IF($E$90=$D$90,$F$90,$E$90))</f>
        <v>Skumulowana zdyskontowana wartość dodana 9/2019-&gt;</v>
      </c>
    </row>
    <row r="89" spans="4:4" ht="12.75" customHeight="1" x14ac:dyDescent="0.35">
      <c r="D89" s="97" t="s">
        <v>4120</v>
      </c>
    </row>
    <row r="90" spans="4:4" ht="12.75" customHeight="1" x14ac:dyDescent="0.35"/>
    <row r="91" spans="4:4" ht="12.75" customHeight="1" x14ac:dyDescent="0.35">
      <c r="D91" s="97" t="s">
        <v>4127</v>
      </c>
    </row>
    <row r="92" spans="4:4" ht="12.75" customHeight="1" x14ac:dyDescent="0.35"/>
    <row r="93" spans="4:4" ht="12.75" customHeight="1" x14ac:dyDescent="0.35">
      <c r="D93" s="97" t="s">
        <v>4128</v>
      </c>
    </row>
    <row r="94" spans="4:4" ht="12.75" customHeight="1" x14ac:dyDescent="0.35"/>
    <row r="95" spans="4:4" ht="12.75" customHeight="1" x14ac:dyDescent="0.35">
      <c r="D95" s="97" t="s">
        <v>4129</v>
      </c>
    </row>
    <row r="96" spans="4:4" ht="12.75" customHeight="1" x14ac:dyDescent="0.35">
      <c r="D96" s="97" t="str">
        <f>IF(UsePerpetuity=1,"PV wart. rezydualnej(renty wieczystej) dla dostawcy kapit. własn.","PV wartości rezydualnej dla dostawcy kapitału własnego")</f>
        <v>PV wartości rezydualnej dla dostawcy kapitału własnego</v>
      </c>
    </row>
    <row r="97" spans="4:8" ht="12.75" customHeight="1" x14ac:dyDescent="0.35"/>
    <row r="98" spans="4:8" ht="12.75" customHeight="1" x14ac:dyDescent="0.35">
      <c r="D98" s="97" t="s">
        <v>4088</v>
      </c>
    </row>
    <row r="99" spans="4:8" ht="12.75" customHeight="1" x14ac:dyDescent="0.35"/>
    <row r="100" spans="4:8" ht="12.75" customHeight="1" x14ac:dyDescent="0.35">
      <c r="D100" s="97" t="s">
        <v>4089</v>
      </c>
      <c r="H100" s="97" t="s">
        <v>4090</v>
      </c>
    </row>
    <row r="101" spans="4:8" ht="12.75" customHeight="1" x14ac:dyDescent="0.35"/>
    <row r="102" spans="4:8" ht="12.75" customHeight="1" x14ac:dyDescent="0.35">
      <c r="D102" s="97" t="str">
        <f>"      Wprowadź wartość roczną"&amp;IF(TRIM($J$5)&lt;&gt;""," ("&amp;$J$5&amp;")","")</f>
        <v xml:space="preserve">      Wprowadź wartość roczną</v>
      </c>
      <c r="H102" s="97" t="str">
        <f ca="1">"Wartość bazowa "&amp;Calculations!$N$627</f>
        <v>Wartość bazowa (12/2024)</v>
      </c>
    </row>
    <row r="103" spans="4:8" ht="12.75" customHeight="1" x14ac:dyDescent="0.35"/>
    <row r="104" spans="4:8" ht="12.75" customHeight="1" x14ac:dyDescent="0.35">
      <c r="D104" s="97" t="s">
        <v>4091</v>
      </c>
      <c r="H104" s="97" t="s">
        <v>4092</v>
      </c>
    </row>
    <row r="105" spans="4:8" ht="12.75" customHeight="1" x14ac:dyDescent="0.35"/>
    <row r="106" spans="4:8" ht="12.75" customHeight="1" x14ac:dyDescent="0.35">
      <c r="D106" s="97" t="s">
        <v>4093</v>
      </c>
      <c r="H106" s="97" t="str">
        <f ca="1">"Renta wieczysta "&amp;Calculations!$N$627</f>
        <v>Renta wieczysta (12/2024)</v>
      </c>
    </row>
    <row r="107" spans="4:8" ht="12.75" customHeight="1" x14ac:dyDescent="0.35"/>
    <row r="108" spans="4:8" ht="12.75" customHeight="1" x14ac:dyDescent="0.35">
      <c r="D108" s="97" t="s">
        <v>4094</v>
      </c>
      <c r="H108" s="97" t="str">
        <f>"Wartość bieżąca ("&amp;$F$11&amp;")"</f>
        <v>Wartość bieżąca ()</v>
      </c>
    </row>
    <row r="109" spans="4:8" ht="12.75" customHeight="1" x14ac:dyDescent="0.35"/>
    <row r="110" spans="4:8" ht="12.75" customHeight="1" x14ac:dyDescent="0.35">
      <c r="D110" s="101" t="s">
        <v>4130</v>
      </c>
    </row>
    <row r="111" spans="4:8" ht="12.75" customHeight="1" x14ac:dyDescent="0.35">
      <c r="D111" s="97" t="s">
        <v>4131</v>
      </c>
    </row>
    <row r="112" spans="4:8" ht="12.75" customHeight="1" x14ac:dyDescent="0.35">
      <c r="D112" s="97" t="s">
        <v>4132</v>
      </c>
    </row>
    <row r="113" spans="4:8" ht="12.75" customHeight="1" x14ac:dyDescent="0.35"/>
    <row r="114" spans="4:8" ht="12.75" customHeight="1" x14ac:dyDescent="0.35">
      <c r="D114" s="97" t="s">
        <v>4133</v>
      </c>
    </row>
    <row r="115" spans="4:8" ht="12.75" customHeight="1" x14ac:dyDescent="0.35">
      <c r="D115" s="101" t="s">
        <v>4134</v>
      </c>
    </row>
    <row r="116" spans="4:8" ht="12.75" customHeight="1" x14ac:dyDescent="0.35">
      <c r="D116" s="97" t="s">
        <v>4135</v>
      </c>
    </row>
    <row r="117" spans="4:8" ht="12.75" customHeight="1" x14ac:dyDescent="0.35"/>
    <row r="118" spans="4:8" ht="12.75" customHeight="1" x14ac:dyDescent="0.35">
      <c r="D118" s="97" t="s">
        <v>4136</v>
      </c>
      <c r="H118" s="97" t="s">
        <v>4137</v>
      </c>
    </row>
    <row r="119" spans="4:8" ht="12.75" customHeight="1" x14ac:dyDescent="0.35">
      <c r="D119" s="97" t="str">
        <f ca="1">"Skumulowane zdyskontowane FCFE "&amp;IF(ISERROR($G$131),"",OFFSET(Calculations!$G$11,0,CalcPointPB))&amp;"-&gt;"&amp;IF(ISERROR($D$123),$F$123,$D$123)</f>
        <v>Skumulowane zdyskontowane FCFE 9/2019-&gt;</v>
      </c>
    </row>
    <row r="120" spans="4:8" ht="12.75" customHeight="1" x14ac:dyDescent="0.35">
      <c r="D120" s="97" t="str">
        <f ca="1">"Skumulowane zdyskontowane FCFE "&amp;IF(ISERROR($G$131),"",OFFSET(Calculations!$G$11,0,CalcPointPB))&amp;"-&gt;"&amp;IF(ISERROR($E$123),$F$123,IF($E$123=$D$123,$F$123,$E$123))</f>
        <v>Skumulowane zdyskontowane FCFE 9/2019-&gt;</v>
      </c>
    </row>
    <row r="121" spans="4:8" ht="12.75" customHeight="1" x14ac:dyDescent="0.35">
      <c r="D121" s="97" t="s">
        <v>4120</v>
      </c>
    </row>
    <row r="122" spans="4:8" ht="12.75" customHeight="1" x14ac:dyDescent="0.35">
      <c r="D122" s="97" t="s">
        <v>4138</v>
      </c>
      <c r="H122" s="97" t="s">
        <v>4139</v>
      </c>
    </row>
    <row r="123" spans="4:8" ht="12.75" customHeight="1" x14ac:dyDescent="0.35"/>
    <row r="124" spans="4:8" ht="12.75" customHeight="1" x14ac:dyDescent="0.35"/>
    <row r="125" spans="4:8" ht="12.75" customHeight="1" x14ac:dyDescent="0.35">
      <c r="D125" s="97" t="s">
        <v>4140</v>
      </c>
    </row>
    <row r="126" spans="4:8" ht="12.75" customHeight="1" x14ac:dyDescent="0.35">
      <c r="D126" s="97" t="s">
        <v>4141</v>
      </c>
    </row>
    <row r="127" spans="4:8" ht="12.75" customHeight="1" x14ac:dyDescent="0.35"/>
    <row r="128" spans="4:8" ht="12.75" customHeight="1" x14ac:dyDescent="0.35"/>
    <row r="129" spans="4:4" ht="12.75" customHeight="1" x14ac:dyDescent="0.35"/>
    <row r="130" spans="4:4" ht="12.75" customHeight="1" x14ac:dyDescent="0.35">
      <c r="D130" s="97" t="s">
        <v>4142</v>
      </c>
    </row>
  </sheetData>
  <printOptions gridLines="1"/>
  <pageMargins left="0.75" right="0.75" top="1" bottom="1" header="0.5" footer="0.5"/>
  <pageSetup paperSize="9" orientation="portrait" r:id="rId1"/>
  <headerFooter>
    <oddHeader>&amp;C&amp;A</oddHeader>
    <oddFooter>&amp;CPage &amp;P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0">
    <pageSetUpPr autoPageBreaks="0"/>
  </sheetPr>
  <dimension ref="A1:O130"/>
  <sheetViews>
    <sheetView workbookViewId="0">
      <selection activeCell="D35" sqref="D35"/>
    </sheetView>
  </sheetViews>
  <sheetFormatPr defaultColWidth="9.1796875" defaultRowHeight="14.5" x14ac:dyDescent="0.35"/>
  <cols>
    <col min="1" max="1" width="9.26953125" style="97" customWidth="1"/>
    <col min="2" max="2" width="2.54296875" style="97" customWidth="1"/>
    <col min="3" max="3" width="8.453125" style="97" customWidth="1"/>
    <col min="4" max="4" width="13.54296875" style="97" customWidth="1"/>
    <col min="5" max="6" width="9.1796875" style="97"/>
    <col min="7" max="7" width="2.7265625" style="97" customWidth="1"/>
    <col min="8" max="8" width="27.7265625" style="97" customWidth="1"/>
    <col min="9" max="13" width="9.1796875" style="97"/>
    <col min="14" max="14" width="18.7265625" style="97" customWidth="1"/>
    <col min="15" max="15" width="24.7265625" style="97" customWidth="1"/>
    <col min="16" max="16384" width="9.1796875" style="97"/>
  </cols>
  <sheetData>
    <row r="1" spans="3:15" ht="12.75" customHeight="1" x14ac:dyDescent="0.35">
      <c r="C1" s="97" t="s">
        <v>4143</v>
      </c>
      <c r="N1" s="97" t="s">
        <v>4144</v>
      </c>
      <c r="O1" s="97" t="s">
        <v>4145</v>
      </c>
    </row>
    <row r="2" spans="3:15" ht="12.75" customHeight="1" x14ac:dyDescent="0.35"/>
    <row r="3" spans="3:15" ht="12.75" customHeight="1" x14ac:dyDescent="0.35">
      <c r="C3" s="97" t="s">
        <v>4146</v>
      </c>
    </row>
    <row r="4" spans="3:15" ht="12.75" customHeight="1" x14ac:dyDescent="0.35"/>
    <row r="5" spans="3:15" ht="12.75" customHeight="1" x14ac:dyDescent="0.35">
      <c r="D5" s="97" t="s">
        <v>4147</v>
      </c>
    </row>
    <row r="6" spans="3:15" ht="12.75" customHeight="1" x14ac:dyDescent="0.35">
      <c r="D6" s="97" t="s">
        <v>4148</v>
      </c>
    </row>
    <row r="7" spans="3:15" ht="12.75" customHeight="1" x14ac:dyDescent="0.35"/>
    <row r="8" spans="3:15" ht="12.75" customHeight="1" x14ac:dyDescent="0.35">
      <c r="D8" s="97" t="s">
        <v>4149</v>
      </c>
      <c r="H8" s="97" t="s">
        <v>4150</v>
      </c>
    </row>
    <row r="9" spans="3:15" ht="12.75" customHeight="1" x14ac:dyDescent="0.35">
      <c r="D9" s="97" t="s">
        <v>4151</v>
      </c>
    </row>
    <row r="10" spans="3:15" ht="12.75" customHeight="1" x14ac:dyDescent="0.35">
      <c r="D10" s="97" t="s">
        <v>4152</v>
      </c>
      <c r="H10" s="97" t="s">
        <v>2510</v>
      </c>
    </row>
    <row r="11" spans="3:15" ht="12.75" customHeight="1" x14ac:dyDescent="0.35">
      <c r="D11" s="97" t="s">
        <v>4153</v>
      </c>
      <c r="H11" s="97" t="str">
        <f>IF(CalcPoint=0,"(al principio del período)","(al final del período)")</f>
        <v>(al principio del período)</v>
      </c>
    </row>
    <row r="12" spans="3:15" ht="12.75" customHeight="1" x14ac:dyDescent="0.35"/>
    <row r="13" spans="3:15" ht="12.75" customHeight="1" x14ac:dyDescent="0.35"/>
    <row r="14" spans="3:15" ht="12.75" customHeight="1" x14ac:dyDescent="0.35">
      <c r="D14" s="97" t="s">
        <v>4154</v>
      </c>
      <c r="H14" s="97" t="s">
        <v>4155</v>
      </c>
    </row>
    <row r="15" spans="3:15" ht="12.75" customHeight="1" x14ac:dyDescent="0.35">
      <c r="D15" s="97" t="s">
        <v>4156</v>
      </c>
    </row>
    <row r="16" spans="3:15" ht="12.75" customHeight="1" x14ac:dyDescent="0.35">
      <c r="D16" s="97" t="s">
        <v>4157</v>
      </c>
    </row>
    <row r="17" spans="4:8" ht="12.75" customHeight="1" x14ac:dyDescent="0.35"/>
    <row r="18" spans="4:8" ht="12.75" customHeight="1" x14ac:dyDescent="0.35">
      <c r="D18" s="97" t="s">
        <v>4158</v>
      </c>
    </row>
    <row r="19" spans="4:8" ht="12.75" customHeight="1" x14ac:dyDescent="0.35"/>
    <row r="20" spans="4:8" ht="12.75" customHeight="1" x14ac:dyDescent="0.35">
      <c r="D20" s="97" t="s">
        <v>4159</v>
      </c>
      <c r="H20" s="97" t="s">
        <v>4160</v>
      </c>
    </row>
    <row r="21" spans="4:8" ht="12.75" customHeight="1" x14ac:dyDescent="0.35"/>
    <row r="22" spans="4:8" ht="12.75" customHeight="1" x14ac:dyDescent="0.35">
      <c r="D22" s="97" t="str">
        <f>"      Introducir valor anual"&amp;IF(TRIM($J$5)&lt;&gt;""," ("&amp;$J$5&amp;")","")</f>
        <v xml:space="preserve">      Introducir valor anual</v>
      </c>
      <c r="H22" s="97" t="str">
        <f ca="1">"Valor base "&amp;Calculations!$N$627</f>
        <v>Valor base (12/2024)</v>
      </c>
    </row>
    <row r="23" spans="4:8" ht="12.75" customHeight="1" x14ac:dyDescent="0.35"/>
    <row r="24" spans="4:8" ht="12.75" customHeight="1" x14ac:dyDescent="0.35">
      <c r="D24" s="97" t="s">
        <v>4161</v>
      </c>
      <c r="H24" s="97" t="s">
        <v>4162</v>
      </c>
    </row>
    <row r="25" spans="4:8" ht="12.75" customHeight="1" x14ac:dyDescent="0.35"/>
    <row r="26" spans="4:8" ht="12.75" customHeight="1" x14ac:dyDescent="0.35">
      <c r="D26" s="97" t="s">
        <v>4163</v>
      </c>
      <c r="H26" s="97" t="str">
        <f ca="1">"Anualidad perpetua "&amp;Calculations!$N$627</f>
        <v>Anualidad perpetua (12/2024)</v>
      </c>
    </row>
    <row r="27" spans="4:8" ht="12.75" customHeight="1" x14ac:dyDescent="0.35"/>
    <row r="28" spans="4:8" ht="12.75" customHeight="1" x14ac:dyDescent="0.35">
      <c r="D28" s="97" t="s">
        <v>4164</v>
      </c>
      <c r="H28" s="97" t="str">
        <f>"Valor actual ("&amp;$F$11&amp;")"</f>
        <v>Valor actual ()</v>
      </c>
    </row>
    <row r="29" spans="4:8" ht="12.75" customHeight="1" x14ac:dyDescent="0.35"/>
    <row r="30" spans="4:8" ht="12.75" customHeight="1" x14ac:dyDescent="0.35"/>
    <row r="31" spans="4:8" ht="12.75" customHeight="1" x14ac:dyDescent="0.35">
      <c r="D31" s="101" t="s">
        <v>4165</v>
      </c>
      <c r="H31" s="101" t="s">
        <v>4166</v>
      </c>
    </row>
    <row r="32" spans="4:8" ht="12.75" customHeight="1" x14ac:dyDescent="0.35"/>
    <row r="33" spans="4:4" ht="12.75" customHeight="1" x14ac:dyDescent="0.35">
      <c r="D33" s="97" t="s">
        <v>4154</v>
      </c>
    </row>
    <row r="34" spans="4:4" ht="12.75" customHeight="1" x14ac:dyDescent="0.35"/>
    <row r="35" spans="4:4" ht="12.75" customHeight="1" x14ac:dyDescent="0.35">
      <c r="D35" s="97" t="s">
        <v>5081</v>
      </c>
    </row>
    <row r="36" spans="4:4" ht="12.75" customHeight="1" x14ac:dyDescent="0.35">
      <c r="D36" s="97" t="s">
        <v>4167</v>
      </c>
    </row>
    <row r="37" spans="4:4" ht="12.75" customHeight="1" x14ac:dyDescent="0.35"/>
    <row r="38" spans="4:4" ht="12.75" customHeight="1" x14ac:dyDescent="0.35">
      <c r="D38" s="97" t="s">
        <v>4168</v>
      </c>
    </row>
    <row r="39" spans="4:4" ht="12.75" customHeight="1" x14ac:dyDescent="0.35"/>
    <row r="40" spans="4:4" ht="12.75" customHeight="1" x14ac:dyDescent="0.35"/>
    <row r="41" spans="4:4" ht="12.75" customHeight="1" x14ac:dyDescent="0.35"/>
    <row r="42" spans="4:4" ht="12.75" customHeight="1" x14ac:dyDescent="0.35"/>
    <row r="43" spans="4:4" ht="12.75" customHeight="1" x14ac:dyDescent="0.35"/>
    <row r="44" spans="4:4" ht="12.75" customHeight="1" x14ac:dyDescent="0.35"/>
    <row r="45" spans="4:4" ht="12.75" customHeight="1" x14ac:dyDescent="0.35"/>
    <row r="46" spans="4:4" ht="12.75" customHeight="1" x14ac:dyDescent="0.35"/>
    <row r="47" spans="4:4" ht="12.75" customHeight="1" x14ac:dyDescent="0.35"/>
    <row r="48" spans="4:4" ht="12.75" customHeight="1" x14ac:dyDescent="0.35">
      <c r="D48" s="97" t="s">
        <v>4169</v>
      </c>
    </row>
    <row r="49" spans="1:8" ht="12.75" customHeight="1" x14ac:dyDescent="0.35">
      <c r="D49" s="97" t="s">
        <v>1551</v>
      </c>
      <c r="H49" s="101" t="s">
        <v>4170</v>
      </c>
    </row>
    <row r="50" spans="1:8" ht="12.75" customHeight="1" x14ac:dyDescent="0.35"/>
    <row r="51" spans="1:8" ht="12.75" customHeight="1" x14ac:dyDescent="0.35">
      <c r="D51" s="97" t="s">
        <v>4171</v>
      </c>
      <c r="E51" s="97" t="s">
        <v>1556</v>
      </c>
      <c r="F51" s="97" t="s">
        <v>4172</v>
      </c>
    </row>
    <row r="52" spans="1:8" ht="12.75" customHeight="1" x14ac:dyDescent="0.35">
      <c r="D52" s="97" t="s">
        <v>4173</v>
      </c>
    </row>
    <row r="53" spans="1:8" ht="12.75" customHeight="1" x14ac:dyDescent="0.35">
      <c r="D53" s="97" t="s">
        <v>4174</v>
      </c>
    </row>
    <row r="54" spans="1:8" ht="12.75" customHeight="1" x14ac:dyDescent="0.35">
      <c r="D54" s="97" t="s">
        <v>4175</v>
      </c>
    </row>
    <row r="55" spans="1:8" ht="12.75" customHeight="1" x14ac:dyDescent="0.35">
      <c r="D55" s="97" t="s">
        <v>4171</v>
      </c>
    </row>
    <row r="56" spans="1:8" ht="12.75" customHeight="1" x14ac:dyDescent="0.35"/>
    <row r="57" spans="1:8" ht="12.75" customHeight="1" x14ac:dyDescent="0.35">
      <c r="A57" s="97" t="s">
        <v>4176</v>
      </c>
      <c r="D57" s="97" t="s">
        <v>4177</v>
      </c>
    </row>
    <row r="58" spans="1:8" ht="12.75" customHeight="1" x14ac:dyDescent="0.35">
      <c r="A58" s="97" t="s">
        <v>4178</v>
      </c>
      <c r="D58" s="97" t="s">
        <v>4179</v>
      </c>
    </row>
    <row r="59" spans="1:8" ht="12.75" customHeight="1" x14ac:dyDescent="0.35"/>
    <row r="60" spans="1:8" ht="12.75" customHeight="1" x14ac:dyDescent="0.35">
      <c r="D60" s="97" t="s">
        <v>4180</v>
      </c>
      <c r="H60" s="97" t="s">
        <v>4181</v>
      </c>
    </row>
    <row r="61" spans="1:8" ht="12.75" customHeight="1" x14ac:dyDescent="0.35"/>
    <row r="62" spans="1:8" ht="12.75" customHeight="1" x14ac:dyDescent="0.35">
      <c r="D62" s="97" t="s">
        <v>3642</v>
      </c>
    </row>
    <row r="63" spans="1:8" ht="12.75" customHeight="1" x14ac:dyDescent="0.35">
      <c r="D63" s="97" t="s">
        <v>4182</v>
      </c>
    </row>
    <row r="64" spans="1:8" ht="12.75" customHeight="1" x14ac:dyDescent="0.35">
      <c r="D64" s="97" t="s">
        <v>4183</v>
      </c>
    </row>
    <row r="65" spans="4:8" ht="12.75" customHeight="1" x14ac:dyDescent="0.35">
      <c r="D65" s="97" t="str">
        <f ca="1">IF(ResultControlValue&lt;0,"Pérdida de valor","Valor de control")&amp;" (B - A)"</f>
        <v>Valor de control (B - A)</v>
      </c>
    </row>
    <row r="66" spans="4:8" ht="12.75" customHeight="1" x14ac:dyDescent="0.35"/>
    <row r="67" spans="4:8" ht="12.75" customHeight="1" x14ac:dyDescent="0.35">
      <c r="D67" s="97" t="s">
        <v>4184</v>
      </c>
    </row>
    <row r="68" spans="4:8" ht="12.75" customHeight="1" x14ac:dyDescent="0.35">
      <c r="D68" s="101" t="s">
        <v>4185</v>
      </c>
    </row>
    <row r="69" spans="4:8" ht="12.75" customHeight="1" x14ac:dyDescent="0.35">
      <c r="D69" s="97" t="s">
        <v>4186</v>
      </c>
    </row>
    <row r="70" spans="4:8" ht="12.75" customHeight="1" x14ac:dyDescent="0.35">
      <c r="D70" s="97" t="s">
        <v>4187</v>
      </c>
    </row>
    <row r="71" spans="4:8" ht="12.75" customHeight="1" x14ac:dyDescent="0.35"/>
    <row r="72" spans="4:8" ht="12.75" customHeight="1" x14ac:dyDescent="0.35">
      <c r="D72" s="97" t="s">
        <v>4188</v>
      </c>
      <c r="H72" s="97" t="s">
        <v>4189</v>
      </c>
    </row>
    <row r="73" spans="4:8" ht="12.75" customHeight="1" x14ac:dyDescent="0.35">
      <c r="D73" s="97" t="str">
        <f ca="1">"Flujo de caja neto descontado acumulativo "&amp;IF(ISERROR($I$131),"",OFFSET(Calculations!$G$11,0,CalcPointPB))&amp;"-&gt;"&amp;IF(ISERROR(D77),F77,D77)</f>
        <v>Flujo de caja neto descontado acumulativo 9/2019-&gt;</v>
      </c>
    </row>
    <row r="74" spans="4:8" ht="12.75" customHeight="1" x14ac:dyDescent="0.35">
      <c r="D74" s="97" t="str">
        <f ca="1">"Flujo de caja neto descontado acumulativo "&amp;IF(ISERROR($I$131),"",OFFSET(Calculations!$G$11,0,CalcPointPB))&amp;"-&gt;"&amp;IF(ISERROR(E77),F77,IF(E77=D77,F77,E77))</f>
        <v>Flujo de caja neto descontado acumulativo 9/2019-&gt;</v>
      </c>
    </row>
    <row r="75" spans="4:8" ht="12.75" customHeight="1" x14ac:dyDescent="0.35">
      <c r="D75" s="97" t="s">
        <v>4190</v>
      </c>
    </row>
    <row r="76" spans="4:8" ht="12.75" customHeight="1" x14ac:dyDescent="0.35">
      <c r="D76" s="97" t="s">
        <v>4191</v>
      </c>
      <c r="H76" s="97" t="s">
        <v>4192</v>
      </c>
    </row>
    <row r="77" spans="4:8" ht="12.75" customHeight="1" x14ac:dyDescent="0.35"/>
    <row r="78" spans="4:8" ht="12.75" customHeight="1" x14ac:dyDescent="0.35">
      <c r="D78" s="97" t="s">
        <v>4193</v>
      </c>
      <c r="H78" s="97" t="str">
        <f>IF(NOT(ISERROR($N78)),$N78&amp;" años de media","-")</f>
        <v xml:space="preserve"> años de media</v>
      </c>
    </row>
    <row r="79" spans="4:8" ht="12.75" customHeight="1" x14ac:dyDescent="0.35">
      <c r="D79" s="97" t="s">
        <v>4194</v>
      </c>
      <c r="H79" s="97" t="str">
        <f>IF(NOT(ISERROR($N79)),$N79&amp;" años de media","-")</f>
        <v xml:space="preserve"> años de media</v>
      </c>
    </row>
    <row r="80" spans="4:8" ht="12.75" customHeight="1" x14ac:dyDescent="0.35"/>
    <row r="81" spans="4:4" ht="12.75" customHeight="1" x14ac:dyDescent="0.35">
      <c r="D81" s="97" t="s">
        <v>4195</v>
      </c>
    </row>
    <row r="82" spans="4:4" ht="12.75" customHeight="1" x14ac:dyDescent="0.35"/>
    <row r="83" spans="4:4" ht="12.75" customHeight="1" x14ac:dyDescent="0.35">
      <c r="D83" s="111" t="s">
        <v>4196</v>
      </c>
    </row>
    <row r="84" spans="4:4" ht="12.75" customHeight="1" x14ac:dyDescent="0.35">
      <c r="D84" s="111" t="s">
        <v>4197</v>
      </c>
    </row>
    <row r="85" spans="4:4" ht="12.75" customHeight="1" x14ac:dyDescent="0.35"/>
    <row r="86" spans="4:4" ht="12.75" customHeight="1" x14ac:dyDescent="0.35">
      <c r="D86" s="97" t="s">
        <v>4198</v>
      </c>
    </row>
    <row r="87" spans="4:4" ht="12.75" customHeight="1" x14ac:dyDescent="0.35">
      <c r="D87" s="97" t="str">
        <f ca="1">"Tiempo de recuperación, años, basado en DCVA "&amp;IF(ISERROR($I$132),"",OFFSET(Calculations!$G$11,0,CalcPointPB))&amp;"-&gt;"&amp;IF(ISERROR($D$90),$F$90,$D$90)</f>
        <v>Tiempo de recuperación, años, basado en DCVA 9/2019-&gt;</v>
      </c>
    </row>
    <row r="88" spans="4:4" ht="12.75" customHeight="1" x14ac:dyDescent="0.35">
      <c r="D88" s="97" t="str">
        <f ca="1">"Tiempo de recuperación, años, basado en DCVA "&amp;IF(ISERROR($I$132),"",OFFSET(Calculations!$G$11,0,CalcPointPB))&amp;"-&gt;"&amp;IF(ISERROR($E$90),$F$90,IF($E$90=$D$90,$F$90,$E$90))</f>
        <v>Tiempo de recuperación, años, basado en DCVA 9/2019-&gt;</v>
      </c>
    </row>
    <row r="89" spans="4:4" ht="12.75" customHeight="1" x14ac:dyDescent="0.35">
      <c r="D89" s="97" t="s">
        <v>4190</v>
      </c>
    </row>
    <row r="90" spans="4:4" ht="12.75" customHeight="1" x14ac:dyDescent="0.35"/>
    <row r="91" spans="4:4" ht="12.75" customHeight="1" x14ac:dyDescent="0.35">
      <c r="D91" s="97" t="s">
        <v>4199</v>
      </c>
    </row>
    <row r="92" spans="4:4" ht="12.75" customHeight="1" x14ac:dyDescent="0.35"/>
    <row r="93" spans="4:4" ht="12.75" customHeight="1" x14ac:dyDescent="0.35">
      <c r="D93" s="97" t="s">
        <v>4200</v>
      </c>
    </row>
    <row r="94" spans="4:4" ht="12.75" customHeight="1" x14ac:dyDescent="0.35"/>
    <row r="95" spans="4:4" ht="12.75" customHeight="1" x14ac:dyDescent="0.35">
      <c r="D95" s="97" t="s">
        <v>4201</v>
      </c>
    </row>
    <row r="96" spans="4:4" ht="12.75" customHeight="1" x14ac:dyDescent="0.35">
      <c r="D96" s="97" t="str">
        <f>"PV del valor residual"&amp;IF(UsePerpetuity=1," (perpetua)","")&amp;" para los accionistas"</f>
        <v>PV del valor residual para los accionistas</v>
      </c>
    </row>
    <row r="97" spans="4:8" ht="12.75" customHeight="1" x14ac:dyDescent="0.35"/>
    <row r="98" spans="4:8" ht="12.75" customHeight="1" x14ac:dyDescent="0.35">
      <c r="D98" s="97" t="s">
        <v>4158</v>
      </c>
    </row>
    <row r="99" spans="4:8" ht="12.75" customHeight="1" x14ac:dyDescent="0.35"/>
    <row r="100" spans="4:8" ht="12.75" customHeight="1" x14ac:dyDescent="0.35">
      <c r="D100" s="97" t="s">
        <v>4159</v>
      </c>
      <c r="H100" s="97" t="s">
        <v>4160</v>
      </c>
    </row>
    <row r="101" spans="4:8" ht="12.75" customHeight="1" x14ac:dyDescent="0.35"/>
    <row r="102" spans="4:8" ht="12.75" customHeight="1" x14ac:dyDescent="0.35">
      <c r="D102" s="97" t="str">
        <f>"      Introducir valor anual"&amp;IF(TRIM($J$5)&lt;&gt;""," ("&amp;$J$5&amp;")","")</f>
        <v xml:space="preserve">      Introducir valor anual</v>
      </c>
      <c r="H102" s="97" t="str">
        <f ca="1">"Valor base "&amp;Calculations!$N$627</f>
        <v>Valor base (12/2024)</v>
      </c>
    </row>
    <row r="103" spans="4:8" ht="12.75" customHeight="1" x14ac:dyDescent="0.35"/>
    <row r="104" spans="4:8" ht="12.75" customHeight="1" x14ac:dyDescent="0.35">
      <c r="D104" s="97" t="s">
        <v>4161</v>
      </c>
      <c r="H104" s="97" t="s">
        <v>4162</v>
      </c>
    </row>
    <row r="105" spans="4:8" ht="12.75" customHeight="1" x14ac:dyDescent="0.35"/>
    <row r="106" spans="4:8" ht="12.75" customHeight="1" x14ac:dyDescent="0.35">
      <c r="D106" s="97" t="s">
        <v>4163</v>
      </c>
      <c r="H106" s="97" t="str">
        <f ca="1">"Anualidad perpetua "&amp;Calculations!$N$627</f>
        <v>Anualidad perpetua (12/2024)</v>
      </c>
    </row>
    <row r="107" spans="4:8" ht="12.75" customHeight="1" x14ac:dyDescent="0.35"/>
    <row r="108" spans="4:8" ht="12.75" customHeight="1" x14ac:dyDescent="0.35">
      <c r="D108" s="97" t="s">
        <v>4164</v>
      </c>
      <c r="H108" s="97" t="str">
        <f>"Valor actual ("&amp;$F$11&amp;")"</f>
        <v>Valor actual ()</v>
      </c>
    </row>
    <row r="109" spans="4:8" ht="12.75" customHeight="1" x14ac:dyDescent="0.35"/>
    <row r="110" spans="4:8" ht="12.75" customHeight="1" x14ac:dyDescent="0.35">
      <c r="D110" s="101" t="s">
        <v>4202</v>
      </c>
    </row>
    <row r="111" spans="4:8" ht="12.75" customHeight="1" x14ac:dyDescent="0.35">
      <c r="D111" s="97" t="s">
        <v>4203</v>
      </c>
    </row>
    <row r="112" spans="4:8" ht="12.75" customHeight="1" x14ac:dyDescent="0.35">
      <c r="D112" s="97" t="s">
        <v>4204</v>
      </c>
    </row>
    <row r="113" spans="4:8" ht="12.75" customHeight="1" x14ac:dyDescent="0.35"/>
    <row r="114" spans="4:8" ht="12.75" customHeight="1" x14ac:dyDescent="0.35">
      <c r="D114" s="97" t="s">
        <v>4205</v>
      </c>
    </row>
    <row r="115" spans="4:8" ht="12.75" customHeight="1" x14ac:dyDescent="0.35">
      <c r="D115" s="101" t="s">
        <v>4206</v>
      </c>
    </row>
    <row r="116" spans="4:8" ht="12.75" customHeight="1" x14ac:dyDescent="0.35">
      <c r="D116" s="97" t="s">
        <v>4207</v>
      </c>
    </row>
    <row r="117" spans="4:8" ht="12.75" customHeight="1" x14ac:dyDescent="0.35"/>
    <row r="118" spans="4:8" ht="12.75" customHeight="1" x14ac:dyDescent="0.35">
      <c r="D118" s="97" t="s">
        <v>4208</v>
      </c>
      <c r="H118" s="97" t="s">
        <v>4209</v>
      </c>
    </row>
    <row r="119" spans="4:8" ht="12.75" customHeight="1" x14ac:dyDescent="0.35">
      <c r="D119" s="97" t="str">
        <f ca="1">"FCFE descontado acumulado "&amp;IF(ISERROR($G$131),"",OFFSET(Calculations!$G$11,0,CalcPointPB))&amp;"-&gt;"&amp;IF(ISERROR($D$123),$F$123,$D$123)</f>
        <v>FCFE descontado acumulado 9/2019-&gt;</v>
      </c>
    </row>
    <row r="120" spans="4:8" ht="12.75" customHeight="1" x14ac:dyDescent="0.35">
      <c r="D120" s="97" t="str">
        <f ca="1">"FCFE descontado acumulado "&amp;IF(ISERROR($G$131),"",OFFSET(Calculations!$G$11,0,CalcPointPB))&amp;"-&gt;"&amp;IF(ISERROR($E$123),$F$123,IF($E$123=$D$123,$F$123,$E$123))</f>
        <v>FCFE descontado acumulado 9/2019-&gt;</v>
      </c>
    </row>
    <row r="121" spans="4:8" ht="12.75" customHeight="1" x14ac:dyDescent="0.35">
      <c r="D121" s="97" t="s">
        <v>4190</v>
      </c>
    </row>
    <row r="122" spans="4:8" ht="12.75" customHeight="1" x14ac:dyDescent="0.35">
      <c r="D122" s="97" t="s">
        <v>4210</v>
      </c>
      <c r="H122" s="97" t="s">
        <v>4211</v>
      </c>
    </row>
    <row r="123" spans="4:8" ht="12.75" customHeight="1" x14ac:dyDescent="0.35"/>
    <row r="124" spans="4:8" ht="12.75" customHeight="1" x14ac:dyDescent="0.35"/>
    <row r="125" spans="4:8" ht="12.75" customHeight="1" x14ac:dyDescent="0.35">
      <c r="D125" s="97" t="s">
        <v>4212</v>
      </c>
    </row>
    <row r="126" spans="4:8" ht="12.75" customHeight="1" x14ac:dyDescent="0.35">
      <c r="D126" s="97" t="s">
        <v>4213</v>
      </c>
    </row>
    <row r="127" spans="4:8" ht="12.75" customHeight="1" x14ac:dyDescent="0.35"/>
    <row r="128" spans="4:8" ht="12.75" customHeight="1" x14ac:dyDescent="0.35"/>
    <row r="129" spans="4:4" ht="12.75" customHeight="1" x14ac:dyDescent="0.35"/>
    <row r="130" spans="4:4" ht="12.75" customHeight="1" x14ac:dyDescent="0.35">
      <c r="D130" s="97" t="s">
        <v>4214</v>
      </c>
    </row>
  </sheetData>
  <printOptions gridLines="1"/>
  <pageMargins left="0.75" right="0.75" top="1" bottom="1" header="0.5" footer="0.5"/>
  <pageSetup paperSize="9" orientation="portrait" r:id="rId1"/>
  <headerFooter>
    <oddHeader>&amp;C&amp;A</oddHeader>
    <oddFooter>&amp;CPage &amp;P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1">
    <pageSetUpPr autoPageBreaks="0"/>
  </sheetPr>
  <dimension ref="A1:O130"/>
  <sheetViews>
    <sheetView workbookViewId="0"/>
  </sheetViews>
  <sheetFormatPr defaultColWidth="9.1796875" defaultRowHeight="14.5" x14ac:dyDescent="0.35"/>
  <cols>
    <col min="1" max="2" width="4" style="97" customWidth="1"/>
    <col min="3" max="16384" width="9.1796875" style="97"/>
  </cols>
  <sheetData>
    <row r="1" spans="3:15" ht="12.75" customHeight="1" x14ac:dyDescent="0.35">
      <c r="C1" s="97" t="s">
        <v>4215</v>
      </c>
      <c r="N1" s="97" t="s">
        <v>4216</v>
      </c>
      <c r="O1" s="97" t="s">
        <v>4217</v>
      </c>
    </row>
    <row r="2" spans="3:15" ht="12.75" customHeight="1" x14ac:dyDescent="0.35"/>
    <row r="3" spans="3:15" ht="12.75" customHeight="1" x14ac:dyDescent="0.35">
      <c r="C3" s="97" t="s">
        <v>4218</v>
      </c>
    </row>
    <row r="4" spans="3:15" ht="12.75" customHeight="1" x14ac:dyDescent="0.35"/>
    <row r="5" spans="3:15" ht="12.75" customHeight="1" x14ac:dyDescent="0.35">
      <c r="D5" s="97" t="s">
        <v>4219</v>
      </c>
    </row>
    <row r="6" spans="3:15" ht="12.75" customHeight="1" x14ac:dyDescent="0.35">
      <c r="D6" s="97" t="s">
        <v>4220</v>
      </c>
    </row>
    <row r="7" spans="3:15" ht="12.75" customHeight="1" x14ac:dyDescent="0.35"/>
    <row r="8" spans="3:15" ht="12.75" customHeight="1" x14ac:dyDescent="0.35">
      <c r="D8" s="97" t="s">
        <v>4221</v>
      </c>
      <c r="H8" s="97" t="s">
        <v>4222</v>
      </c>
    </row>
    <row r="9" spans="3:15" ht="12.75" customHeight="1" x14ac:dyDescent="0.35">
      <c r="D9" s="97" t="s">
        <v>4223</v>
      </c>
    </row>
    <row r="10" spans="3:15" ht="12.75" customHeight="1" x14ac:dyDescent="0.35">
      <c r="D10" s="97" t="s">
        <v>4224</v>
      </c>
      <c r="H10" s="97" t="str">
        <f>IF(NOT(ISNUMBER(F10)),"",IF(MOD(F10,1)&lt;&gt;0,"года",IF(AND(RIGHT(F10,1)="1",ABS(F10)&lt;&gt;11),"год",IF(AND(OR(RIGHT(F10,1)="2",RIGHT(F10,1)="3",RIGHT(F10,1)="4"),OR(ABS(F10)&lt;5,ABS(F10)&gt;20)),"года","лет"))))</f>
        <v/>
      </c>
    </row>
    <row r="11" spans="3:15" ht="12.75" customHeight="1" x14ac:dyDescent="0.35">
      <c r="D11" s="97" t="s">
        <v>4225</v>
      </c>
      <c r="H11" s="97" t="str">
        <f>IF(CalcPoint=0,"(В конце периода)","(В начале периода)")</f>
        <v>(В конце периода)</v>
      </c>
    </row>
    <row r="12" spans="3:15" ht="12.75" customHeight="1" x14ac:dyDescent="0.35"/>
    <row r="13" spans="3:15" ht="12.75" customHeight="1" x14ac:dyDescent="0.35"/>
    <row r="14" spans="3:15" ht="12.75" customHeight="1" x14ac:dyDescent="0.35">
      <c r="D14" s="97" t="s">
        <v>4226</v>
      </c>
      <c r="H14" s="97" t="s">
        <v>4227</v>
      </c>
    </row>
    <row r="15" spans="3:15" ht="12.75" customHeight="1" x14ac:dyDescent="0.35">
      <c r="D15" s="97" t="s">
        <v>4228</v>
      </c>
    </row>
    <row r="16" spans="3:15" ht="12.75" customHeight="1" x14ac:dyDescent="0.35">
      <c r="D16" s="97" t="s">
        <v>4229</v>
      </c>
    </row>
    <row r="17" spans="4:8" ht="12.75" customHeight="1" x14ac:dyDescent="0.35"/>
    <row r="18" spans="4:8" ht="12.75" customHeight="1" x14ac:dyDescent="0.35">
      <c r="D18" s="97" t="s">
        <v>4230</v>
      </c>
    </row>
    <row r="19" spans="4:8" ht="12.75" customHeight="1" x14ac:dyDescent="0.35"/>
    <row r="20" spans="4:8" ht="12.75" customHeight="1" x14ac:dyDescent="0.35">
      <c r="D20" s="97" t="s">
        <v>4231</v>
      </c>
      <c r="H20" s="97" t="s">
        <v>4232</v>
      </c>
    </row>
    <row r="21" spans="4:8" ht="12.75" customHeight="1" x14ac:dyDescent="0.35"/>
    <row r="22" spans="4:8" ht="12.75" customHeight="1" x14ac:dyDescent="0.35">
      <c r="D22" s="97" t="str">
        <f>"      Ввести годовую стоимость"&amp;IF(TRIM($J$5)&lt;&gt;""," ("&amp;$J$5&amp;")","")</f>
        <v xml:space="preserve">      Ввести годовую стоимость</v>
      </c>
      <c r="H22" s="97" t="str">
        <f ca="1">"Баз. стоимость "&amp;Calculations!$N$627</f>
        <v>Баз. стоимость (12/2024)</v>
      </c>
    </row>
    <row r="23" spans="4:8" ht="12.75" customHeight="1" x14ac:dyDescent="0.35"/>
    <row r="24" spans="4:8" ht="12.75" customHeight="1" x14ac:dyDescent="0.35">
      <c r="D24" s="97" t="s">
        <v>4233</v>
      </c>
      <c r="H24" s="97" t="s">
        <v>4234</v>
      </c>
    </row>
    <row r="25" spans="4:8" ht="12.75" customHeight="1" x14ac:dyDescent="0.35"/>
    <row r="26" spans="4:8" ht="12.75" customHeight="1" x14ac:dyDescent="0.35">
      <c r="D26" s="97" t="s">
        <v>4235</v>
      </c>
      <c r="H26" s="97" t="str">
        <f ca="1">"Беск. ден. поток "&amp;Calculations!$N$627</f>
        <v>Беск. ден. поток (12/2024)</v>
      </c>
    </row>
    <row r="27" spans="4:8" ht="12.75" customHeight="1" x14ac:dyDescent="0.35"/>
    <row r="28" spans="4:8" ht="12.75" customHeight="1" x14ac:dyDescent="0.35">
      <c r="D28" s="97" t="s">
        <v>4236</v>
      </c>
      <c r="H28" s="97" t="str">
        <f>"Тек. стоимость ("&amp;$F$11&amp;")"</f>
        <v>Тек. стоимость ()</v>
      </c>
    </row>
    <row r="29" spans="4:8" ht="12.75" customHeight="1" x14ac:dyDescent="0.35"/>
    <row r="30" spans="4:8" ht="12.75" customHeight="1" x14ac:dyDescent="0.35"/>
    <row r="31" spans="4:8" ht="12.75" customHeight="1" x14ac:dyDescent="0.35">
      <c r="D31" s="101" t="s">
        <v>4237</v>
      </c>
      <c r="H31" s="101" t="s">
        <v>4238</v>
      </c>
    </row>
    <row r="32" spans="4:8" ht="12.75" customHeight="1" x14ac:dyDescent="0.35"/>
    <row r="33" spans="4:4" ht="12.75" customHeight="1" x14ac:dyDescent="0.35">
      <c r="D33" s="97" t="s">
        <v>4226</v>
      </c>
    </row>
    <row r="34" spans="4:4" ht="12.75" customHeight="1" x14ac:dyDescent="0.35"/>
    <row r="35" spans="4:4" ht="12.75" customHeight="1" x14ac:dyDescent="0.35">
      <c r="D35" s="97" t="s">
        <v>5082</v>
      </c>
    </row>
    <row r="36" spans="4:4" ht="12.75" customHeight="1" x14ac:dyDescent="0.35">
      <c r="D36" s="97" t="s">
        <v>4239</v>
      </c>
    </row>
    <row r="37" spans="4:4" ht="12.75" customHeight="1" x14ac:dyDescent="0.35"/>
    <row r="38" spans="4:4" ht="12.75" customHeight="1" x14ac:dyDescent="0.35">
      <c r="D38" s="97" t="s">
        <v>4240</v>
      </c>
    </row>
    <row r="39" spans="4:4" ht="12.75" customHeight="1" x14ac:dyDescent="0.35"/>
    <row r="40" spans="4:4" ht="12.75" customHeight="1" x14ac:dyDescent="0.35"/>
    <row r="41" spans="4:4" ht="12.75" customHeight="1" x14ac:dyDescent="0.35"/>
    <row r="42" spans="4:4" ht="12.75" customHeight="1" x14ac:dyDescent="0.35"/>
    <row r="43" spans="4:4" ht="12.75" customHeight="1" x14ac:dyDescent="0.35"/>
    <row r="44" spans="4:4" ht="12.75" customHeight="1" x14ac:dyDescent="0.35"/>
    <row r="45" spans="4:4" ht="12.75" customHeight="1" x14ac:dyDescent="0.35"/>
    <row r="46" spans="4:4" ht="12.75" customHeight="1" x14ac:dyDescent="0.35"/>
    <row r="47" spans="4:4" ht="12.75" customHeight="1" x14ac:dyDescent="0.35"/>
    <row r="48" spans="4:4" ht="12.75" customHeight="1" x14ac:dyDescent="0.35">
      <c r="D48" s="97" t="s">
        <v>4241</v>
      </c>
    </row>
    <row r="49" spans="1:8" ht="12.75" customHeight="1" x14ac:dyDescent="0.35">
      <c r="D49" s="97" t="s">
        <v>1551</v>
      </c>
      <c r="H49" s="101" t="s">
        <v>4242</v>
      </c>
    </row>
    <row r="50" spans="1:8" ht="12.75" customHeight="1" x14ac:dyDescent="0.35"/>
    <row r="51" spans="1:8" ht="12.75" customHeight="1" x14ac:dyDescent="0.35">
      <c r="D51" s="97" t="s">
        <v>4243</v>
      </c>
      <c r="E51" s="97" t="s">
        <v>4244</v>
      </c>
      <c r="F51" s="97" t="s">
        <v>1185</v>
      </c>
    </row>
    <row r="52" spans="1:8" ht="12.75" customHeight="1" x14ac:dyDescent="0.35">
      <c r="D52" s="97" t="s">
        <v>4245</v>
      </c>
    </row>
    <row r="53" spans="1:8" ht="12.75" customHeight="1" x14ac:dyDescent="0.35">
      <c r="D53" s="97" t="s">
        <v>4246</v>
      </c>
    </row>
    <row r="54" spans="1:8" ht="12.75" customHeight="1" x14ac:dyDescent="0.35">
      <c r="D54" s="97" t="s">
        <v>4247</v>
      </c>
    </row>
    <row r="55" spans="1:8" ht="12.75" customHeight="1" x14ac:dyDescent="0.35">
      <c r="D55" s="97" t="s">
        <v>4243</v>
      </c>
    </row>
    <row r="56" spans="1:8" ht="12.75" customHeight="1" x14ac:dyDescent="0.35"/>
    <row r="57" spans="1:8" ht="12.75" customHeight="1" x14ac:dyDescent="0.35">
      <c r="A57" s="97" t="s">
        <v>4248</v>
      </c>
      <c r="D57" s="97" t="s">
        <v>4249</v>
      </c>
    </row>
    <row r="58" spans="1:8" ht="12.75" customHeight="1" x14ac:dyDescent="0.35">
      <c r="A58" s="97" t="s">
        <v>4250</v>
      </c>
      <c r="D58" s="97" t="s">
        <v>4251</v>
      </c>
    </row>
    <row r="59" spans="1:8" ht="12.75" customHeight="1" x14ac:dyDescent="0.35"/>
    <row r="60" spans="1:8" ht="12.75" customHeight="1" x14ac:dyDescent="0.35">
      <c r="D60" s="97" t="s">
        <v>4252</v>
      </c>
      <c r="H60" s="97" t="s">
        <v>4253</v>
      </c>
    </row>
    <row r="61" spans="1:8" ht="12.75" customHeight="1" x14ac:dyDescent="0.35"/>
    <row r="62" spans="1:8" ht="12.75" customHeight="1" x14ac:dyDescent="0.35">
      <c r="D62" s="97" t="s">
        <v>3868</v>
      </c>
    </row>
    <row r="63" spans="1:8" ht="12.75" customHeight="1" x14ac:dyDescent="0.35">
      <c r="D63" s="97" t="s">
        <v>4254</v>
      </c>
    </row>
    <row r="64" spans="1:8" ht="12.75" customHeight="1" x14ac:dyDescent="0.35">
      <c r="D64" s="97" t="s">
        <v>4255</v>
      </c>
    </row>
    <row r="65" spans="4:8" ht="12.75" customHeight="1" x14ac:dyDescent="0.35">
      <c r="D65" s="97" t="str">
        <f ca="1">IF(ResultControlValue&lt;0,"Убыток от обесценения","Контрольная стоимость")&amp;" (В - А)"</f>
        <v>Контрольная стоимость (В - А)</v>
      </c>
    </row>
    <row r="66" spans="4:8" ht="12.75" customHeight="1" x14ac:dyDescent="0.35"/>
    <row r="67" spans="4:8" ht="12.75" customHeight="1" x14ac:dyDescent="0.35">
      <c r="D67" s="97" t="s">
        <v>4256</v>
      </c>
    </row>
    <row r="68" spans="4:8" ht="12.75" customHeight="1" x14ac:dyDescent="0.35">
      <c r="D68" s="101" t="s">
        <v>4257</v>
      </c>
    </row>
    <row r="69" spans="4:8" ht="12.75" customHeight="1" x14ac:dyDescent="0.35">
      <c r="D69" s="97" t="s">
        <v>4258</v>
      </c>
    </row>
    <row r="70" spans="4:8" ht="12.75" customHeight="1" x14ac:dyDescent="0.35">
      <c r="D70" s="97" t="s">
        <v>4259</v>
      </c>
    </row>
    <row r="71" spans="4:8" ht="12.75" customHeight="1" x14ac:dyDescent="0.35"/>
    <row r="72" spans="4:8" ht="12.75" customHeight="1" x14ac:dyDescent="0.35">
      <c r="D72" s="97" t="s">
        <v>4260</v>
      </c>
      <c r="H72" s="97" t="s">
        <v>4261</v>
      </c>
    </row>
    <row r="73" spans="4:8" ht="12.75" customHeight="1" x14ac:dyDescent="0.35">
      <c r="D73" s="97" t="str">
        <f ca="1">"Кумулятивный дисконтированный свободный денежный поток "&amp;IF(ISERROR($I$131),"",OFFSET(Calculations!$G$11,0,CalcPointPB))&amp;"-&gt;"&amp;IF(ISERROR(D77),F77,D77)</f>
        <v>Кумулятивный дисконтированный свободный денежный поток 9/2019-&gt;</v>
      </c>
    </row>
    <row r="74" spans="4:8" ht="12.75" customHeight="1" x14ac:dyDescent="0.35">
      <c r="D74" s="97" t="str">
        <f ca="1">"Кумулятивный дисконтированный свободный денежный поток "&amp;IF(ISERROR($I$131),"",OFFSET(Calculations!$G$11,0,CalcPointPB))&amp;"-&gt;"&amp;IF(ISERROR(E77),F77,IF(E77=D77,F77,E77))</f>
        <v>Кумулятивный дисконтированный свободный денежный поток 9/2019-&gt;</v>
      </c>
    </row>
    <row r="75" spans="4:8" ht="12.75" customHeight="1" x14ac:dyDescent="0.35">
      <c r="D75" s="97" t="s">
        <v>4262</v>
      </c>
    </row>
    <row r="76" spans="4:8" ht="12.75" customHeight="1" x14ac:dyDescent="0.35">
      <c r="D76" s="97" t="s">
        <v>4263</v>
      </c>
      <c r="H76" s="97" t="s">
        <v>4264</v>
      </c>
    </row>
    <row r="77" spans="4:8" ht="12.75" customHeight="1" x14ac:dyDescent="0.35"/>
    <row r="78" spans="4:8" ht="12.75" customHeight="1" x14ac:dyDescent="0.35">
      <c r="D78" s="97" t="s">
        <v>4265</v>
      </c>
      <c r="H78" s="97" t="str">
        <f>"Среднее за "&amp;IF(NOT(ISERROR($N78)),$N78&amp;" лет","-")</f>
        <v>Среднее за  лет</v>
      </c>
    </row>
    <row r="79" spans="4:8" ht="12.75" customHeight="1" x14ac:dyDescent="0.35">
      <c r="D79" s="97" t="s">
        <v>4266</v>
      </c>
      <c r="H79" s="97" t="str">
        <f>"Среднее за "&amp;IF(NOT(ISERROR($N79)),$N79&amp;" лет","-")</f>
        <v>Среднее за  лет</v>
      </c>
    </row>
    <row r="80" spans="4:8" ht="12.75" customHeight="1" x14ac:dyDescent="0.35"/>
    <row r="81" spans="4:4" ht="12.75" customHeight="1" x14ac:dyDescent="0.35">
      <c r="D81" s="97" t="s">
        <v>4267</v>
      </c>
    </row>
    <row r="82" spans="4:4" ht="12.75" customHeight="1" x14ac:dyDescent="0.35"/>
    <row r="83" spans="4:4" ht="12.75" customHeight="1" x14ac:dyDescent="0.35">
      <c r="D83" s="111" t="s">
        <v>4268</v>
      </c>
    </row>
    <row r="84" spans="4:4" ht="12.75" customHeight="1" x14ac:dyDescent="0.35">
      <c r="D84" s="111" t="s">
        <v>4269</v>
      </c>
    </row>
    <row r="85" spans="4:4" ht="12.75" customHeight="1" x14ac:dyDescent="0.35"/>
    <row r="86" spans="4:4" ht="12.75" customHeight="1" x14ac:dyDescent="0.35">
      <c r="D86" s="97" t="s">
        <v>4270</v>
      </c>
    </row>
    <row r="87" spans="4:4" ht="12.75" customHeight="1" x14ac:dyDescent="0.35">
      <c r="D87" s="97" t="str">
        <f ca="1">"Кумулятивная дисконтированная добавочная стоимость "&amp;IF(ISERROR($I$132),"",OFFSET(Calculations!$G$11,0,CalcPointPB))&amp;"-&gt;"&amp;IF(ISERROR($D$90),$F$90,$D$90)</f>
        <v>Кумулятивная дисконтированная добавочная стоимость 9/2019-&gt;</v>
      </c>
    </row>
    <row r="88" spans="4:4" ht="12.75" customHeight="1" x14ac:dyDescent="0.35">
      <c r="D88" s="97" t="str">
        <f ca="1">"Кумулятивная дисконтированная добавочная стоимость "&amp;IF(ISERROR($I$132),"",OFFSET(Calculations!$G$11,0,CalcPointPB))&amp;"-&gt;"&amp;IF(ISERROR($E$90),$F$90,IF($E$90=$D$90,$F$90,$E$90))</f>
        <v>Кумулятивная дисконтированная добавочная стоимость 9/2019-&gt;</v>
      </c>
    </row>
    <row r="89" spans="4:4" ht="12.75" customHeight="1" x14ac:dyDescent="0.35">
      <c r="D89" s="97" t="s">
        <v>4262</v>
      </c>
    </row>
    <row r="90" spans="4:4" ht="12.75" customHeight="1" x14ac:dyDescent="0.35"/>
    <row r="91" spans="4:4" ht="12.75" customHeight="1" x14ac:dyDescent="0.35">
      <c r="D91" s="97" t="s">
        <v>4271</v>
      </c>
    </row>
    <row r="92" spans="4:4" ht="12.75" customHeight="1" x14ac:dyDescent="0.35"/>
    <row r="93" spans="4:4" ht="12.75" customHeight="1" x14ac:dyDescent="0.35">
      <c r="D93" s="97" t="s">
        <v>4272</v>
      </c>
    </row>
    <row r="94" spans="4:4" ht="12.75" customHeight="1" x14ac:dyDescent="0.35"/>
    <row r="95" spans="4:4" ht="12.75" customHeight="1" x14ac:dyDescent="0.35">
      <c r="D95" s="97" t="s">
        <v>4273</v>
      </c>
    </row>
    <row r="96" spans="4:4" ht="12.75" customHeight="1" x14ac:dyDescent="0.35">
      <c r="D96" s="97" t="s">
        <v>4274</v>
      </c>
    </row>
    <row r="97" spans="4:8" ht="12.75" customHeight="1" x14ac:dyDescent="0.35"/>
    <row r="98" spans="4:8" ht="12.75" customHeight="1" x14ac:dyDescent="0.35">
      <c r="D98" s="97" t="s">
        <v>4230</v>
      </c>
    </row>
    <row r="99" spans="4:8" ht="12.75" customHeight="1" x14ac:dyDescent="0.35"/>
    <row r="100" spans="4:8" ht="12.75" customHeight="1" x14ac:dyDescent="0.35">
      <c r="D100" s="97" t="s">
        <v>4231</v>
      </c>
      <c r="H100" s="97" t="s">
        <v>4232</v>
      </c>
    </row>
    <row r="101" spans="4:8" ht="12.75" customHeight="1" x14ac:dyDescent="0.35"/>
    <row r="102" spans="4:8" ht="12.75" customHeight="1" x14ac:dyDescent="0.35">
      <c r="D102" s="97" t="str">
        <f>"      Ввести годовую стоимость"&amp;IF(TRIM($J$5)&lt;&gt;""," ("&amp;$J$5&amp;")","")</f>
        <v xml:space="preserve">      Ввести годовую стоимость</v>
      </c>
      <c r="H102" s="97" t="str">
        <f ca="1">"Баз. стоимость "&amp;Calculations!$N$627</f>
        <v>Баз. стоимость (12/2024)</v>
      </c>
    </row>
    <row r="103" spans="4:8" ht="12.75" customHeight="1" x14ac:dyDescent="0.35"/>
    <row r="104" spans="4:8" ht="12.75" customHeight="1" x14ac:dyDescent="0.35">
      <c r="D104" s="97" t="s">
        <v>4233</v>
      </c>
      <c r="H104" s="97" t="s">
        <v>4234</v>
      </c>
    </row>
    <row r="105" spans="4:8" ht="12.75" customHeight="1" x14ac:dyDescent="0.35"/>
    <row r="106" spans="4:8" ht="12.75" customHeight="1" x14ac:dyDescent="0.35">
      <c r="D106" s="97" t="s">
        <v>4275</v>
      </c>
      <c r="H106" s="97" t="str">
        <f ca="1">"Беск. ден. поток "&amp;Calculations!$N$627</f>
        <v>Беск. ден. поток (12/2024)</v>
      </c>
    </row>
    <row r="107" spans="4:8" ht="12.75" customHeight="1" x14ac:dyDescent="0.35"/>
    <row r="108" spans="4:8" ht="12.75" customHeight="1" x14ac:dyDescent="0.35">
      <c r="D108" s="97" t="s">
        <v>4236</v>
      </c>
      <c r="H108" s="97" t="str">
        <f>"Тек. стоимость ("&amp;$F$11&amp;")"</f>
        <v>Тек. стоимость ()</v>
      </c>
    </row>
    <row r="109" spans="4:8" ht="12.75" customHeight="1" x14ac:dyDescent="0.35"/>
    <row r="110" spans="4:8" ht="12.75" customHeight="1" x14ac:dyDescent="0.35">
      <c r="D110" s="101" t="s">
        <v>4276</v>
      </c>
    </row>
    <row r="111" spans="4:8" ht="12.75" customHeight="1" x14ac:dyDescent="0.35">
      <c r="D111" s="97" t="s">
        <v>4277</v>
      </c>
    </row>
    <row r="112" spans="4:8" ht="12.75" customHeight="1" x14ac:dyDescent="0.35">
      <c r="D112" s="97" t="s">
        <v>4278</v>
      </c>
    </row>
    <row r="113" spans="4:8" ht="12.75" customHeight="1" x14ac:dyDescent="0.35"/>
    <row r="114" spans="4:8" ht="12.75" customHeight="1" x14ac:dyDescent="0.35">
      <c r="D114" s="97" t="s">
        <v>4279</v>
      </c>
    </row>
    <row r="115" spans="4:8" ht="12.75" customHeight="1" x14ac:dyDescent="0.35">
      <c r="D115" s="101" t="s">
        <v>4280</v>
      </c>
    </row>
    <row r="116" spans="4:8" ht="12.75" customHeight="1" x14ac:dyDescent="0.35">
      <c r="D116" s="97" t="s">
        <v>4281</v>
      </c>
    </row>
    <row r="117" spans="4:8" ht="12.75" customHeight="1" x14ac:dyDescent="0.35"/>
    <row r="118" spans="4:8" ht="12.75" customHeight="1" x14ac:dyDescent="0.35">
      <c r="D118" s="97" t="s">
        <v>4282</v>
      </c>
      <c r="H118" s="97" t="s">
        <v>4283</v>
      </c>
    </row>
    <row r="119" spans="4:8" ht="12.75" customHeight="1" x14ac:dyDescent="0.35">
      <c r="D119" s="97" t="str">
        <f ca="1">"Совокупный дисконтированный FCFE "&amp;IF(ISERROR($G$131),"",OFFSET(Calculations!$G$11,0,CalcPointPB))&amp;"-&gt;"&amp;IF(ISERROR($D$123),$F$123,$D$123)</f>
        <v>Совокупный дисконтированный FCFE 9/2019-&gt;</v>
      </c>
    </row>
    <row r="120" spans="4:8" ht="12.75" customHeight="1" x14ac:dyDescent="0.35">
      <c r="D120" s="97" t="str">
        <f ca="1">"Совокупный дисконтированный FCFE "&amp;IF(ISERROR($G$131),"",OFFSET(Calculations!$G$11,0,CalcPointPB))&amp;"-&gt;"&amp;IF(ISERROR($E$123),$F$123,IF($E$123=$D$123,$F$123,$E$123))</f>
        <v>Совокупный дисконтированный FCFE 9/2019-&gt;</v>
      </c>
    </row>
    <row r="121" spans="4:8" ht="12.75" customHeight="1" x14ac:dyDescent="0.35">
      <c r="D121" s="97" t="s">
        <v>4262</v>
      </c>
    </row>
    <row r="122" spans="4:8" ht="12.75" customHeight="1" x14ac:dyDescent="0.35">
      <c r="D122" s="97" t="s">
        <v>4284</v>
      </c>
      <c r="H122" s="97" t="s">
        <v>4285</v>
      </c>
    </row>
    <row r="123" spans="4:8" ht="12.75" customHeight="1" x14ac:dyDescent="0.35"/>
    <row r="124" spans="4:8" ht="12.75" customHeight="1" x14ac:dyDescent="0.35"/>
    <row r="125" spans="4:8" ht="12.75" customHeight="1" x14ac:dyDescent="0.35">
      <c r="D125" s="97" t="s">
        <v>4286</v>
      </c>
    </row>
    <row r="126" spans="4:8" ht="12.75" customHeight="1" x14ac:dyDescent="0.35">
      <c r="D126" s="97" t="s">
        <v>4287</v>
      </c>
    </row>
    <row r="127" spans="4:8" ht="12.75" customHeight="1" x14ac:dyDescent="0.35"/>
    <row r="128" spans="4:8" ht="12.75" customHeight="1" x14ac:dyDescent="0.35"/>
    <row r="129" spans="4:4" ht="12.75" customHeight="1" x14ac:dyDescent="0.35"/>
    <row r="130" spans="4:4" ht="12.75" customHeight="1" x14ac:dyDescent="0.35">
      <c r="D130" s="97" t="s">
        <v>4288</v>
      </c>
    </row>
  </sheetData>
  <printOptions gridLines="1"/>
  <pageMargins left="0.75" right="0.75" top="1" bottom="1" header="0.5" footer="0.5"/>
  <pageSetup paperSize="9" orientation="portrait" r:id="rId1"/>
  <headerFooter>
    <oddHeader>&amp;C&amp;A</oddHeader>
    <oddFooter>&amp;CPage &amp;P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50">
    <tabColor rgb="FF92D050"/>
    <pageSetUpPr autoPageBreaks="0"/>
  </sheetPr>
  <dimension ref="A1:O130"/>
  <sheetViews>
    <sheetView topLeftCell="A52" workbookViewId="0">
      <selection activeCell="D118" sqref="D118"/>
    </sheetView>
  </sheetViews>
  <sheetFormatPr defaultColWidth="9.1796875" defaultRowHeight="14.5" x14ac:dyDescent="0.35"/>
  <cols>
    <col min="1" max="2" width="4" style="1295" customWidth="1"/>
    <col min="3" max="3" width="9.1796875" style="1295"/>
    <col min="4" max="4" width="48.7265625" style="1307" customWidth="1"/>
    <col min="5" max="5" width="13.7265625" style="1295" customWidth="1"/>
    <col min="6" max="16384" width="9.1796875" style="1295"/>
  </cols>
  <sheetData>
    <row r="1" spans="3:15" ht="12.75" customHeight="1" x14ac:dyDescent="0.35">
      <c r="C1" s="97" t="s">
        <v>5849</v>
      </c>
      <c r="N1" s="97" t="s">
        <v>5850</v>
      </c>
      <c r="O1" s="1295" t="s">
        <v>5851</v>
      </c>
    </row>
    <row r="2" spans="3:15" ht="12.75" customHeight="1" x14ac:dyDescent="0.35"/>
    <row r="3" spans="3:15" ht="12.75" customHeight="1" x14ac:dyDescent="0.35">
      <c r="C3" s="97" t="s">
        <v>5600</v>
      </c>
    </row>
    <row r="4" spans="3:15" ht="12.75" customHeight="1" x14ac:dyDescent="0.35"/>
    <row r="5" spans="3:15" ht="12.75" customHeight="1" x14ac:dyDescent="0.35">
      <c r="D5" s="1307" t="s">
        <v>5601</v>
      </c>
    </row>
    <row r="6" spans="3:15" ht="12.75" customHeight="1" x14ac:dyDescent="0.35">
      <c r="D6" s="1307" t="s">
        <v>5602</v>
      </c>
    </row>
    <row r="7" spans="3:15" ht="12.75" customHeight="1" x14ac:dyDescent="0.35"/>
    <row r="8" spans="3:15" ht="12.75" customHeight="1" x14ac:dyDescent="0.35">
      <c r="D8" s="1307" t="s">
        <v>5603</v>
      </c>
      <c r="H8" s="97" t="s">
        <v>5604</v>
      </c>
    </row>
    <row r="9" spans="3:15" ht="12.75" customHeight="1" x14ac:dyDescent="0.35">
      <c r="D9" s="1307" t="s">
        <v>5605</v>
      </c>
    </row>
    <row r="10" spans="3:15" ht="12.75" customHeight="1" x14ac:dyDescent="0.35">
      <c r="D10" s="1307" t="s">
        <v>5852</v>
      </c>
      <c r="H10" s="1295" t="s">
        <v>5458</v>
      </c>
    </row>
    <row r="11" spans="3:15" ht="12.75" customHeight="1" x14ac:dyDescent="0.35">
      <c r="D11" s="1307" t="s">
        <v>5853</v>
      </c>
      <c r="H11" s="97" t="str">
        <f>IF(CalcPoint=0,"(в началото на  периода)","(в края на  периода)")</f>
        <v>(в началото на  периода)</v>
      </c>
    </row>
    <row r="12" spans="3:15" ht="12.75" customHeight="1" x14ac:dyDescent="0.35">
      <c r="H12" s="97"/>
    </row>
    <row r="13" spans="3:15" ht="12.75" customHeight="1" x14ac:dyDescent="0.35"/>
    <row r="14" spans="3:15" ht="12.75" customHeight="1" x14ac:dyDescent="0.35">
      <c r="D14" s="1307" t="s">
        <v>5854</v>
      </c>
      <c r="H14" s="97" t="s">
        <v>5607</v>
      </c>
      <c r="J14" s="97" t="s">
        <v>5608</v>
      </c>
    </row>
    <row r="15" spans="3:15" ht="12.75" customHeight="1" x14ac:dyDescent="0.35">
      <c r="D15" s="1366" t="s">
        <v>5983</v>
      </c>
    </row>
    <row r="16" spans="3:15" ht="12.75" customHeight="1" x14ac:dyDescent="0.35">
      <c r="D16" s="1307" t="s">
        <v>5609</v>
      </c>
    </row>
    <row r="17" spans="4:10" ht="12.75" customHeight="1" x14ac:dyDescent="0.35"/>
    <row r="18" spans="4:10" ht="12.75" customHeight="1" x14ac:dyDescent="0.35">
      <c r="D18" s="1364" t="str">
        <f>IF(PerpetuityLimitation=1,"Безкраен паричен поток основаващ се на","Екстраполация основана на")</f>
        <v>Безкраен паричен поток основаващ се на</v>
      </c>
      <c r="J18" s="97"/>
    </row>
    <row r="19" spans="4:10" ht="12.75" customHeight="1" x14ac:dyDescent="0.35"/>
    <row r="20" spans="4:10" ht="12.75" customHeight="1" x14ac:dyDescent="0.35">
      <c r="D20" s="1307" t="s">
        <v>5614</v>
      </c>
      <c r="H20" s="97" t="s">
        <v>5610</v>
      </c>
    </row>
    <row r="21" spans="4:10" ht="12.75" customHeight="1" x14ac:dyDescent="0.35"/>
    <row r="22" spans="4:10" ht="12.75" customHeight="1" x14ac:dyDescent="0.35">
      <c r="D22" s="1307" t="str">
        <f>"      Въведете годишната стойност"&amp;IF(TRIM($J$5)&lt;&gt;""," ("&amp;$J$5&amp;")","")</f>
        <v xml:space="preserve">      Въведете годишната стойност</v>
      </c>
      <c r="H22" s="97" t="str">
        <f ca="1">"Базова ставка "&amp;Calculations!$N$627</f>
        <v>Базова ставка (12/2024)</v>
      </c>
    </row>
    <row r="23" spans="4:10" ht="12.75" customHeight="1" x14ac:dyDescent="0.35"/>
    <row r="24" spans="4:10" ht="12.75" customHeight="1" x14ac:dyDescent="0.35">
      <c r="D24" s="1307" t="str">
        <f>IF(PerpetuityLimitation=1,"Тип на безкрайния паричен поток","Тип на екстраполацията")</f>
        <v>Тип на безкрайния паричен поток</v>
      </c>
      <c r="H24" s="97" t="s">
        <v>5855</v>
      </c>
    </row>
    <row r="25" spans="4:10" ht="12.75" customHeight="1" x14ac:dyDescent="0.35"/>
    <row r="26" spans="4:10" ht="12.75" customHeight="1" x14ac:dyDescent="0.35">
      <c r="D26" s="1307" t="s">
        <v>5907</v>
      </c>
      <c r="H26" s="97" t="str">
        <f ca="1">"Стойност "&amp;Calculations!$N$627</f>
        <v>Стойност (12/2024)</v>
      </c>
    </row>
    <row r="27" spans="4:10" ht="12.75" customHeight="1" x14ac:dyDescent="0.35"/>
    <row r="28" spans="4:10" ht="12.75" customHeight="1" x14ac:dyDescent="0.35">
      <c r="D28" s="1307" t="s">
        <v>5908</v>
      </c>
      <c r="H28" s="97" t="str">
        <f>"Текуща стойност ("&amp;$F$11&amp;")"</f>
        <v>Текуща стойност ()</v>
      </c>
    </row>
    <row r="29" spans="4:10" ht="12.75" customHeight="1" x14ac:dyDescent="0.35"/>
    <row r="30" spans="4:10" ht="12.75" customHeight="1" x14ac:dyDescent="0.35"/>
    <row r="31" spans="4:10" ht="12.75" customHeight="1" x14ac:dyDescent="0.35">
      <c r="D31" s="1307" t="s">
        <v>5611</v>
      </c>
      <c r="H31" s="97" t="s">
        <v>5612</v>
      </c>
    </row>
    <row r="32" spans="4:10" ht="12.75" customHeight="1" x14ac:dyDescent="0.35"/>
    <row r="33" spans="4:8" ht="12.75" customHeight="1" x14ac:dyDescent="0.35">
      <c r="D33" s="1307" t="s">
        <v>5606</v>
      </c>
    </row>
    <row r="34" spans="4:8" ht="12.75" customHeight="1" x14ac:dyDescent="0.35"/>
    <row r="35" spans="4:8" ht="12.75" customHeight="1" x14ac:dyDescent="0.35">
      <c r="D35" s="1307" t="s">
        <v>5856</v>
      </c>
    </row>
    <row r="36" spans="4:8" ht="12.75" customHeight="1" x14ac:dyDescent="0.35">
      <c r="D36" s="1307" t="s">
        <v>5613</v>
      </c>
    </row>
    <row r="37" spans="4:8" ht="12.75" customHeight="1" x14ac:dyDescent="0.35"/>
    <row r="38" spans="4:8" ht="12.75" customHeight="1" x14ac:dyDescent="0.35">
      <c r="D38" s="1309" t="s">
        <v>5728</v>
      </c>
      <c r="E38" s="1296"/>
      <c r="F38" s="1297"/>
      <c r="G38" s="1296"/>
      <c r="H38" s="1296"/>
    </row>
    <row r="39" spans="4:8" ht="12.75" customHeight="1" x14ac:dyDescent="0.35">
      <c r="D39" s="1308"/>
      <c r="E39" s="1296"/>
      <c r="F39" s="1297"/>
      <c r="G39" s="1296"/>
      <c r="H39" s="1296"/>
    </row>
    <row r="40" spans="4:8" ht="12.75" customHeight="1" x14ac:dyDescent="0.35">
      <c r="D40" s="1308"/>
      <c r="E40" s="1296"/>
      <c r="F40" s="1297"/>
      <c r="G40" s="1296"/>
      <c r="H40" s="1296"/>
    </row>
    <row r="41" spans="4:8" ht="12.75" customHeight="1" x14ac:dyDescent="0.35">
      <c r="D41" s="1308"/>
      <c r="E41" s="1296"/>
      <c r="F41" s="1297"/>
      <c r="G41" s="1296"/>
      <c r="H41" s="1296"/>
    </row>
    <row r="42" spans="4:8" ht="12.75" customHeight="1" x14ac:dyDescent="0.35">
      <c r="D42" s="1308"/>
      <c r="E42" s="1296"/>
      <c r="F42" s="1297"/>
      <c r="G42" s="1296"/>
      <c r="H42" s="1296"/>
    </row>
    <row r="43" spans="4:8" ht="12.75" customHeight="1" x14ac:dyDescent="0.35">
      <c r="D43" s="1308"/>
      <c r="E43" s="1296"/>
      <c r="F43" s="1297"/>
      <c r="G43" s="1296"/>
      <c r="H43" s="1296"/>
    </row>
    <row r="44" spans="4:8" ht="12.75" customHeight="1" x14ac:dyDescent="0.35">
      <c r="D44" s="1308"/>
      <c r="E44" s="1296"/>
      <c r="F44" s="1297"/>
      <c r="G44" s="1296"/>
      <c r="H44" s="1296"/>
    </row>
    <row r="45" spans="4:8" ht="12.75" customHeight="1" x14ac:dyDescent="0.35">
      <c r="D45" s="1308"/>
      <c r="E45" s="1296"/>
      <c r="F45" s="1297"/>
      <c r="G45" s="1296"/>
      <c r="H45" s="1296"/>
    </row>
    <row r="46" spans="4:8" ht="12.75" customHeight="1" x14ac:dyDescent="0.35">
      <c r="D46" s="1308"/>
      <c r="E46" s="1296"/>
      <c r="F46" s="1297"/>
      <c r="G46" s="1296"/>
      <c r="H46" s="1296"/>
    </row>
    <row r="47" spans="4:8" ht="12.75" customHeight="1" x14ac:dyDescent="0.35">
      <c r="D47" s="1308"/>
      <c r="E47" s="1296"/>
      <c r="F47" s="1297"/>
      <c r="G47" s="1296"/>
      <c r="H47" s="1296"/>
    </row>
    <row r="48" spans="4:8" ht="12.75" customHeight="1" x14ac:dyDescent="0.35">
      <c r="D48" s="1309" t="s">
        <v>5857</v>
      </c>
      <c r="E48" s="1296"/>
      <c r="F48" s="1297"/>
      <c r="G48" s="1296"/>
      <c r="H48" s="1296"/>
    </row>
    <row r="49" spans="1:8" ht="12.75" customHeight="1" x14ac:dyDescent="0.35">
      <c r="D49" s="1309" t="s">
        <v>1551</v>
      </c>
      <c r="E49" s="1296"/>
      <c r="F49" s="1297"/>
      <c r="G49" s="1296"/>
      <c r="H49" s="1296" t="s">
        <v>4242</v>
      </c>
    </row>
    <row r="50" spans="1:8" ht="12.75" customHeight="1" x14ac:dyDescent="0.35">
      <c r="D50" s="1309"/>
      <c r="E50" s="1296"/>
      <c r="F50" s="1297"/>
      <c r="G50" s="1296"/>
      <c r="H50" s="1296"/>
    </row>
    <row r="51" spans="1:8" ht="12.75" customHeight="1" x14ac:dyDescent="0.35">
      <c r="D51" s="1307" t="s">
        <v>5716</v>
      </c>
      <c r="E51" s="1295" t="s">
        <v>4244</v>
      </c>
      <c r="F51" s="1295" t="s">
        <v>1185</v>
      </c>
    </row>
    <row r="52" spans="1:8" ht="12.75" customHeight="1" x14ac:dyDescent="0.35">
      <c r="D52" s="1307" t="s">
        <v>5717</v>
      </c>
    </row>
    <row r="53" spans="1:8" ht="12.75" customHeight="1" x14ac:dyDescent="0.35">
      <c r="D53" s="1307" t="s">
        <v>5718</v>
      </c>
    </row>
    <row r="54" spans="1:8" ht="12.75" customHeight="1" x14ac:dyDescent="0.35">
      <c r="D54" s="1307" t="s">
        <v>5729</v>
      </c>
    </row>
    <row r="55" spans="1:8" ht="12.75" customHeight="1" x14ac:dyDescent="0.35">
      <c r="D55" s="1307" t="s">
        <v>5719</v>
      </c>
    </row>
    <row r="56" spans="1:8" ht="12.75" customHeight="1" x14ac:dyDescent="0.35"/>
    <row r="57" spans="1:8" ht="12.75" customHeight="1" x14ac:dyDescent="0.35">
      <c r="A57" s="1295" t="s">
        <v>5734</v>
      </c>
      <c r="D57" s="1307" t="s">
        <v>5858</v>
      </c>
    </row>
    <row r="58" spans="1:8" ht="12.75" customHeight="1" x14ac:dyDescent="0.35">
      <c r="A58" s="1295" t="s">
        <v>5859</v>
      </c>
      <c r="D58" s="1309" t="s">
        <v>5720</v>
      </c>
      <c r="E58" s="1296"/>
      <c r="F58" s="1297"/>
      <c r="G58" s="1296"/>
      <c r="H58" s="1296"/>
    </row>
    <row r="59" spans="1:8" ht="12.75" customHeight="1" x14ac:dyDescent="0.35">
      <c r="D59" s="1309"/>
      <c r="E59" s="1296"/>
      <c r="F59" s="1297"/>
      <c r="G59" s="1296"/>
      <c r="H59" s="1296"/>
    </row>
    <row r="60" spans="1:8" ht="12.75" customHeight="1" x14ac:dyDescent="0.35">
      <c r="D60" s="1310" t="s">
        <v>5730</v>
      </c>
      <c r="E60" s="1298"/>
      <c r="F60" s="1299"/>
      <c r="G60" s="1298"/>
      <c r="H60" s="1298" t="s">
        <v>5860</v>
      </c>
    </row>
    <row r="61" spans="1:8" ht="12.75" customHeight="1" x14ac:dyDescent="0.35">
      <c r="D61" s="1310"/>
      <c r="E61" s="1298"/>
      <c r="F61" s="1299"/>
      <c r="G61" s="1298"/>
      <c r="H61" s="1298"/>
    </row>
    <row r="62" spans="1:8" ht="12.75" customHeight="1" x14ac:dyDescent="0.35">
      <c r="D62" s="1310" t="s">
        <v>5848</v>
      </c>
      <c r="E62" s="1298"/>
      <c r="F62" s="1299"/>
      <c r="G62" s="1298"/>
      <c r="H62" s="1298"/>
    </row>
    <row r="63" spans="1:8" ht="12.75" customHeight="1" x14ac:dyDescent="0.35">
      <c r="D63" s="1310" t="s">
        <v>5731</v>
      </c>
      <c r="E63" s="1298"/>
      <c r="F63" s="1299"/>
      <c r="G63" s="1298"/>
      <c r="H63" s="1298"/>
    </row>
    <row r="64" spans="1:8" ht="12.75" customHeight="1" x14ac:dyDescent="0.35">
      <c r="D64" s="1367" t="s">
        <v>5984</v>
      </c>
      <c r="E64" s="1298"/>
      <c r="F64" s="1299"/>
      <c r="G64" s="1298"/>
      <c r="H64" s="1298"/>
    </row>
    <row r="65" spans="4:8" ht="12.75" customHeight="1" x14ac:dyDescent="0.35">
      <c r="D65" s="1310" t="str">
        <f ca="1">IF(ResultControlValue&lt;0,"Загуба от обезценката","Контролна стойност")&amp;" (B - A)"</f>
        <v>Контролна стойност (B - A)</v>
      </c>
      <c r="E65" s="1298"/>
      <c r="F65" s="1299"/>
      <c r="G65" s="1298"/>
      <c r="H65" s="1298"/>
    </row>
    <row r="66" spans="4:8" ht="12.75" customHeight="1" x14ac:dyDescent="0.35">
      <c r="D66" s="1310"/>
      <c r="E66" s="1298"/>
      <c r="F66" s="1299"/>
      <c r="G66" s="1298"/>
      <c r="H66" s="1298"/>
    </row>
    <row r="67" spans="4:8" ht="12.75" customHeight="1" x14ac:dyDescent="0.35">
      <c r="D67" s="1307" t="s">
        <v>5861</v>
      </c>
    </row>
    <row r="68" spans="4:8" ht="12.75" customHeight="1" x14ac:dyDescent="0.35">
      <c r="D68" s="1307" t="s">
        <v>5862</v>
      </c>
    </row>
    <row r="69" spans="4:8" ht="12.75" customHeight="1" x14ac:dyDescent="0.35">
      <c r="D69" s="1365" t="s">
        <v>5863</v>
      </c>
    </row>
    <row r="70" spans="4:8" ht="12.75" customHeight="1" x14ac:dyDescent="0.35">
      <c r="D70" s="1307" t="s">
        <v>5721</v>
      </c>
    </row>
    <row r="71" spans="4:8" ht="12.75" customHeight="1" x14ac:dyDescent="0.35"/>
    <row r="72" spans="4:8" ht="12.75" customHeight="1" x14ac:dyDescent="0.35">
      <c r="D72" s="1307" t="s">
        <v>5722</v>
      </c>
      <c r="H72" s="1295" t="s">
        <v>5864</v>
      </c>
    </row>
    <row r="73" spans="4:8" ht="12.75" customHeight="1" x14ac:dyDescent="0.35">
      <c r="D73" s="1307" t="str">
        <f ca="1">"Кумул. диск. свободен паричен поток "&amp;IF(ISERROR($I$131),"",OFFSET(Calculations!$G$11,0,CalcPointPB))&amp;"-&gt;"&amp;IF(ISERROR(D77),F77,D77)</f>
        <v>Кумул. диск. свободен паричен поток 9/2019-&gt;</v>
      </c>
    </row>
    <row r="74" spans="4:8" ht="12.75" customHeight="1" x14ac:dyDescent="0.35">
      <c r="D74" s="1307" t="str">
        <f ca="1">"Кумул. диск. свободен паричен поток "&amp;IF(ISERROR($I$131),"",OFFSET(Calculations!$G$11,0,CalcPointPB))&amp;"-&gt;"&amp;IF(ISERROR(E77),F77,IF(E77=D77,F77,E77))</f>
        <v>Кумул. диск. свободен паричен поток 9/2019-&gt;</v>
      </c>
    </row>
    <row r="75" spans="4:8" ht="12.75" customHeight="1" x14ac:dyDescent="0.35">
      <c r="D75" s="1307" t="s">
        <v>5865</v>
      </c>
    </row>
    <row r="76" spans="4:8" ht="12.75" customHeight="1" x14ac:dyDescent="0.35">
      <c r="D76" s="1307" t="s">
        <v>5722</v>
      </c>
      <c r="H76" s="1295" t="s">
        <v>4264</v>
      </c>
    </row>
    <row r="77" spans="4:8" ht="12.75" customHeight="1" x14ac:dyDescent="0.35"/>
    <row r="78" spans="4:8" ht="12.75" customHeight="1" x14ac:dyDescent="0.35">
      <c r="D78" s="1307" t="s">
        <v>5866</v>
      </c>
      <c r="H78" s="1295" t="str">
        <f>"Средно за "&amp;IF(NOT(ISERROR($N78)),$N78&amp;" год.","-")</f>
        <v>Средно за  год.</v>
      </c>
    </row>
    <row r="79" spans="4:8" ht="12.75" customHeight="1" x14ac:dyDescent="0.35">
      <c r="D79" s="1307" t="s">
        <v>5779</v>
      </c>
      <c r="H79" s="1295" t="str">
        <f>"Средно за "&amp;IF(NOT(ISERROR($N79)),$N79&amp;" год.","-")</f>
        <v>Средно за  год.</v>
      </c>
    </row>
    <row r="80" spans="4:8" ht="12.75" customHeight="1" x14ac:dyDescent="0.35"/>
    <row r="81" spans="4:8" ht="12.75" customHeight="1" x14ac:dyDescent="0.35">
      <c r="D81" s="1309" t="s">
        <v>5780</v>
      </c>
      <c r="E81" s="1296"/>
      <c r="F81" s="1297"/>
      <c r="G81" s="1296"/>
      <c r="H81" s="1296"/>
    </row>
    <row r="82" spans="4:8" ht="12.75" customHeight="1" x14ac:dyDescent="0.35">
      <c r="D82" s="1309"/>
      <c r="E82" s="1296"/>
      <c r="F82" s="1297"/>
      <c r="G82" s="1296"/>
      <c r="H82" s="1296"/>
    </row>
    <row r="83" spans="4:8" ht="12.75" customHeight="1" x14ac:dyDescent="0.35">
      <c r="D83" s="1309" t="s">
        <v>5867</v>
      </c>
      <c r="E83" s="1296"/>
      <c r="F83" s="1297"/>
      <c r="G83" s="1296"/>
      <c r="H83" s="1296"/>
    </row>
    <row r="84" spans="4:8" ht="12.75" customHeight="1" x14ac:dyDescent="0.35">
      <c r="D84" s="1309" t="s">
        <v>5919</v>
      </c>
      <c r="E84" s="1296"/>
      <c r="F84" s="1297"/>
      <c r="G84" s="1296"/>
      <c r="H84" s="1296"/>
    </row>
    <row r="85" spans="4:8" ht="12.75" customHeight="1" x14ac:dyDescent="0.35">
      <c r="D85" s="1309"/>
      <c r="E85" s="1296"/>
      <c r="F85" s="1297"/>
      <c r="G85" s="1296"/>
      <c r="H85" s="1296"/>
    </row>
    <row r="86" spans="4:8" ht="12.75" customHeight="1" x14ac:dyDescent="0.35">
      <c r="D86" s="1309" t="s">
        <v>5733</v>
      </c>
      <c r="E86" s="1296"/>
      <c r="F86" s="1297"/>
      <c r="G86" s="1296"/>
      <c r="H86" s="1296"/>
    </row>
    <row r="87" spans="4:8" ht="12.75" customHeight="1" x14ac:dyDescent="0.35">
      <c r="D87" s="1309" t="str">
        <f ca="1">"Кумул. дисконт. добав. стойност "&amp;IF(ISERROR($I$132),"",OFFSET(Calculations!$G$11,0,CalcPointPB))&amp;"-&gt;"&amp;IF(ISERROR($D$90),$F$90,$D$90)</f>
        <v>Кумул. дисконт. добав. стойност 9/2019-&gt;</v>
      </c>
      <c r="E87" s="1296"/>
      <c r="F87" s="1297"/>
      <c r="G87" s="1296"/>
      <c r="H87" s="1296"/>
    </row>
    <row r="88" spans="4:8" ht="12.75" customHeight="1" x14ac:dyDescent="0.35">
      <c r="D88" s="1309" t="str">
        <f ca="1">"Комул. дисконт. добав. стойност "&amp;IF(ISERROR($I$132),"",OFFSET(Calculations!$G$11,0,CalcPointPB))&amp;"-&gt;"&amp;IF(ISERROR($E$90),$F$90,IF($E$90=$D$90,$F$90,$E$90))</f>
        <v>Комул. дисконт. добав. стойност 9/2019-&gt;</v>
      </c>
      <c r="E88" s="1296"/>
      <c r="F88" s="1297"/>
      <c r="G88" s="1296"/>
      <c r="H88" s="1296"/>
    </row>
    <row r="89" spans="4:8" ht="12.75" customHeight="1" x14ac:dyDescent="0.35">
      <c r="D89" s="1309" t="s">
        <v>5868</v>
      </c>
      <c r="E89" s="1296"/>
      <c r="F89" s="1297"/>
      <c r="G89" s="1296"/>
      <c r="H89" s="1296"/>
    </row>
    <row r="90" spans="4:8" ht="12.75" customHeight="1" x14ac:dyDescent="0.35">
      <c r="D90" s="1309"/>
      <c r="E90" s="1296"/>
      <c r="F90" s="1297"/>
      <c r="G90" s="1296"/>
      <c r="H90" s="1296"/>
    </row>
    <row r="91" spans="4:8" ht="12.75" customHeight="1" x14ac:dyDescent="0.35">
      <c r="D91" s="1307" t="s">
        <v>5869</v>
      </c>
    </row>
    <row r="92" spans="4:8" ht="12.75" customHeight="1" x14ac:dyDescent="0.35"/>
    <row r="93" spans="4:8" ht="12.75" customHeight="1" x14ac:dyDescent="0.35">
      <c r="D93" s="1307" t="s">
        <v>5615</v>
      </c>
    </row>
    <row r="94" spans="4:8" ht="12.75" customHeight="1" x14ac:dyDescent="0.35"/>
    <row r="95" spans="4:8" ht="12.75" customHeight="1" x14ac:dyDescent="0.35">
      <c r="D95" s="1307" t="s">
        <v>5732</v>
      </c>
    </row>
    <row r="96" spans="4:8" ht="12.75" customHeight="1" x14ac:dyDescent="0.35">
      <c r="D96" s="1307" t="s">
        <v>5870</v>
      </c>
    </row>
    <row r="97" spans="4:8" ht="12.75" customHeight="1" x14ac:dyDescent="0.35"/>
    <row r="98" spans="4:8" ht="12.75" customHeight="1" x14ac:dyDescent="0.35">
      <c r="D98" s="1364" t="str">
        <f>IF(PerpetuityLimitationEquity=1,"Безкраен паричен поток основаващ се на","Екстраполация основана на")</f>
        <v>Безкраен паричен поток основаващ се на</v>
      </c>
    </row>
    <row r="99" spans="4:8" ht="12.75" customHeight="1" x14ac:dyDescent="0.35"/>
    <row r="100" spans="4:8" ht="12.75" customHeight="1" x14ac:dyDescent="0.35">
      <c r="D100" s="1307" t="s">
        <v>5723</v>
      </c>
      <c r="H100" s="1295" t="s">
        <v>5610</v>
      </c>
    </row>
    <row r="101" spans="4:8" ht="12.75" customHeight="1" x14ac:dyDescent="0.35"/>
    <row r="102" spans="4:8" ht="12.75" customHeight="1" x14ac:dyDescent="0.35">
      <c r="D102" s="1307" t="str">
        <f>"      Въведете годишната стойност "&amp;IF(TRIM($J$5)&lt;&gt;"","("&amp;$J$5&amp;")","")</f>
        <v xml:space="preserve">      Въведете годишната стойност </v>
      </c>
      <c r="H102" s="1295" t="str">
        <f ca="1">"Базова ставка "&amp;Calculations!$N$627&amp;""</f>
        <v>Базова ставка (12/2024)</v>
      </c>
    </row>
    <row r="103" spans="4:8" ht="12.75" customHeight="1" x14ac:dyDescent="0.35"/>
    <row r="104" spans="4:8" ht="12.75" customHeight="1" x14ac:dyDescent="0.35">
      <c r="D104" s="1307" t="str">
        <f>IF(PerpetuityLimitationEquity=1,"Тип на безкрайния паричен поток","Тип на екстраполацията")</f>
        <v>Тип на безкрайния паричен поток</v>
      </c>
      <c r="H104" s="1295" t="s">
        <v>5855</v>
      </c>
    </row>
    <row r="105" spans="4:8" ht="12.75" customHeight="1" x14ac:dyDescent="0.35"/>
    <row r="106" spans="4:8" ht="12.75" customHeight="1" x14ac:dyDescent="0.35">
      <c r="D106" s="1307" t="s">
        <v>5724</v>
      </c>
      <c r="H106" s="1295" t="str">
        <f ca="1">"Стойност "&amp;Calculations!$N$627&amp;""</f>
        <v>Стойност (12/2024)</v>
      </c>
    </row>
    <row r="107" spans="4:8" ht="12.75" customHeight="1" x14ac:dyDescent="0.35"/>
    <row r="108" spans="4:8" ht="12.75" customHeight="1" x14ac:dyDescent="0.35">
      <c r="D108" s="1307" t="s">
        <v>5725</v>
      </c>
      <c r="H108" s="1295" t="str">
        <f>"Тек. стойност ("&amp;$F$11&amp;")"</f>
        <v>Тек. стойност ()</v>
      </c>
    </row>
    <row r="109" spans="4:8" ht="12.75" customHeight="1" x14ac:dyDescent="0.35"/>
    <row r="110" spans="4:8" ht="12.75" customHeight="1" x14ac:dyDescent="0.35">
      <c r="D110" s="1307" t="s">
        <v>5871</v>
      </c>
    </row>
    <row r="111" spans="4:8" ht="12.75" customHeight="1" x14ac:dyDescent="0.35">
      <c r="D111" s="1307" t="s">
        <v>5872</v>
      </c>
    </row>
    <row r="112" spans="4:8" ht="12.75" customHeight="1" x14ac:dyDescent="0.35">
      <c r="D112" s="1307" t="s">
        <v>5726</v>
      </c>
    </row>
    <row r="113" spans="4:8" ht="12.75" customHeight="1" x14ac:dyDescent="0.35"/>
    <row r="114" spans="4:8" ht="12.75" customHeight="1" x14ac:dyDescent="0.35">
      <c r="D114" s="1307" t="s">
        <v>5873</v>
      </c>
    </row>
    <row r="115" spans="4:8" ht="12.75" customHeight="1" x14ac:dyDescent="0.35">
      <c r="D115" s="1307" t="s">
        <v>5874</v>
      </c>
    </row>
    <row r="116" spans="4:8" ht="12.75" customHeight="1" x14ac:dyDescent="0.35">
      <c r="D116" s="1307" t="s">
        <v>5875</v>
      </c>
    </row>
    <row r="117" spans="4:8" ht="12.75" customHeight="1" x14ac:dyDescent="0.35"/>
    <row r="118" spans="4:8" ht="12.75" customHeight="1" x14ac:dyDescent="0.35">
      <c r="D118" s="1307" t="s">
        <v>5727</v>
      </c>
      <c r="H118" s="1298" t="s">
        <v>5876</v>
      </c>
    </row>
    <row r="119" spans="4:8" ht="12.75" customHeight="1" x14ac:dyDescent="0.35">
      <c r="D119" s="1307" t="str">
        <f ca="1">"Общ дисконтиран FCFE "&amp;IF(ISERROR($G$131),"",OFFSET(Calculations!$G$11,0,CalcPointPB))&amp;"-&gt;"&amp;IF(ISERROR($D$123),$F$123,$D$123)</f>
        <v>Общ дисконтиран FCFE 9/2019-&gt;</v>
      </c>
    </row>
    <row r="120" spans="4:8" ht="12.75" customHeight="1" x14ac:dyDescent="0.35">
      <c r="D120" s="1307" t="str">
        <f ca="1">"Общ дисконтиран FCFE "&amp;IF(ISERROR($G$131),"",OFFSET(Calculations!$G$11,0,CalcPointPB))&amp;"-&gt;"&amp;IF(ISERROR($E$123),$F$123,IF($E$123=$D$123,$F$123,$E$123))</f>
        <v>Общ дисконтиран FCFE 9/2019-&gt;</v>
      </c>
    </row>
    <row r="121" spans="4:8" ht="12.75" customHeight="1" x14ac:dyDescent="0.35">
      <c r="D121" s="1307" t="s">
        <v>5868</v>
      </c>
    </row>
    <row r="122" spans="4:8" ht="12.75" customHeight="1" x14ac:dyDescent="0.35">
      <c r="D122" s="1307" t="s">
        <v>5727</v>
      </c>
      <c r="H122" s="1298" t="s">
        <v>5877</v>
      </c>
    </row>
    <row r="123" spans="4:8" ht="12.75" customHeight="1" x14ac:dyDescent="0.35"/>
    <row r="124" spans="4:8" ht="12.75" customHeight="1" x14ac:dyDescent="0.35"/>
    <row r="125" spans="4:8" ht="12.75" customHeight="1" x14ac:dyDescent="0.35">
      <c r="D125" s="1307" t="s">
        <v>5878</v>
      </c>
    </row>
    <row r="126" spans="4:8" ht="12.75" customHeight="1" x14ac:dyDescent="0.35">
      <c r="D126" s="1307" t="s">
        <v>5879</v>
      </c>
    </row>
    <row r="127" spans="4:8" ht="12.75" customHeight="1" x14ac:dyDescent="0.35"/>
    <row r="128" spans="4:8" ht="12.75" customHeight="1" x14ac:dyDescent="0.35"/>
    <row r="129" spans="4:4" ht="12.75" customHeight="1" x14ac:dyDescent="0.35"/>
    <row r="130" spans="4:4" ht="12.75" customHeight="1" x14ac:dyDescent="0.35">
      <c r="D130" s="1307" t="s">
        <v>5880</v>
      </c>
    </row>
  </sheetData>
  <printOptions gridLines="1"/>
  <pageMargins left="0.75" right="0.75" top="1" bottom="1" header="0.5" footer="0.5"/>
  <pageSetup paperSize="9" orientation="portrait" r:id="rId1"/>
  <headerFooter>
    <oddHeader>&amp;C&amp;A</oddHeader>
    <oddFooter>&amp;CPage &amp;P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2">
    <pageSetUpPr autoPageBreaks="0"/>
  </sheetPr>
  <dimension ref="A1:D225"/>
  <sheetViews>
    <sheetView topLeftCell="A4" workbookViewId="0">
      <selection activeCell="D46" sqref="D46"/>
    </sheetView>
  </sheetViews>
  <sheetFormatPr defaultColWidth="9.1796875" defaultRowHeight="14.5" x14ac:dyDescent="0.35"/>
  <cols>
    <col min="1" max="16384" width="9.1796875" style="97"/>
  </cols>
  <sheetData>
    <row r="1" spans="1:4" ht="12.75" customHeight="1" x14ac:dyDescent="0.35">
      <c r="A1" s="28"/>
      <c r="B1" s="28"/>
      <c r="C1" s="28"/>
      <c r="D1" s="28"/>
    </row>
    <row r="2" spans="1:4" ht="12.75" customHeight="1" x14ac:dyDescent="0.35">
      <c r="A2" s="28"/>
      <c r="B2" s="28"/>
      <c r="C2" s="28"/>
      <c r="D2" s="28"/>
    </row>
    <row r="3" spans="1:4" ht="12.75" customHeight="1" x14ac:dyDescent="0.35">
      <c r="A3" s="28"/>
      <c r="B3" s="28"/>
      <c r="C3" s="28" t="s">
        <v>1674</v>
      </c>
      <c r="D3" s="28"/>
    </row>
    <row r="4" spans="1:4" ht="12.75" customHeight="1" x14ac:dyDescent="0.35">
      <c r="A4" s="28"/>
      <c r="B4" s="28"/>
      <c r="C4" s="28"/>
      <c r="D4" s="28"/>
    </row>
    <row r="5" spans="1:4" ht="12.75" customHeight="1" x14ac:dyDescent="0.35">
      <c r="A5" s="28"/>
      <c r="B5" s="28"/>
      <c r="C5" s="28"/>
      <c r="D5" s="28" t="s">
        <v>1675</v>
      </c>
    </row>
    <row r="6" spans="1:4" ht="12.75" customHeight="1" x14ac:dyDescent="0.35">
      <c r="A6" s="28"/>
      <c r="B6" s="28"/>
      <c r="C6" s="28"/>
      <c r="D6" s="28" t="s">
        <v>1676</v>
      </c>
    </row>
    <row r="7" spans="1:4" ht="12.75" customHeight="1" x14ac:dyDescent="0.35">
      <c r="A7" s="28"/>
      <c r="B7" s="28"/>
      <c r="C7" s="28"/>
      <c r="D7" s="28" t="s">
        <v>1677</v>
      </c>
    </row>
    <row r="8" spans="1:4" ht="12.75" customHeight="1" x14ac:dyDescent="0.35">
      <c r="A8" s="28"/>
      <c r="B8" s="28"/>
      <c r="C8" s="28"/>
      <c r="D8" s="28"/>
    </row>
    <row r="9" spans="1:4" ht="12.75" customHeight="1" x14ac:dyDescent="0.35">
      <c r="A9" s="28"/>
      <c r="B9" s="28"/>
      <c r="C9" s="28"/>
      <c r="D9" s="28"/>
    </row>
    <row r="10" spans="1:4" ht="12.75" customHeight="1" x14ac:dyDescent="0.35">
      <c r="A10" s="28"/>
      <c r="B10" s="28"/>
      <c r="C10" s="28"/>
      <c r="D10" s="28"/>
    </row>
    <row r="11" spans="1:4" ht="12.75" customHeight="1" x14ac:dyDescent="0.35">
      <c r="A11" s="28"/>
      <c r="B11" s="28"/>
      <c r="C11" s="28"/>
      <c r="D11" s="28"/>
    </row>
    <row r="12" spans="1:4" ht="12.75" customHeight="1" x14ac:dyDescent="0.35">
      <c r="A12" s="28"/>
      <c r="B12" s="28"/>
      <c r="C12" s="28"/>
      <c r="D12" s="28"/>
    </row>
    <row r="13" spans="1:4" ht="12.75" customHeight="1" x14ac:dyDescent="0.35">
      <c r="A13" s="28"/>
      <c r="B13" s="28"/>
      <c r="C13" s="28"/>
      <c r="D13" s="28"/>
    </row>
    <row r="14" spans="1:4" ht="12.75" customHeight="1" x14ac:dyDescent="0.35">
      <c r="A14" s="28"/>
      <c r="B14" s="28"/>
      <c r="C14" s="28"/>
      <c r="D14" s="28"/>
    </row>
    <row r="15" spans="1:4" ht="12.75" customHeight="1" x14ac:dyDescent="0.35">
      <c r="A15" s="28"/>
      <c r="B15" s="28"/>
      <c r="C15" s="28"/>
      <c r="D15" s="28"/>
    </row>
    <row r="16" spans="1:4" ht="12.75" customHeight="1" x14ac:dyDescent="0.35">
      <c r="A16" s="28"/>
      <c r="B16" s="28"/>
      <c r="C16" s="28"/>
      <c r="D16" s="28"/>
    </row>
    <row r="17" spans="1:4" ht="12.75" customHeight="1" x14ac:dyDescent="0.35">
      <c r="A17" s="28"/>
      <c r="B17" s="28"/>
      <c r="C17" s="28"/>
      <c r="D17" s="28"/>
    </row>
    <row r="18" spans="1:4" ht="12.75" customHeight="1" x14ac:dyDescent="0.35">
      <c r="A18" s="28"/>
      <c r="B18" s="28"/>
      <c r="C18" s="28"/>
      <c r="D18" s="28"/>
    </row>
    <row r="19" spans="1:4" ht="12.75" customHeight="1" x14ac:dyDescent="0.35">
      <c r="A19" s="28"/>
      <c r="B19" s="28"/>
      <c r="C19" s="28"/>
      <c r="D19" s="28"/>
    </row>
    <row r="20" spans="1:4" ht="12.75" customHeight="1" x14ac:dyDescent="0.35">
      <c r="A20" s="28"/>
      <c r="B20" s="28"/>
      <c r="C20" s="28"/>
      <c r="D20" s="28"/>
    </row>
    <row r="21" spans="1:4" ht="12.75" customHeight="1" x14ac:dyDescent="0.35">
      <c r="A21" s="28"/>
      <c r="B21" s="28"/>
      <c r="C21" s="28"/>
      <c r="D21" s="28"/>
    </row>
    <row r="22" spans="1:4" ht="12.75" customHeight="1" x14ac:dyDescent="0.35">
      <c r="A22" s="28"/>
      <c r="B22" s="28"/>
      <c r="C22" s="28"/>
      <c r="D22" s="28"/>
    </row>
    <row r="23" spans="1:4" ht="12.75" customHeight="1" x14ac:dyDescent="0.35">
      <c r="A23" s="28"/>
      <c r="B23" s="28"/>
      <c r="C23" s="28"/>
      <c r="D23" s="28"/>
    </row>
    <row r="24" spans="1:4" ht="12.75" customHeight="1" x14ac:dyDescent="0.35">
      <c r="A24" s="28"/>
      <c r="B24" s="28"/>
      <c r="C24" s="28"/>
      <c r="D24" s="28"/>
    </row>
    <row r="25" spans="1:4" ht="12.75" customHeight="1" x14ac:dyDescent="0.35">
      <c r="A25" s="28"/>
      <c r="B25" s="28"/>
      <c r="C25" s="28"/>
      <c r="D25" s="28"/>
    </row>
    <row r="26" spans="1:4" ht="12.75" customHeight="1" x14ac:dyDescent="0.35">
      <c r="A26" s="28"/>
      <c r="B26" s="28"/>
      <c r="C26" s="28"/>
      <c r="D26" s="28"/>
    </row>
    <row r="27" spans="1:4" ht="12.75" customHeight="1" x14ac:dyDescent="0.35">
      <c r="A27" s="28"/>
      <c r="B27" s="28"/>
      <c r="C27" s="28"/>
      <c r="D27" s="28"/>
    </row>
    <row r="28" spans="1:4" ht="12.75" customHeight="1" x14ac:dyDescent="0.35">
      <c r="A28" s="28"/>
      <c r="B28" s="28"/>
      <c r="C28" s="28"/>
      <c r="D28" s="28"/>
    </row>
    <row r="29" spans="1:4" ht="12.75" customHeight="1" x14ac:dyDescent="0.35">
      <c r="A29" s="28"/>
      <c r="B29" s="28"/>
      <c r="C29" s="28"/>
      <c r="D29" s="28"/>
    </row>
    <row r="30" spans="1:4" ht="12.75" customHeight="1" x14ac:dyDescent="0.35">
      <c r="A30" s="28"/>
      <c r="B30" s="28"/>
      <c r="C30" s="28"/>
      <c r="D30" s="28"/>
    </row>
    <row r="31" spans="1:4" ht="12.75" customHeight="1" x14ac:dyDescent="0.35">
      <c r="A31" s="28"/>
      <c r="B31" s="28"/>
      <c r="C31" s="28"/>
      <c r="D31" s="28"/>
    </row>
    <row r="32" spans="1:4" ht="12.75" customHeight="1" x14ac:dyDescent="0.35">
      <c r="A32" s="28"/>
      <c r="B32" s="28"/>
      <c r="C32" s="28"/>
      <c r="D32" s="28"/>
    </row>
    <row r="33" spans="1:4" ht="12.75" customHeight="1" x14ac:dyDescent="0.35">
      <c r="A33" s="28"/>
      <c r="B33" s="28"/>
      <c r="C33" s="28"/>
      <c r="D33" s="28"/>
    </row>
    <row r="34" spans="1:4" ht="12.75" customHeight="1" x14ac:dyDescent="0.35">
      <c r="A34" s="28"/>
      <c r="B34" s="28"/>
      <c r="C34" s="28"/>
      <c r="D34" s="28"/>
    </row>
    <row r="35" spans="1:4" ht="12.75" customHeight="1" x14ac:dyDescent="0.35">
      <c r="A35" s="28"/>
      <c r="B35" s="28"/>
      <c r="C35" s="28"/>
      <c r="D35" s="28"/>
    </row>
    <row r="36" spans="1:4" ht="12.75" customHeight="1" x14ac:dyDescent="0.35">
      <c r="A36" s="28"/>
      <c r="B36" s="28"/>
      <c r="C36" s="28"/>
      <c r="D36" s="28"/>
    </row>
    <row r="37" spans="1:4" ht="12.75" customHeight="1" x14ac:dyDescent="0.35">
      <c r="A37" s="28"/>
      <c r="B37" s="28"/>
      <c r="C37" s="28"/>
      <c r="D37" s="28"/>
    </row>
    <row r="38" spans="1:4" ht="12.75" customHeight="1" x14ac:dyDescent="0.35">
      <c r="A38" s="28"/>
      <c r="B38" s="28"/>
      <c r="C38" s="28"/>
      <c r="D38" s="28"/>
    </row>
    <row r="39" spans="1:4" ht="12.75" customHeight="1" x14ac:dyDescent="0.35">
      <c r="A39" s="28"/>
      <c r="B39" s="28"/>
      <c r="C39" s="28"/>
      <c r="D39" s="28"/>
    </row>
    <row r="40" spans="1:4" ht="12.75" customHeight="1" x14ac:dyDescent="0.35">
      <c r="A40" s="28"/>
      <c r="B40" s="28"/>
      <c r="C40" s="28"/>
      <c r="D40" s="28"/>
    </row>
    <row r="41" spans="1:4" ht="12.75" customHeight="1" x14ac:dyDescent="0.35">
      <c r="A41" s="28"/>
      <c r="B41" s="28"/>
      <c r="D41" s="28"/>
    </row>
    <row r="42" spans="1:4" ht="12.75" customHeight="1" x14ac:dyDescent="0.35">
      <c r="A42" s="28"/>
      <c r="B42" s="28"/>
      <c r="D42" s="28"/>
    </row>
    <row r="43" spans="1:4" ht="12.75" customHeight="1" x14ac:dyDescent="0.35">
      <c r="A43" s="28"/>
      <c r="B43" s="28"/>
      <c r="D43" s="28"/>
    </row>
    <row r="44" spans="1:4" ht="12.75" customHeight="1" x14ac:dyDescent="0.35">
      <c r="A44" s="28"/>
      <c r="B44" s="28"/>
      <c r="C44" s="28" t="s">
        <v>1679</v>
      </c>
      <c r="D44" s="28"/>
    </row>
    <row r="45" spans="1:4" ht="12.75" customHeight="1" x14ac:dyDescent="0.35">
      <c r="A45" s="28"/>
      <c r="B45" s="28"/>
      <c r="C45" s="28"/>
    </row>
    <row r="46" spans="1:4" ht="12.75" customHeight="1" x14ac:dyDescent="0.35">
      <c r="A46" s="28"/>
      <c r="B46" s="28"/>
      <c r="C46" s="28"/>
      <c r="D46" s="1312" t="str">
        <f>" Total investment, "&amp;IF(Figures&gt;1,Figures&amp;" ","")&amp;Currency</f>
        <v xml:space="preserve"> Total investment, Euro</v>
      </c>
    </row>
    <row r="47" spans="1:4" ht="12.75" customHeight="1" x14ac:dyDescent="0.35">
      <c r="A47" s="28"/>
      <c r="B47" s="28"/>
      <c r="C47" s="28"/>
      <c r="D47" s="28"/>
    </row>
    <row r="48" spans="1:4" ht="12.75" customHeight="1" x14ac:dyDescent="0.35">
      <c r="A48" s="28"/>
      <c r="B48" s="28"/>
      <c r="C48" s="28"/>
      <c r="D48" s="28"/>
    </row>
    <row r="49" spans="1:4" ht="12.75" customHeight="1" x14ac:dyDescent="0.35">
      <c r="A49" s="28"/>
      <c r="B49" s="28"/>
      <c r="C49" s="28"/>
      <c r="D49" s="28"/>
    </row>
    <row r="50" spans="1:4" ht="12.75" customHeight="1" x14ac:dyDescent="0.35">
      <c r="A50" s="28"/>
      <c r="B50" s="28"/>
      <c r="C50" s="28"/>
      <c r="D50" s="28"/>
    </row>
    <row r="51" spans="1:4" ht="12.75" customHeight="1" x14ac:dyDescent="0.35">
      <c r="A51" s="28"/>
      <c r="B51" s="28"/>
      <c r="C51" s="28"/>
      <c r="D51" s="28"/>
    </row>
    <row r="52" spans="1:4" ht="12.75" customHeight="1" x14ac:dyDescent="0.35">
      <c r="A52" s="28"/>
      <c r="B52" s="28"/>
      <c r="C52" s="28"/>
      <c r="D52" s="28"/>
    </row>
    <row r="53" spans="1:4" ht="12.75" customHeight="1" x14ac:dyDescent="0.35">
      <c r="A53" s="28"/>
      <c r="B53" s="28"/>
      <c r="C53" s="28"/>
      <c r="D53" s="28"/>
    </row>
    <row r="54" spans="1:4" ht="12.75" customHeight="1" x14ac:dyDescent="0.35">
      <c r="A54" s="28"/>
      <c r="B54" s="28"/>
      <c r="C54" s="28"/>
      <c r="D54" s="28"/>
    </row>
    <row r="55" spans="1:4" ht="12.75" customHeight="1" x14ac:dyDescent="0.35">
      <c r="A55" s="28"/>
      <c r="B55" s="28"/>
      <c r="C55" s="28"/>
      <c r="D55" s="28"/>
    </row>
    <row r="56" spans="1:4" ht="12.75" customHeight="1" x14ac:dyDescent="0.35">
      <c r="A56" s="28"/>
      <c r="B56" s="28"/>
      <c r="C56" s="28"/>
      <c r="D56" s="28"/>
    </row>
    <row r="57" spans="1:4" ht="12.75" customHeight="1" x14ac:dyDescent="0.35">
      <c r="A57" s="28"/>
      <c r="B57" s="28"/>
      <c r="C57" s="28"/>
      <c r="D57" s="28"/>
    </row>
    <row r="58" spans="1:4" ht="12.75" customHeight="1" x14ac:dyDescent="0.35">
      <c r="A58" s="28"/>
      <c r="B58" s="28"/>
      <c r="C58" s="28"/>
      <c r="D58" s="28"/>
    </row>
    <row r="59" spans="1:4" ht="12.75" customHeight="1" x14ac:dyDescent="0.35">
      <c r="A59" s="28"/>
      <c r="B59" s="28"/>
      <c r="C59" s="28"/>
      <c r="D59" s="28"/>
    </row>
    <row r="60" spans="1:4" ht="12.75" customHeight="1" x14ac:dyDescent="0.35">
      <c r="A60" s="28"/>
      <c r="B60" s="28"/>
      <c r="C60" s="28"/>
      <c r="D60" s="28"/>
    </row>
    <row r="61" spans="1:4" ht="12.75" customHeight="1" x14ac:dyDescent="0.35">
      <c r="A61" s="28"/>
      <c r="B61" s="28"/>
      <c r="C61" s="28"/>
      <c r="D61" s="28"/>
    </row>
    <row r="62" spans="1:4" ht="12.75" customHeight="1" x14ac:dyDescent="0.35">
      <c r="A62" s="28"/>
      <c r="B62" s="28"/>
      <c r="C62" s="28"/>
      <c r="D62" s="28"/>
    </row>
    <row r="63" spans="1:4" ht="12.75" customHeight="1" x14ac:dyDescent="0.35">
      <c r="A63" s="28"/>
      <c r="B63" s="28"/>
      <c r="C63" s="28"/>
      <c r="D63" s="28"/>
    </row>
    <row r="64" spans="1:4" ht="12.75" customHeight="1" x14ac:dyDescent="0.35">
      <c r="A64" s="28"/>
      <c r="B64" s="28"/>
      <c r="C64" s="28"/>
      <c r="D64" s="28"/>
    </row>
    <row r="65" spans="1:4" ht="12.75" customHeight="1" x14ac:dyDescent="0.35">
      <c r="A65" s="28"/>
      <c r="B65" s="28"/>
      <c r="C65" s="28"/>
      <c r="D65" s="28"/>
    </row>
    <row r="66" spans="1:4" ht="12.75" customHeight="1" x14ac:dyDescent="0.35">
      <c r="A66" s="28"/>
      <c r="B66" s="28"/>
      <c r="C66" s="28"/>
      <c r="D66" s="28"/>
    </row>
    <row r="67" spans="1:4" ht="12.75" customHeight="1" x14ac:dyDescent="0.35">
      <c r="A67" s="28"/>
      <c r="B67" s="28"/>
      <c r="C67" s="28"/>
      <c r="D67" s="28"/>
    </row>
    <row r="68" spans="1:4" ht="12.75" customHeight="1" x14ac:dyDescent="0.35">
      <c r="A68" s="28"/>
      <c r="B68" s="28"/>
      <c r="C68" s="28"/>
      <c r="D68" s="28"/>
    </row>
    <row r="69" spans="1:4" ht="12.75" customHeight="1" x14ac:dyDescent="0.35">
      <c r="A69" s="28"/>
      <c r="B69" s="28"/>
      <c r="C69" s="28"/>
      <c r="D69" s="28"/>
    </row>
    <row r="70" spans="1:4" ht="12.75" customHeight="1" x14ac:dyDescent="0.35">
      <c r="A70" s="28"/>
      <c r="B70" s="28"/>
      <c r="C70" s="28"/>
      <c r="D70" s="28"/>
    </row>
    <row r="71" spans="1:4" ht="12.75" customHeight="1" x14ac:dyDescent="0.35">
      <c r="A71" s="28"/>
      <c r="B71" s="28"/>
      <c r="C71" s="28"/>
      <c r="D71" s="28"/>
    </row>
    <row r="72" spans="1:4" ht="12.75" customHeight="1" x14ac:dyDescent="0.35">
      <c r="A72" s="28"/>
      <c r="B72" s="28"/>
      <c r="C72" s="28"/>
    </row>
    <row r="73" spans="1:4" ht="12.75" customHeight="1" x14ac:dyDescent="0.35">
      <c r="A73" s="28"/>
      <c r="B73" s="28"/>
      <c r="C73" s="28"/>
      <c r="D73" s="28"/>
    </row>
    <row r="74" spans="1:4" ht="12.75" customHeight="1" x14ac:dyDescent="0.35">
      <c r="A74" s="28"/>
      <c r="B74" s="28"/>
      <c r="C74" s="28"/>
      <c r="D74" s="28"/>
    </row>
    <row r="75" spans="1:4" ht="12.75" customHeight="1" x14ac:dyDescent="0.35">
      <c r="A75" s="28"/>
      <c r="B75" s="28"/>
      <c r="C75" s="28"/>
      <c r="D75" s="28"/>
    </row>
    <row r="76" spans="1:4" ht="12.75" customHeight="1" x14ac:dyDescent="0.35">
      <c r="A76" s="28"/>
      <c r="B76" s="28"/>
      <c r="C76" s="28"/>
      <c r="D76" s="28"/>
    </row>
    <row r="77" spans="1:4" ht="12.75" customHeight="1" x14ac:dyDescent="0.35">
      <c r="A77" s="28"/>
      <c r="B77" s="28"/>
      <c r="C77" s="28"/>
      <c r="D77" s="28"/>
    </row>
    <row r="78" spans="1:4" ht="12.75" customHeight="1" x14ac:dyDescent="0.35">
      <c r="A78" s="28"/>
      <c r="B78" s="28"/>
      <c r="C78" s="28"/>
      <c r="D78" s="28" t="s">
        <v>1680</v>
      </c>
    </row>
    <row r="79" spans="1:4" ht="12.75" customHeight="1" x14ac:dyDescent="0.35">
      <c r="A79" s="28"/>
      <c r="B79" s="28"/>
      <c r="C79" s="28"/>
      <c r="D79" s="28"/>
    </row>
    <row r="80" spans="1:4" ht="12.75" customHeight="1" x14ac:dyDescent="0.35">
      <c r="A80" s="28"/>
      <c r="B80" s="28"/>
      <c r="C80" s="28"/>
      <c r="D80" s="28"/>
    </row>
    <row r="81" spans="1:4" ht="12.75" customHeight="1" x14ac:dyDescent="0.35">
      <c r="A81" s="28"/>
      <c r="B81" s="28"/>
      <c r="C81" s="28"/>
      <c r="D81" s="28"/>
    </row>
    <row r="82" spans="1:4" ht="12.75" customHeight="1" x14ac:dyDescent="0.35">
      <c r="A82" s="28"/>
      <c r="B82" s="28"/>
      <c r="C82" s="28"/>
      <c r="D82" s="28"/>
    </row>
    <row r="83" spans="1:4" ht="12.75" customHeight="1" x14ac:dyDescent="0.35">
      <c r="A83" s="28"/>
      <c r="B83" s="28"/>
      <c r="C83" s="28"/>
      <c r="D83" s="28"/>
    </row>
    <row r="84" spans="1:4" ht="12.75" customHeight="1" x14ac:dyDescent="0.35">
      <c r="A84" s="28"/>
      <c r="B84" s="28"/>
      <c r="C84" s="28"/>
      <c r="D84" s="28"/>
    </row>
    <row r="85" spans="1:4" ht="12.75" customHeight="1" x14ac:dyDescent="0.35">
      <c r="A85" s="28"/>
      <c r="B85" s="28"/>
      <c r="C85" s="28"/>
      <c r="D85" s="28"/>
    </row>
    <row r="86" spans="1:4" ht="12.75" customHeight="1" x14ac:dyDescent="0.35">
      <c r="A86" s="28"/>
      <c r="B86" s="28"/>
      <c r="C86" s="28"/>
      <c r="D86" s="28"/>
    </row>
    <row r="87" spans="1:4" ht="12.75" customHeight="1" x14ac:dyDescent="0.35">
      <c r="A87" s="28"/>
      <c r="B87" s="28"/>
      <c r="C87" s="28"/>
      <c r="D87" s="28"/>
    </row>
    <row r="88" spans="1:4" ht="12.75" customHeight="1" x14ac:dyDescent="0.35">
      <c r="A88" s="28"/>
      <c r="B88" s="28"/>
      <c r="C88" s="28"/>
      <c r="D88" s="28"/>
    </row>
    <row r="89" spans="1:4" ht="12.75" customHeight="1" x14ac:dyDescent="0.35">
      <c r="A89" s="28"/>
      <c r="B89" s="28"/>
      <c r="C89" s="28" t="s">
        <v>1682</v>
      </c>
      <c r="D89" s="28"/>
    </row>
    <row r="90" spans="1:4" ht="12.75" customHeight="1" x14ac:dyDescent="0.35">
      <c r="A90" s="28"/>
      <c r="B90" s="28"/>
      <c r="C90" s="28"/>
      <c r="D90" s="28"/>
    </row>
    <row r="91" spans="1:4" ht="12.75" customHeight="1" x14ac:dyDescent="0.35">
      <c r="A91" s="28"/>
      <c r="B91" s="28"/>
      <c r="C91" s="28"/>
      <c r="D91" s="28" t="s">
        <v>1683</v>
      </c>
    </row>
    <row r="92" spans="1:4" ht="12.75" customHeight="1" x14ac:dyDescent="0.35">
      <c r="A92" s="28"/>
      <c r="B92" s="28"/>
      <c r="C92" s="28"/>
      <c r="D92" s="28"/>
    </row>
    <row r="93" spans="1:4" ht="12.75" customHeight="1" x14ac:dyDescent="0.35">
      <c r="A93" s="28"/>
      <c r="B93" s="28"/>
      <c r="C93" s="28"/>
      <c r="D93" s="28"/>
    </row>
    <row r="94" spans="1:4" ht="12.75" customHeight="1" x14ac:dyDescent="0.35">
      <c r="A94" s="28"/>
      <c r="B94" s="28"/>
      <c r="C94" s="28"/>
      <c r="D94" s="28"/>
    </row>
    <row r="95" spans="1:4" ht="12.75" customHeight="1" x14ac:dyDescent="0.35">
      <c r="A95" s="28"/>
      <c r="B95" s="28"/>
      <c r="C95" s="28"/>
      <c r="D95" s="28"/>
    </row>
    <row r="96" spans="1:4" ht="12.75" customHeight="1" x14ac:dyDescent="0.35">
      <c r="A96" s="28"/>
      <c r="B96" s="28"/>
      <c r="C96" s="28"/>
      <c r="D96" s="28"/>
    </row>
    <row r="97" spans="1:4" ht="12.75" customHeight="1" x14ac:dyDescent="0.35">
      <c r="A97" s="28"/>
      <c r="B97" s="28"/>
      <c r="C97" s="28"/>
      <c r="D97" s="28"/>
    </row>
    <row r="98" spans="1:4" ht="12.75" customHeight="1" x14ac:dyDescent="0.35">
      <c r="A98" s="28"/>
      <c r="B98" s="28"/>
      <c r="C98" s="28"/>
      <c r="D98" s="28"/>
    </row>
    <row r="99" spans="1:4" ht="12.75" customHeight="1" x14ac:dyDescent="0.35">
      <c r="A99" s="28"/>
      <c r="B99" s="28"/>
      <c r="C99" s="28"/>
      <c r="D99" s="28"/>
    </row>
    <row r="100" spans="1:4" ht="12.75" customHeight="1" x14ac:dyDescent="0.35">
      <c r="A100" s="28"/>
      <c r="B100" s="28"/>
      <c r="C100" s="28"/>
      <c r="D100" s="28"/>
    </row>
    <row r="101" spans="1:4" ht="12.75" customHeight="1" x14ac:dyDescent="0.35">
      <c r="A101" s="28"/>
      <c r="B101" s="28"/>
      <c r="C101" s="28"/>
      <c r="D101" s="28"/>
    </row>
    <row r="102" spans="1:4" ht="12.75" customHeight="1" x14ac:dyDescent="0.35">
      <c r="A102" s="28"/>
      <c r="B102" s="28"/>
      <c r="C102" s="28"/>
      <c r="D102" s="28"/>
    </row>
    <row r="103" spans="1:4" ht="12.75" customHeight="1" x14ac:dyDescent="0.35">
      <c r="A103" s="28"/>
      <c r="B103" s="28"/>
      <c r="C103" s="28"/>
      <c r="D103" s="28"/>
    </row>
    <row r="104" spans="1:4" ht="12.75" customHeight="1" x14ac:dyDescent="0.35">
      <c r="A104" s="28"/>
      <c r="B104" s="28"/>
      <c r="C104" s="28"/>
      <c r="D104" s="28"/>
    </row>
    <row r="105" spans="1:4" ht="12.75" customHeight="1" x14ac:dyDescent="0.35">
      <c r="A105" s="28"/>
      <c r="B105" s="28"/>
      <c r="C105" s="28"/>
      <c r="D105" s="28"/>
    </row>
    <row r="106" spans="1:4" ht="12.75" customHeight="1" x14ac:dyDescent="0.35">
      <c r="A106" s="28"/>
      <c r="B106" s="28"/>
      <c r="C106" s="28"/>
      <c r="D106" s="28"/>
    </row>
    <row r="107" spans="1:4" ht="12.75" customHeight="1" x14ac:dyDescent="0.35">
      <c r="A107" s="28"/>
      <c r="B107" s="28"/>
      <c r="C107" s="28"/>
      <c r="D107" s="28"/>
    </row>
    <row r="108" spans="1:4" ht="12.75" customHeight="1" x14ac:dyDescent="0.35">
      <c r="A108" s="28"/>
      <c r="B108" s="28"/>
      <c r="C108" s="28"/>
      <c r="D108" s="28"/>
    </row>
    <row r="109" spans="1:4" ht="12.75" customHeight="1" x14ac:dyDescent="0.35">
      <c r="A109" s="28"/>
      <c r="B109" s="28"/>
      <c r="C109" s="28"/>
      <c r="D109" s="28"/>
    </row>
    <row r="110" spans="1:4" ht="12.75" customHeight="1" x14ac:dyDescent="0.35">
      <c r="A110" s="28"/>
      <c r="B110" s="28"/>
      <c r="C110" s="28"/>
      <c r="D110" s="28"/>
    </row>
    <row r="111" spans="1:4" ht="12.75" customHeight="1" x14ac:dyDescent="0.35">
      <c r="A111" s="28"/>
      <c r="B111" s="28"/>
      <c r="C111" s="28"/>
      <c r="D111" s="28"/>
    </row>
    <row r="112" spans="1:4" ht="12.75" customHeight="1" x14ac:dyDescent="0.35">
      <c r="A112" s="28"/>
      <c r="B112" s="28"/>
      <c r="C112" s="28"/>
      <c r="D112" s="28"/>
    </row>
    <row r="113" spans="1:4" ht="12.75" customHeight="1" x14ac:dyDescent="0.35">
      <c r="A113" s="28"/>
      <c r="B113" s="28"/>
      <c r="C113" s="28"/>
      <c r="D113" s="28"/>
    </row>
    <row r="114" spans="1:4" ht="12.75" customHeight="1" x14ac:dyDescent="0.35">
      <c r="A114" s="28"/>
      <c r="B114" s="28"/>
      <c r="C114" s="28"/>
      <c r="D114" s="28"/>
    </row>
    <row r="115" spans="1:4" ht="12.75" customHeight="1" x14ac:dyDescent="0.35">
      <c r="A115" s="28"/>
      <c r="B115" s="28"/>
      <c r="C115" s="28"/>
      <c r="D115" s="28"/>
    </row>
    <row r="116" spans="1:4" ht="12.75" customHeight="1" x14ac:dyDescent="0.35">
      <c r="A116" s="28"/>
      <c r="B116" s="28"/>
      <c r="C116" s="28"/>
      <c r="D116" s="28"/>
    </row>
    <row r="117" spans="1:4" ht="12.75" customHeight="1" x14ac:dyDescent="0.35">
      <c r="A117" s="28"/>
      <c r="B117" s="28"/>
      <c r="C117" s="28"/>
      <c r="D117" s="28"/>
    </row>
    <row r="118" spans="1:4" ht="12.75" customHeight="1" x14ac:dyDescent="0.35">
      <c r="A118" s="28"/>
      <c r="B118" s="28"/>
      <c r="C118" s="28"/>
      <c r="D118" s="28"/>
    </row>
    <row r="119" spans="1:4" ht="12.75" customHeight="1" x14ac:dyDescent="0.35">
      <c r="A119" s="28"/>
      <c r="B119" s="28"/>
      <c r="C119" s="28"/>
      <c r="D119" s="28"/>
    </row>
    <row r="120" spans="1:4" ht="12.75" customHeight="1" x14ac:dyDescent="0.35">
      <c r="A120" s="28"/>
      <c r="B120" s="28"/>
      <c r="C120" s="28"/>
      <c r="D120" s="28"/>
    </row>
    <row r="121" spans="1:4" ht="12.75" customHeight="1" x14ac:dyDescent="0.35">
      <c r="A121" s="28"/>
      <c r="B121" s="28"/>
      <c r="C121" s="28"/>
      <c r="D121" s="28"/>
    </row>
    <row r="122" spans="1:4" ht="12.75" customHeight="1" x14ac:dyDescent="0.35">
      <c r="A122" s="28"/>
      <c r="B122" s="28"/>
      <c r="C122" s="28"/>
      <c r="D122" s="28"/>
    </row>
    <row r="123" spans="1:4" ht="12.75" customHeight="1" x14ac:dyDescent="0.35">
      <c r="A123" s="28"/>
      <c r="B123" s="28"/>
      <c r="C123" s="28"/>
      <c r="D123" s="28"/>
    </row>
    <row r="124" spans="1:4" ht="12.75" customHeight="1" x14ac:dyDescent="0.35">
      <c r="A124" s="28"/>
      <c r="B124" s="28"/>
      <c r="C124" s="28"/>
      <c r="D124" s="28"/>
    </row>
    <row r="125" spans="1:4" ht="12.75" customHeight="1" x14ac:dyDescent="0.35">
      <c r="A125" s="28"/>
      <c r="B125" s="28"/>
      <c r="C125" s="28"/>
      <c r="D125" s="28"/>
    </row>
    <row r="126" spans="1:4" ht="12.75" customHeight="1" x14ac:dyDescent="0.35">
      <c r="A126" s="28"/>
      <c r="B126" s="28"/>
      <c r="D126" s="28"/>
    </row>
    <row r="127" spans="1:4" ht="12.75" customHeight="1" x14ac:dyDescent="0.35">
      <c r="A127" s="28"/>
      <c r="B127" s="28"/>
      <c r="C127" s="28"/>
      <c r="D127" s="28"/>
    </row>
    <row r="128" spans="1:4" ht="12.75" customHeight="1" x14ac:dyDescent="0.35">
      <c r="A128" s="28"/>
      <c r="B128" s="28"/>
      <c r="C128" s="28"/>
    </row>
    <row r="129" spans="1:4" ht="12.75" customHeight="1" x14ac:dyDescent="0.35">
      <c r="A129" s="28"/>
      <c r="B129" s="28"/>
      <c r="C129" s="28"/>
      <c r="D129" s="28"/>
    </row>
    <row r="130" spans="1:4" ht="12.75" customHeight="1" x14ac:dyDescent="0.35">
      <c r="A130" s="28"/>
      <c r="B130" s="28"/>
      <c r="C130" s="28"/>
      <c r="D130" s="28"/>
    </row>
    <row r="131" spans="1:4" ht="12.75" customHeight="1" x14ac:dyDescent="0.35">
      <c r="A131" s="28"/>
      <c r="B131" s="28"/>
      <c r="C131" s="28"/>
      <c r="D131" s="28"/>
    </row>
    <row r="132" spans="1:4" ht="12.75" customHeight="1" x14ac:dyDescent="0.35">
      <c r="A132" s="28"/>
      <c r="B132" s="28"/>
      <c r="C132" s="28"/>
      <c r="D132" s="28"/>
    </row>
    <row r="133" spans="1:4" ht="12.75" customHeight="1" x14ac:dyDescent="0.35">
      <c r="A133" s="28"/>
      <c r="B133" s="28"/>
      <c r="C133" s="28" t="s">
        <v>1685</v>
      </c>
      <c r="D133" s="28"/>
    </row>
    <row r="134" spans="1:4" ht="12.75" customHeight="1" x14ac:dyDescent="0.35">
      <c r="A134" s="28"/>
      <c r="B134" s="28"/>
      <c r="C134" s="28"/>
      <c r="D134" s="28"/>
    </row>
    <row r="135" spans="1:4" ht="12.75" customHeight="1" x14ac:dyDescent="0.35">
      <c r="A135" s="28"/>
      <c r="B135" s="28"/>
      <c r="C135" s="28"/>
      <c r="D135" s="28" t="s">
        <v>1686</v>
      </c>
    </row>
    <row r="136" spans="1:4" ht="12.75" customHeight="1" x14ac:dyDescent="0.35">
      <c r="A136" s="28"/>
      <c r="B136" s="28"/>
      <c r="C136" s="28"/>
      <c r="D136" s="28"/>
    </row>
    <row r="137" spans="1:4" ht="12.75" customHeight="1" x14ac:dyDescent="0.35">
      <c r="A137" s="28"/>
      <c r="B137" s="28"/>
      <c r="C137" s="28"/>
      <c r="D137" s="28"/>
    </row>
    <row r="138" spans="1:4" ht="12.75" customHeight="1" x14ac:dyDescent="0.35">
      <c r="A138" s="28"/>
      <c r="B138" s="28"/>
      <c r="C138" s="28"/>
      <c r="D138" s="28"/>
    </row>
    <row r="139" spans="1:4" ht="12.75" customHeight="1" x14ac:dyDescent="0.35">
      <c r="A139" s="28"/>
      <c r="B139" s="28"/>
      <c r="C139" s="28"/>
      <c r="D139" s="28"/>
    </row>
    <row r="140" spans="1:4" ht="12.75" customHeight="1" x14ac:dyDescent="0.35">
      <c r="A140" s="28"/>
      <c r="B140" s="28"/>
      <c r="C140" s="28"/>
      <c r="D140" s="28"/>
    </row>
    <row r="141" spans="1:4" ht="12.75" customHeight="1" x14ac:dyDescent="0.35">
      <c r="A141" s="28"/>
      <c r="B141" s="28"/>
      <c r="C141" s="28"/>
      <c r="D141" s="28"/>
    </row>
    <row r="142" spans="1:4" ht="12.75" customHeight="1" x14ac:dyDescent="0.35">
      <c r="A142" s="28"/>
      <c r="B142" s="28"/>
      <c r="C142" s="28"/>
      <c r="D142" s="28"/>
    </row>
    <row r="143" spans="1:4" ht="12.75" customHeight="1" x14ac:dyDescent="0.35">
      <c r="A143" s="28"/>
      <c r="B143" s="28"/>
      <c r="C143" s="28"/>
      <c r="D143" s="28"/>
    </row>
    <row r="144" spans="1:4" ht="12.75" customHeight="1" x14ac:dyDescent="0.35">
      <c r="A144" s="28"/>
      <c r="B144" s="28"/>
      <c r="C144" s="28"/>
      <c r="D144" s="28"/>
    </row>
    <row r="145" spans="1:4" ht="12.75" customHeight="1" x14ac:dyDescent="0.35">
      <c r="A145" s="28"/>
      <c r="B145" s="28"/>
      <c r="C145" s="28"/>
      <c r="D145" s="28"/>
    </row>
    <row r="146" spans="1:4" ht="12.75" customHeight="1" x14ac:dyDescent="0.35">
      <c r="A146" s="28"/>
      <c r="B146" s="28"/>
      <c r="C146" s="28"/>
      <c r="D146" s="28"/>
    </row>
    <row r="147" spans="1:4" ht="12.75" customHeight="1" x14ac:dyDescent="0.35">
      <c r="A147" s="28"/>
      <c r="B147" s="28"/>
      <c r="C147" s="28"/>
      <c r="D147" s="28"/>
    </row>
    <row r="148" spans="1:4" ht="12.75" customHeight="1" x14ac:dyDescent="0.35">
      <c r="A148" s="28"/>
      <c r="B148" s="28"/>
      <c r="C148" s="28"/>
      <c r="D148" s="28"/>
    </row>
    <row r="149" spans="1:4" ht="12.75" customHeight="1" x14ac:dyDescent="0.35">
      <c r="A149" s="28"/>
      <c r="B149" s="28"/>
      <c r="C149" s="28"/>
      <c r="D149" s="28"/>
    </row>
    <row r="150" spans="1:4" ht="12.75" customHeight="1" x14ac:dyDescent="0.35">
      <c r="A150" s="28"/>
      <c r="B150" s="28"/>
      <c r="C150" s="28"/>
      <c r="D150" s="28"/>
    </row>
    <row r="151" spans="1:4" ht="12.75" customHeight="1" x14ac:dyDescent="0.35">
      <c r="A151" s="28"/>
      <c r="B151" s="28"/>
      <c r="C151" s="28"/>
      <c r="D151" s="28"/>
    </row>
    <row r="152" spans="1:4" ht="12.75" customHeight="1" x14ac:dyDescent="0.35">
      <c r="A152" s="28"/>
      <c r="B152" s="28"/>
      <c r="C152" s="28"/>
      <c r="D152" s="28"/>
    </row>
    <row r="153" spans="1:4" ht="12.75" customHeight="1" x14ac:dyDescent="0.35">
      <c r="A153" s="28"/>
      <c r="B153" s="28"/>
      <c r="C153" s="28"/>
      <c r="D153" s="28"/>
    </row>
    <row r="154" spans="1:4" ht="12.75" customHeight="1" x14ac:dyDescent="0.35">
      <c r="A154" s="28"/>
      <c r="B154" s="28"/>
      <c r="C154" s="28"/>
      <c r="D154" s="28"/>
    </row>
    <row r="155" spans="1:4" ht="12.75" customHeight="1" x14ac:dyDescent="0.35">
      <c r="A155" s="28"/>
      <c r="B155" s="28"/>
      <c r="C155" s="28"/>
      <c r="D155" s="28"/>
    </row>
    <row r="156" spans="1:4" ht="12.75" customHeight="1" x14ac:dyDescent="0.35">
      <c r="A156" s="28"/>
      <c r="B156" s="28"/>
      <c r="C156" s="28"/>
      <c r="D156" s="28"/>
    </row>
    <row r="157" spans="1:4" ht="12.75" customHeight="1" x14ac:dyDescent="0.35">
      <c r="A157" s="28"/>
      <c r="B157" s="28"/>
      <c r="C157" s="28"/>
      <c r="D157" s="28"/>
    </row>
    <row r="158" spans="1:4" ht="12.75" customHeight="1" x14ac:dyDescent="0.35">
      <c r="A158" s="28"/>
      <c r="B158" s="28"/>
      <c r="C158" s="28"/>
      <c r="D158" s="28"/>
    </row>
    <row r="159" spans="1:4" ht="12.75" customHeight="1" x14ac:dyDescent="0.35">
      <c r="A159" s="28"/>
      <c r="B159" s="28"/>
      <c r="C159" s="28"/>
      <c r="D159" s="28"/>
    </row>
    <row r="160" spans="1:4" ht="12.75" customHeight="1" x14ac:dyDescent="0.35">
      <c r="A160" s="28"/>
      <c r="B160" s="28"/>
      <c r="C160" s="28"/>
      <c r="D160" s="28"/>
    </row>
    <row r="161" spans="1:4" ht="12.75" customHeight="1" x14ac:dyDescent="0.35">
      <c r="A161" s="28"/>
      <c r="B161" s="28"/>
      <c r="C161" s="28"/>
      <c r="D161" s="28"/>
    </row>
    <row r="162" spans="1:4" ht="12.75" customHeight="1" x14ac:dyDescent="0.35">
      <c r="A162" s="28"/>
      <c r="B162" s="28"/>
      <c r="C162" s="28"/>
      <c r="D162" s="28"/>
    </row>
    <row r="163" spans="1:4" ht="12.75" customHeight="1" x14ac:dyDescent="0.35">
      <c r="A163" s="28"/>
      <c r="B163" s="28"/>
      <c r="C163" s="28"/>
      <c r="D163" s="28"/>
    </row>
    <row r="164" spans="1:4" ht="12.75" customHeight="1" x14ac:dyDescent="0.35">
      <c r="A164" s="28"/>
      <c r="B164" s="28"/>
      <c r="D164" s="28"/>
    </row>
    <row r="165" spans="1:4" ht="12.75" customHeight="1" x14ac:dyDescent="0.35">
      <c r="A165" s="28"/>
      <c r="B165" s="28"/>
      <c r="C165" s="28"/>
      <c r="D165" s="28"/>
    </row>
    <row r="166" spans="1:4" ht="12.75" customHeight="1" x14ac:dyDescent="0.35">
      <c r="A166" s="28"/>
      <c r="B166" s="28"/>
      <c r="C166" s="28"/>
    </row>
    <row r="167" spans="1:4" ht="12.75" customHeight="1" x14ac:dyDescent="0.35">
      <c r="A167" s="28"/>
      <c r="B167" s="28"/>
      <c r="C167" s="28"/>
      <c r="D167" s="28"/>
    </row>
    <row r="168" spans="1:4" ht="12.75" customHeight="1" x14ac:dyDescent="0.35">
      <c r="A168" s="28"/>
      <c r="B168" s="28"/>
      <c r="C168" s="28"/>
      <c r="D168" s="28"/>
    </row>
    <row r="169" spans="1:4" ht="12.75" customHeight="1" x14ac:dyDescent="0.35">
      <c r="A169" s="28"/>
      <c r="B169" s="28"/>
      <c r="C169" s="28"/>
      <c r="D169" s="28"/>
    </row>
    <row r="170" spans="1:4" ht="12.75" customHeight="1" x14ac:dyDescent="0.35">
      <c r="A170" s="28"/>
      <c r="B170" s="28"/>
      <c r="C170" s="28"/>
      <c r="D170" s="28"/>
    </row>
    <row r="171" spans="1:4" ht="12.75" customHeight="1" x14ac:dyDescent="0.35">
      <c r="A171" s="28"/>
      <c r="B171" s="28"/>
      <c r="C171" s="28"/>
      <c r="D171" s="28"/>
    </row>
    <row r="172" spans="1:4" ht="12.75" customHeight="1" x14ac:dyDescent="0.35">
      <c r="A172" s="28"/>
      <c r="B172" s="28"/>
      <c r="C172" s="28"/>
      <c r="D172" s="28"/>
    </row>
    <row r="173" spans="1:4" ht="12.75" customHeight="1" x14ac:dyDescent="0.35">
      <c r="A173" s="28"/>
      <c r="B173" s="28"/>
      <c r="C173" s="28"/>
      <c r="D173" s="28"/>
    </row>
    <row r="174" spans="1:4" ht="12.75" customHeight="1" x14ac:dyDescent="0.35">
      <c r="A174" s="28"/>
      <c r="B174" s="28"/>
      <c r="C174" s="28"/>
      <c r="D174" s="28"/>
    </row>
    <row r="175" spans="1:4" ht="12.75" customHeight="1" x14ac:dyDescent="0.35">
      <c r="A175" s="28"/>
      <c r="B175" s="28"/>
      <c r="C175" s="28"/>
      <c r="D175" s="28"/>
    </row>
    <row r="176" spans="1:4" ht="12.75" customHeight="1" x14ac:dyDescent="0.35">
      <c r="A176" s="28"/>
      <c r="B176" s="28"/>
      <c r="D176" s="28"/>
    </row>
    <row r="177" spans="1:4" ht="12.75" customHeight="1" x14ac:dyDescent="0.35">
      <c r="A177" s="28"/>
      <c r="B177" s="28"/>
      <c r="C177" s="28" t="s">
        <v>1688</v>
      </c>
      <c r="D177" s="28"/>
    </row>
    <row r="178" spans="1:4" ht="12.75" customHeight="1" x14ac:dyDescent="0.35">
      <c r="A178" s="28"/>
      <c r="B178" s="28"/>
      <c r="C178" s="28"/>
      <c r="D178" s="28"/>
    </row>
    <row r="179" spans="1:4" ht="12.75" customHeight="1" x14ac:dyDescent="0.35">
      <c r="A179" s="28"/>
      <c r="B179" s="28"/>
      <c r="C179" s="28"/>
      <c r="D179" s="28" t="s">
        <v>1689</v>
      </c>
    </row>
    <row r="180" spans="1:4" ht="12.75" customHeight="1" x14ac:dyDescent="0.35">
      <c r="A180" s="28"/>
      <c r="B180" s="28"/>
      <c r="C180" s="28"/>
      <c r="D180" s="28"/>
    </row>
    <row r="181" spans="1:4" ht="12.75" customHeight="1" x14ac:dyDescent="0.35">
      <c r="A181" s="28"/>
      <c r="B181" s="28"/>
      <c r="C181" s="28"/>
      <c r="D181" s="28"/>
    </row>
    <row r="182" spans="1:4" ht="12.75" customHeight="1" x14ac:dyDescent="0.35">
      <c r="A182" s="28"/>
      <c r="B182" s="28"/>
      <c r="C182" s="28"/>
      <c r="D182" s="28"/>
    </row>
    <row r="183" spans="1:4" ht="12.75" customHeight="1" x14ac:dyDescent="0.35">
      <c r="A183" s="28"/>
      <c r="B183" s="28"/>
      <c r="C183" s="28"/>
      <c r="D183" s="28"/>
    </row>
    <row r="184" spans="1:4" ht="12.75" customHeight="1" x14ac:dyDescent="0.35">
      <c r="A184" s="28"/>
      <c r="B184" s="28"/>
      <c r="C184" s="28"/>
      <c r="D184" s="28"/>
    </row>
    <row r="185" spans="1:4" ht="12.75" customHeight="1" x14ac:dyDescent="0.35">
      <c r="A185" s="28"/>
      <c r="B185" s="28"/>
      <c r="C185" s="28"/>
      <c r="D185" s="28"/>
    </row>
    <row r="186" spans="1:4" ht="12.75" customHeight="1" x14ac:dyDescent="0.35">
      <c r="A186" s="28"/>
      <c r="B186" s="28"/>
      <c r="C186" s="28"/>
      <c r="D186" s="28"/>
    </row>
    <row r="187" spans="1:4" ht="12.75" customHeight="1" x14ac:dyDescent="0.35">
      <c r="A187" s="28"/>
      <c r="B187" s="28"/>
      <c r="C187" s="28"/>
      <c r="D187" s="28"/>
    </row>
    <row r="188" spans="1:4" ht="12.75" customHeight="1" x14ac:dyDescent="0.35">
      <c r="A188" s="28"/>
      <c r="B188" s="28"/>
      <c r="C188" s="28"/>
      <c r="D188" s="28"/>
    </row>
    <row r="189" spans="1:4" ht="12.75" customHeight="1" x14ac:dyDescent="0.35">
      <c r="A189" s="28"/>
      <c r="B189" s="28"/>
      <c r="C189" s="28"/>
      <c r="D189" s="28"/>
    </row>
    <row r="190" spans="1:4" ht="12.75" customHeight="1" x14ac:dyDescent="0.35">
      <c r="A190" s="28"/>
      <c r="B190" s="28"/>
      <c r="C190" s="28"/>
      <c r="D190" s="28"/>
    </row>
    <row r="191" spans="1:4" ht="12.75" customHeight="1" x14ac:dyDescent="0.35">
      <c r="A191" s="28"/>
      <c r="B191" s="28"/>
      <c r="C191" s="28"/>
      <c r="D191" s="28"/>
    </row>
    <row r="192" spans="1:4" ht="12.75" customHeight="1" x14ac:dyDescent="0.35">
      <c r="A192" s="28"/>
      <c r="B192" s="28"/>
      <c r="C192" s="28"/>
      <c r="D192" s="28"/>
    </row>
    <row r="193" spans="1:4" ht="12.75" customHeight="1" x14ac:dyDescent="0.35">
      <c r="A193" s="28"/>
      <c r="B193" s="28"/>
      <c r="C193" s="28"/>
      <c r="D193" s="28"/>
    </row>
    <row r="194" spans="1:4" ht="12.75" customHeight="1" x14ac:dyDescent="0.35">
      <c r="A194" s="28"/>
      <c r="B194" s="28"/>
      <c r="C194" s="28"/>
      <c r="D194" s="28"/>
    </row>
    <row r="195" spans="1:4" ht="12.75" customHeight="1" x14ac:dyDescent="0.35">
      <c r="A195" s="28"/>
      <c r="B195" s="28"/>
      <c r="C195" s="28"/>
      <c r="D195" s="28"/>
    </row>
    <row r="196" spans="1:4" ht="12.75" customHeight="1" x14ac:dyDescent="0.35">
      <c r="A196" s="28"/>
      <c r="B196" s="28"/>
      <c r="C196" s="28"/>
      <c r="D196" s="28"/>
    </row>
    <row r="197" spans="1:4" ht="12.75" customHeight="1" x14ac:dyDescent="0.35">
      <c r="A197" s="28"/>
      <c r="B197" s="28"/>
      <c r="C197" s="28"/>
      <c r="D197" s="28"/>
    </row>
    <row r="198" spans="1:4" ht="12.75" customHeight="1" x14ac:dyDescent="0.35">
      <c r="A198" s="28"/>
      <c r="B198" s="28"/>
      <c r="C198" s="28"/>
      <c r="D198" s="28"/>
    </row>
    <row r="199" spans="1:4" ht="12.75" customHeight="1" x14ac:dyDescent="0.35">
      <c r="A199" s="28"/>
      <c r="B199" s="28"/>
      <c r="C199" s="28"/>
      <c r="D199" s="28"/>
    </row>
    <row r="200" spans="1:4" ht="12.75" customHeight="1" x14ac:dyDescent="0.35">
      <c r="A200" s="28"/>
      <c r="B200" s="28"/>
      <c r="C200" s="28"/>
      <c r="D200" s="28"/>
    </row>
    <row r="201" spans="1:4" ht="12.75" customHeight="1" x14ac:dyDescent="0.35">
      <c r="A201" s="28"/>
      <c r="B201" s="28"/>
      <c r="C201" s="28"/>
      <c r="D201" s="28"/>
    </row>
    <row r="202" spans="1:4" ht="12.75" customHeight="1" x14ac:dyDescent="0.35">
      <c r="A202" s="28"/>
      <c r="B202" s="28"/>
      <c r="C202" s="28"/>
      <c r="D202" s="28"/>
    </row>
    <row r="203" spans="1:4" ht="12.75" customHeight="1" x14ac:dyDescent="0.35">
      <c r="A203" s="28"/>
      <c r="B203" s="28"/>
      <c r="D203" s="28"/>
    </row>
    <row r="204" spans="1:4" ht="12.75" customHeight="1" x14ac:dyDescent="0.35">
      <c r="A204" s="28"/>
      <c r="B204" s="28"/>
      <c r="C204" s="28"/>
      <c r="D204" s="28"/>
    </row>
    <row r="205" spans="1:4" ht="12.75" customHeight="1" x14ac:dyDescent="0.35">
      <c r="A205" s="28"/>
      <c r="B205" s="28"/>
      <c r="C205" s="28"/>
    </row>
    <row r="206" spans="1:4" ht="12.75" customHeight="1" x14ac:dyDescent="0.35">
      <c r="A206" s="28"/>
      <c r="B206" s="28"/>
      <c r="C206" s="28"/>
    </row>
    <row r="207" spans="1:4" ht="12.75" customHeight="1" x14ac:dyDescent="0.35">
      <c r="A207" s="28"/>
      <c r="B207" s="28"/>
      <c r="C207" s="28"/>
    </row>
    <row r="208" spans="1:4" ht="12.75" customHeight="1" x14ac:dyDescent="0.35"/>
    <row r="209" spans="3:4" ht="12.75" customHeight="1" x14ac:dyDescent="0.35"/>
    <row r="210" spans="3:4" ht="12.75" customHeight="1" x14ac:dyDescent="0.35"/>
    <row r="211" spans="3:4" ht="12.75" customHeight="1" x14ac:dyDescent="0.35"/>
    <row r="212" spans="3:4" ht="12.75" customHeight="1" x14ac:dyDescent="0.35"/>
    <row r="213" spans="3:4" ht="12.75" customHeight="1" x14ac:dyDescent="0.35"/>
    <row r="214" spans="3:4" ht="12.75" customHeight="1" x14ac:dyDescent="0.35"/>
    <row r="215" spans="3:4" ht="12.75" customHeight="1" x14ac:dyDescent="0.35"/>
    <row r="216" spans="3:4" ht="12.75" customHeight="1" x14ac:dyDescent="0.35"/>
    <row r="217" spans="3:4" ht="12.75" customHeight="1" x14ac:dyDescent="0.35"/>
    <row r="218" spans="3:4" ht="12.75" customHeight="1" x14ac:dyDescent="0.35"/>
    <row r="219" spans="3:4" ht="12.75" customHeight="1" x14ac:dyDescent="0.35"/>
    <row r="220" spans="3:4" ht="12.75" customHeight="1" x14ac:dyDescent="0.35"/>
    <row r="221" spans="3:4" ht="12.75" customHeight="1" x14ac:dyDescent="0.35">
      <c r="C221" s="28" t="s">
        <v>5202</v>
      </c>
    </row>
    <row r="222" spans="3:4" ht="12.75" customHeight="1" x14ac:dyDescent="0.35"/>
    <row r="223" spans="3:4" ht="12.75" customHeight="1" x14ac:dyDescent="0.35">
      <c r="D223" s="28" t="s">
        <v>1691</v>
      </c>
    </row>
    <row r="224" spans="3:4" ht="12.75" customHeight="1" x14ac:dyDescent="0.35">
      <c r="D224" s="28" t="s">
        <v>1692</v>
      </c>
    </row>
    <row r="225" spans="4:4" ht="12.75" customHeight="1" x14ac:dyDescent="0.35">
      <c r="D225" s="28" t="s">
        <v>1693</v>
      </c>
    </row>
  </sheetData>
  <printOptions gridLines="1"/>
  <pageMargins left="0.75" right="0.75" top="1" bottom="1" header="0.5" footer="0.5"/>
  <pageSetup paperSize="9" orientation="portrait" r:id="rId1"/>
  <headerFooter>
    <oddHeader>&amp;C&amp;A</oddHeader>
    <oddFooter>&amp;CPage &amp;P</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outlinePr showOutlineSymbols="0"/>
    <pageSetUpPr autoPageBreaks="0" fitToPage="1"/>
  </sheetPr>
  <dimension ref="A1:Q141"/>
  <sheetViews>
    <sheetView showGridLines="0" showRowColHeaders="0" showOutlineSymbols="0" zoomScaleNormal="100" workbookViewId="0">
      <pane ySplit="1" topLeftCell="A2" activePane="bottomLeft" state="frozen"/>
      <selection pane="bottomLeft"/>
    </sheetView>
  </sheetViews>
  <sheetFormatPr defaultColWidth="9.1796875" defaultRowHeight="14.5" x14ac:dyDescent="0.35"/>
  <cols>
    <col min="1" max="1" width="6.7265625" style="5" customWidth="1"/>
    <col min="2" max="2" width="0.81640625" style="5" customWidth="1"/>
    <col min="3" max="3" width="2.7265625" style="5" customWidth="1"/>
    <col min="4" max="4" width="35.7265625" style="5" customWidth="1"/>
    <col min="5" max="6" width="13.7265625" style="5" customWidth="1"/>
    <col min="7" max="7" width="1.7265625" style="5" customWidth="1"/>
    <col min="8" max="8" width="11.7265625" style="5" customWidth="1"/>
    <col min="9" max="9" width="10.7265625" style="5" customWidth="1"/>
    <col min="10" max="10" width="12.7265625" style="5" customWidth="1"/>
    <col min="11" max="11" width="2.7265625" style="5" customWidth="1"/>
    <col min="12" max="12" width="0.81640625" style="5" customWidth="1"/>
    <col min="13" max="17" width="0" style="5" hidden="1" customWidth="1"/>
    <col min="18" max="16384" width="9.1796875" style="5"/>
  </cols>
  <sheetData>
    <row r="1" spans="1:17" ht="18" customHeight="1" x14ac:dyDescent="0.35">
      <c r="A1" s="657"/>
      <c r="B1" s="657"/>
      <c r="C1" s="658" t="s">
        <v>1481</v>
      </c>
      <c r="D1" s="658"/>
      <c r="E1" s="657"/>
      <c r="F1" s="657"/>
      <c r="G1" s="657"/>
      <c r="H1" s="657"/>
      <c r="I1" s="658"/>
      <c r="J1" s="659" t="str">
        <f>IF(InvOrAcq=3,O1,N1)</f>
        <v>Investment proposal:</v>
      </c>
      <c r="K1" s="657"/>
      <c r="L1" s="657"/>
      <c r="M1" s="660"/>
      <c r="N1" s="661" t="s">
        <v>1482</v>
      </c>
      <c r="O1" s="662" t="s">
        <v>1483</v>
      </c>
      <c r="P1" s="657"/>
      <c r="Q1" s="657"/>
    </row>
    <row r="2" spans="1:17" ht="5.15" customHeight="1" x14ac:dyDescent="0.35">
      <c r="A2" s="663" t="s">
        <v>1484</v>
      </c>
      <c r="B2" s="285"/>
      <c r="C2" s="285"/>
      <c r="D2" s="285"/>
      <c r="E2" s="285"/>
      <c r="F2" s="285"/>
      <c r="G2" s="285"/>
      <c r="H2" s="285"/>
      <c r="I2" s="285"/>
      <c r="J2" s="285"/>
      <c r="K2" s="285"/>
      <c r="L2" s="285"/>
      <c r="M2" s="664"/>
      <c r="N2" s="665"/>
      <c r="O2" s="666">
        <v>0</v>
      </c>
      <c r="P2" s="665"/>
      <c r="Q2" s="285"/>
    </row>
    <row r="3" spans="1:17" ht="15" customHeight="1" x14ac:dyDescent="0.35">
      <c r="A3" s="663" t="s">
        <v>1484</v>
      </c>
      <c r="B3" s="285"/>
      <c r="C3" s="240" t="s">
        <v>1485</v>
      </c>
      <c r="D3" s="241"/>
      <c r="E3" s="241"/>
      <c r="F3" s="241"/>
      <c r="G3" s="241"/>
      <c r="H3" s="241"/>
      <c r="I3" s="241"/>
      <c r="J3" s="241"/>
      <c r="K3" s="242"/>
      <c r="L3" s="285"/>
      <c r="M3" s="667"/>
      <c r="N3" s="665"/>
      <c r="O3" s="666">
        <v>0</v>
      </c>
      <c r="P3" s="665"/>
      <c r="Q3" s="285"/>
    </row>
    <row r="4" spans="1:17" ht="2.15" customHeight="1" x14ac:dyDescent="0.35">
      <c r="A4" s="657"/>
      <c r="B4" s="285"/>
      <c r="C4" s="668"/>
      <c r="D4" s="669"/>
      <c r="E4" s="669"/>
      <c r="F4" s="670" t="str">
        <f>IF(Currency&lt;&gt;"",Currency,"")</f>
        <v>Euro</v>
      </c>
      <c r="G4" s="669"/>
      <c r="H4" s="669"/>
      <c r="I4" s="669"/>
      <c r="J4" s="669"/>
      <c r="K4" s="671"/>
      <c r="L4" s="285"/>
      <c r="M4" s="667" t="s">
        <v>1486</v>
      </c>
      <c r="N4" s="665"/>
      <c r="O4" s="666">
        <v>0</v>
      </c>
      <c r="P4" s="665"/>
      <c r="Q4" s="285"/>
    </row>
    <row r="5" spans="1:17" ht="18" customHeight="1" x14ac:dyDescent="0.35">
      <c r="A5" s="657"/>
      <c r="B5" s="285"/>
      <c r="C5" s="672"/>
      <c r="D5" s="237" t="s">
        <v>1487</v>
      </c>
      <c r="E5" s="1481" t="str">
        <f>IF(Investment&lt;&gt;0,Investment,"")</f>
        <v>Consolidated</v>
      </c>
      <c r="F5" s="1482"/>
      <c r="G5" s="1482"/>
      <c r="H5" s="1482"/>
      <c r="I5" s="1482"/>
      <c r="J5" s="673" t="str">
        <f>IF(Figures&gt;1,TEXT(Figures,"# ##0")&amp;" ","")&amp;Currency</f>
        <v>Euro</v>
      </c>
      <c r="K5" s="317"/>
      <c r="L5" s="285"/>
      <c r="M5" s="667" t="s">
        <v>1488</v>
      </c>
      <c r="N5" s="665"/>
      <c r="O5" s="666"/>
      <c r="P5" s="665"/>
      <c r="Q5" s="285"/>
    </row>
    <row r="6" spans="1:17" ht="14.15" hidden="1" customHeight="1" x14ac:dyDescent="0.35">
      <c r="A6" s="657"/>
      <c r="B6" s="285"/>
      <c r="C6" s="674"/>
      <c r="D6" s="675" t="s">
        <v>1489</v>
      </c>
      <c r="E6" s="676"/>
      <c r="F6" s="677"/>
      <c r="G6" s="677"/>
      <c r="H6" s="677"/>
      <c r="I6" s="677"/>
      <c r="J6" s="313"/>
      <c r="K6" s="314"/>
      <c r="L6" s="285"/>
      <c r="M6" s="667" t="s">
        <v>1490</v>
      </c>
      <c r="N6" s="665"/>
      <c r="O6" s="666">
        <v>0</v>
      </c>
      <c r="P6" s="665"/>
      <c r="Q6" s="285"/>
    </row>
    <row r="7" spans="1:17" ht="5.15" customHeight="1" x14ac:dyDescent="0.35">
      <c r="A7" s="657"/>
      <c r="B7" s="285"/>
      <c r="C7" s="233"/>
      <c r="D7" s="306"/>
      <c r="E7" s="306"/>
      <c r="F7" s="678"/>
      <c r="G7" s="306"/>
      <c r="H7" s="306"/>
      <c r="I7" s="306"/>
      <c r="J7" s="306"/>
      <c r="K7" s="314"/>
      <c r="L7" s="285"/>
      <c r="M7" s="667" t="s">
        <v>1491</v>
      </c>
      <c r="N7" s="665"/>
      <c r="O7" s="666"/>
      <c r="P7" s="665"/>
      <c r="Q7" s="285"/>
    </row>
    <row r="8" spans="1:17" ht="12.75" customHeight="1" x14ac:dyDescent="0.35">
      <c r="A8" s="657"/>
      <c r="B8" s="285"/>
      <c r="C8" s="233"/>
      <c r="D8" s="228" t="s">
        <v>1492</v>
      </c>
      <c r="E8" s="306"/>
      <c r="F8" s="679">
        <f ca="1">-SUM(TotalInvestment)</f>
        <v>8505000</v>
      </c>
      <c r="G8" s="306"/>
      <c r="H8" s="306" t="s">
        <v>1250</v>
      </c>
      <c r="I8" s="680"/>
      <c r="J8" s="679">
        <f ca="1">-SUM(Calculations!$G$1045:$N$1045)</f>
        <v>8400548.4845077712</v>
      </c>
      <c r="K8" s="314"/>
      <c r="L8" s="285"/>
      <c r="M8" s="667" t="s">
        <v>1493</v>
      </c>
      <c r="N8" s="665"/>
      <c r="O8" s="666"/>
      <c r="P8" s="665"/>
      <c r="Q8" s="285"/>
    </row>
    <row r="9" spans="1:17" ht="12.75" customHeight="1" x14ac:dyDescent="0.35">
      <c r="A9" s="657"/>
      <c r="B9" s="285"/>
      <c r="C9" s="233"/>
      <c r="D9" s="228" t="s">
        <v>1494</v>
      </c>
      <c r="E9" s="306"/>
      <c r="F9" s="681">
        <f>DiscYear</f>
        <v>2.75</v>
      </c>
      <c r="G9" s="306"/>
      <c r="H9" s="1237" t="str">
        <f>IF(VariableRate=1,SpecsTxt!$B$22&amp;" ","")&amp;IF(MYDisc,MidyearTxt,"")</f>
        <v/>
      </c>
      <c r="I9" s="306"/>
      <c r="J9" s="306"/>
      <c r="K9" s="314"/>
      <c r="L9" s="285"/>
      <c r="M9" s="667" t="s">
        <v>1495</v>
      </c>
      <c r="N9" s="665"/>
      <c r="O9" s="666"/>
      <c r="P9" s="665"/>
      <c r="Q9" s="285"/>
    </row>
    <row r="10" spans="1:17" ht="12.75" customHeight="1" x14ac:dyDescent="0.35">
      <c r="A10" s="657"/>
      <c r="B10" s="285"/>
      <c r="C10" s="233"/>
      <c r="D10" s="228" t="s">
        <v>1496</v>
      </c>
      <c r="E10" s="306"/>
      <c r="F10" s="682">
        <f>InvTime+InvTimeMonths/12+InvTime2+InvTimeMonths2/12</f>
        <v>5.333333333333333</v>
      </c>
      <c r="G10" s="306"/>
      <c r="H10" s="306" t="s">
        <v>9</v>
      </c>
      <c r="I10" s="313"/>
      <c r="J10" s="313" t="str">
        <f>InvMonth&amp;"/"&amp;InvYear&amp;" - "&amp;LastMonth&amp;"/"&amp;LastYear</f>
        <v>9/2019 - 12/2024</v>
      </c>
      <c r="K10" s="314"/>
      <c r="L10" s="285"/>
      <c r="M10" s="667" t="s">
        <v>1497</v>
      </c>
      <c r="N10" s="665"/>
      <c r="O10" s="666"/>
      <c r="P10" s="665"/>
      <c r="Q10" s="285"/>
    </row>
    <row r="11" spans="1:17" ht="12.75" customHeight="1" x14ac:dyDescent="0.35">
      <c r="A11" s="657"/>
      <c r="B11" s="285"/>
      <c r="C11" s="233"/>
      <c r="D11" s="228" t="s">
        <v>1498</v>
      </c>
      <c r="E11" s="306"/>
      <c r="F11" s="683" t="str">
        <f ca="1">OFFSET(Calculations!$G$11,0,CalcPoint)</f>
        <v>9/2019</v>
      </c>
      <c r="G11" s="306"/>
      <c r="H11" s="306" t="str">
        <f>"(In the "&amp;IF(CalcPoint=0,"beginning","end")&amp;" of period)"</f>
        <v>(In the beginning of period)</v>
      </c>
      <c r="I11" s="313"/>
      <c r="J11" s="236"/>
      <c r="K11" s="314"/>
      <c r="L11" s="285"/>
      <c r="M11" s="667" t="s">
        <v>1499</v>
      </c>
      <c r="N11" s="665"/>
      <c r="O11" s="666"/>
      <c r="P11" s="665"/>
      <c r="Q11" s="285"/>
    </row>
    <row r="12" spans="1:17" ht="5.15" customHeight="1" x14ac:dyDescent="0.35">
      <c r="A12" s="657"/>
      <c r="B12" s="285"/>
      <c r="C12" s="672"/>
      <c r="D12" s="237"/>
      <c r="E12" s="237"/>
      <c r="F12" s="684" t="str">
        <f>IF(Period=Period2,Period," "&amp;Period&amp;IF(AND(Period&lt;&gt;"",Period2&lt;&gt;"")," / ","")&amp;Period2&amp;"  ")</f>
        <v xml:space="preserve"> 12  </v>
      </c>
      <c r="G12" s="237"/>
      <c r="H12" s="237"/>
      <c r="I12" s="237"/>
      <c r="J12" s="237"/>
      <c r="K12" s="317"/>
      <c r="L12" s="285"/>
      <c r="M12" s="667" t="s">
        <v>1500</v>
      </c>
      <c r="N12" s="665"/>
      <c r="O12" s="666"/>
      <c r="P12" s="665"/>
      <c r="Q12" s="285"/>
    </row>
    <row r="13" spans="1:17" ht="5.15" customHeight="1" x14ac:dyDescent="0.35">
      <c r="A13" s="657"/>
      <c r="B13" s="285"/>
      <c r="C13" s="233"/>
      <c r="D13" s="228"/>
      <c r="E13" s="228"/>
      <c r="F13" s="313"/>
      <c r="G13" s="228"/>
      <c r="H13" s="228"/>
      <c r="I13" s="228"/>
      <c r="J13" s="228"/>
      <c r="K13" s="314"/>
      <c r="L13" s="285"/>
      <c r="M13" s="667" t="s">
        <v>1501</v>
      </c>
      <c r="N13" s="665"/>
      <c r="O13" s="666"/>
      <c r="P13" s="665"/>
      <c r="Q13" s="285"/>
    </row>
    <row r="14" spans="1:17" ht="12.75" customHeight="1" x14ac:dyDescent="0.35">
      <c r="A14" s="657"/>
      <c r="B14" s="285"/>
      <c r="C14" s="233"/>
      <c r="D14" s="685" t="s">
        <v>1502</v>
      </c>
      <c r="E14" s="686" t="str">
        <f>E51</f>
        <v>Nominal</v>
      </c>
      <c r="F14" s="687" t="str">
        <f>F51</f>
        <v>PV</v>
      </c>
      <c r="G14" s="228"/>
      <c r="H14" s="685" t="s">
        <v>1503</v>
      </c>
      <c r="I14" s="228"/>
      <c r="J14" s="228"/>
      <c r="K14" s="314"/>
      <c r="L14" s="285"/>
      <c r="M14" s="667" t="s">
        <v>1504</v>
      </c>
      <c r="N14" s="665"/>
      <c r="O14" s="666"/>
      <c r="P14" s="665"/>
      <c r="Q14" s="285"/>
    </row>
    <row r="15" spans="1:17" ht="12.75" customHeight="1" x14ac:dyDescent="0.35">
      <c r="A15" s="657"/>
      <c r="B15" s="285"/>
      <c r="C15" s="688" t="s">
        <v>1505</v>
      </c>
      <c r="D15" s="228" t="s">
        <v>1298</v>
      </c>
      <c r="E15" s="228"/>
      <c r="F15" s="679">
        <f ca="1">SUM(DiscOperCashFlow)</f>
        <v>37056460.98235476</v>
      </c>
      <c r="G15" s="228"/>
      <c r="H15" s="1477"/>
      <c r="I15" s="1477"/>
      <c r="J15" s="1477"/>
      <c r="K15" s="314"/>
      <c r="L15" s="285"/>
      <c r="M15" s="667" t="s">
        <v>1506</v>
      </c>
      <c r="N15" s="665"/>
      <c r="O15" s="666"/>
      <c r="P15" s="665"/>
      <c r="Q15" s="285"/>
    </row>
    <row r="16" spans="1:17" ht="12.75" customHeight="1" x14ac:dyDescent="0.35">
      <c r="A16" s="657"/>
      <c r="B16" s="285"/>
      <c r="C16" s="688" t="s">
        <v>42</v>
      </c>
      <c r="D16" s="237" t="s">
        <v>1507</v>
      </c>
      <c r="E16" s="237"/>
      <c r="F16" s="689">
        <f ca="1">IF(UsePerpetuity=1,PerpetuityPV,IF(NoResCol&lt;&gt;1,Calculations!$N$676,0))</f>
        <v>11239904.807545893</v>
      </c>
      <c r="G16" s="228"/>
      <c r="H16" s="1477"/>
      <c r="I16" s="1477"/>
      <c r="J16" s="1477"/>
      <c r="K16" s="314"/>
      <c r="L16" s="285"/>
      <c r="M16" s="667" t="s">
        <v>1508</v>
      </c>
      <c r="N16" s="665"/>
      <c r="O16" s="666"/>
      <c r="P16" s="665"/>
      <c r="Q16" s="285"/>
    </row>
    <row r="17" spans="1:17" ht="5.15" hidden="1" customHeight="1" x14ac:dyDescent="0.35">
      <c r="A17" s="657"/>
      <c r="B17" s="285"/>
      <c r="C17" s="690"/>
      <c r="D17" s="691"/>
      <c r="E17" s="692"/>
      <c r="F17" s="693"/>
      <c r="G17" s="692"/>
      <c r="H17" s="692"/>
      <c r="I17" s="692"/>
      <c r="J17" s="692"/>
      <c r="K17" s="694"/>
      <c r="L17" s="285"/>
      <c r="M17" s="667" t="s">
        <v>1509</v>
      </c>
      <c r="N17" s="665"/>
      <c r="O17" s="666">
        <v>0</v>
      </c>
      <c r="P17" s="665">
        <v>1</v>
      </c>
      <c r="Q17" s="285"/>
    </row>
    <row r="18" spans="1:17" ht="12.75" hidden="1" customHeight="1" x14ac:dyDescent="0.35">
      <c r="A18" s="657"/>
      <c r="B18" s="285"/>
      <c r="C18" s="695"/>
      <c r="D18" s="696" t="str">
        <f>IF(PerpetuityLimitation=1,"Perpetuity","Extrapolation")&amp;" is based on"</f>
        <v>Perpetuity is based on</v>
      </c>
      <c r="E18" s="697"/>
      <c r="F18" s="697"/>
      <c r="G18" s="697"/>
      <c r="H18" s="697"/>
      <c r="I18" s="697"/>
      <c r="J18" s="697"/>
      <c r="K18" s="698"/>
      <c r="L18" s="285"/>
      <c r="M18" s="667" t="s">
        <v>1510</v>
      </c>
      <c r="N18" s="665"/>
      <c r="O18" s="666">
        <v>0</v>
      </c>
      <c r="P18" s="665">
        <v>1</v>
      </c>
      <c r="Q18" s="285"/>
    </row>
    <row r="19" spans="1:17" ht="2.15" hidden="1" customHeight="1" x14ac:dyDescent="0.35">
      <c r="A19" s="657"/>
      <c r="B19" s="285"/>
      <c r="C19" s="695"/>
      <c r="D19" s="699"/>
      <c r="E19" s="697"/>
      <c r="F19" s="697"/>
      <c r="G19" s="697"/>
      <c r="H19" s="697"/>
      <c r="I19" s="697"/>
      <c r="J19" s="697"/>
      <c r="K19" s="698"/>
      <c r="L19" s="285"/>
      <c r="M19" s="667" t="s">
        <v>1511</v>
      </c>
      <c r="N19" s="665"/>
      <c r="O19" s="666">
        <v>0</v>
      </c>
      <c r="P19" s="665">
        <v>1</v>
      </c>
      <c r="Q19" s="285"/>
    </row>
    <row r="20" spans="1:17" ht="16" hidden="1" customHeight="1" x14ac:dyDescent="0.35">
      <c r="A20" s="657"/>
      <c r="B20" s="285"/>
      <c r="C20" s="695"/>
      <c r="D20" s="699" t="s">
        <v>1512</v>
      </c>
      <c r="E20" s="697"/>
      <c r="F20" s="700">
        <f ca="1">SUMIF(Calculations!$G$6:$N$6,"*"&amp;PerpetuityYear,NetCashFlow)</f>
        <v>28128975.385462612</v>
      </c>
      <c r="G20" s="697"/>
      <c r="H20" s="701" t="s">
        <v>1513</v>
      </c>
      <c r="I20" s="697"/>
      <c r="J20" s="702"/>
      <c r="K20" s="698"/>
      <c r="L20" s="285"/>
      <c r="M20" s="667" t="s">
        <v>1514</v>
      </c>
      <c r="N20" s="665"/>
      <c r="O20" s="666">
        <v>0</v>
      </c>
      <c r="P20" s="665">
        <v>1</v>
      </c>
      <c r="Q20" s="285"/>
    </row>
    <row r="21" spans="1:17" ht="2.15" hidden="1" customHeight="1" x14ac:dyDescent="0.35">
      <c r="A21" s="657"/>
      <c r="B21" s="285"/>
      <c r="C21" s="695"/>
      <c r="D21" s="699"/>
      <c r="E21" s="697"/>
      <c r="F21" s="697"/>
      <c r="G21" s="697"/>
      <c r="H21" s="697"/>
      <c r="I21" s="697"/>
      <c r="J21" s="697"/>
      <c r="K21" s="698"/>
      <c r="L21" s="285"/>
      <c r="M21" s="667" t="s">
        <v>1515</v>
      </c>
      <c r="N21" s="665"/>
      <c r="O21" s="666">
        <v>0</v>
      </c>
      <c r="P21" s="665">
        <v>1</v>
      </c>
      <c r="Q21" s="285"/>
    </row>
    <row r="22" spans="1:17" ht="16" hidden="1" customHeight="1" x14ac:dyDescent="0.35">
      <c r="A22" s="657"/>
      <c r="B22" s="285"/>
      <c r="C22" s="695"/>
      <c r="D22" s="699" t="str">
        <f>"      Enter annual value "&amp;IF(TRIM($J$5)&lt;&gt;"","("&amp;$J$5&amp;")","")</f>
        <v xml:space="preserve">      Enter annual value (Euro)</v>
      </c>
      <c r="E22" s="703"/>
      <c r="F22" s="704"/>
      <c r="G22" s="697"/>
      <c r="H22" s="697" t="str">
        <f ca="1">"Base value "&amp;Calculations!$N$627&amp;""</f>
        <v>Base value (12/2024)</v>
      </c>
      <c r="I22" s="697"/>
      <c r="J22" s="706">
        <f>IF(PerpetuityEnter=2,PerpetuityBasisEntered,IF(NOT(ISERROR($F$20)),$F$20,0))</f>
        <v>0</v>
      </c>
      <c r="K22" s="698"/>
      <c r="L22" s="285"/>
      <c r="M22" s="667" t="s">
        <v>1516</v>
      </c>
      <c r="N22" s="665"/>
      <c r="O22" s="666">
        <v>0</v>
      </c>
      <c r="P22" s="665">
        <v>1</v>
      </c>
      <c r="Q22" s="285"/>
    </row>
    <row r="23" spans="1:17" ht="2.15" hidden="1" customHeight="1" x14ac:dyDescent="0.35">
      <c r="A23" s="657"/>
      <c r="B23" s="285"/>
      <c r="C23" s="695"/>
      <c r="D23" s="699"/>
      <c r="E23" s="697"/>
      <c r="F23" s="697"/>
      <c r="G23" s="697"/>
      <c r="H23" s="697"/>
      <c r="I23" s="697"/>
      <c r="J23" s="697"/>
      <c r="K23" s="698"/>
      <c r="L23" s="285"/>
      <c r="M23" s="667" t="s">
        <v>1517</v>
      </c>
      <c r="N23" s="665"/>
      <c r="O23" s="666">
        <v>0</v>
      </c>
      <c r="P23" s="665">
        <v>1</v>
      </c>
      <c r="Q23" s="285"/>
    </row>
    <row r="24" spans="1:17" ht="16" hidden="1" customHeight="1" x14ac:dyDescent="0.35">
      <c r="A24" s="657"/>
      <c r="B24" s="285"/>
      <c r="C24" s="695"/>
      <c r="D24" s="696" t="str">
        <f>"Type of "&amp;IF(PerpetuityLimitation=1,"perpetuity","extrapolation")</f>
        <v>Type of perpetuity</v>
      </c>
      <c r="E24" s="697"/>
      <c r="F24" s="697"/>
      <c r="G24" s="697"/>
      <c r="H24" s="697" t="s">
        <v>1518</v>
      </c>
      <c r="I24" s="697"/>
      <c r="J24" s="705">
        <f ca="1">IF(VariableRate=1,OFFSET(Calculations!$N$1056,0,IF(NoResCol=1,-1,0)),DiscYear)-IF(PerpetuityGrowing=2,IF(OR($G$28&lt;IF(VariableRate=1,OFFSET(Calculations!$N$1056,0,IF(NoResCol=1,-1,0)),DiscYear),PerpetuityLimitation&gt;1),$G$28,0),0)</f>
        <v>2.75</v>
      </c>
      <c r="K24" s="698"/>
      <c r="L24" s="285"/>
      <c r="M24" s="667" t="s">
        <v>1519</v>
      </c>
      <c r="N24" s="666">
        <f ca="1">IF(AND(PerpetuityGrowing=2,OFFSET(Analysis!$F$6,-1,0)&lt;=$G$28),NA(),$J$22*IF(OFFSET(Analysis!$F$6,-1,0)=0,1,1/((OFFSET(Analysis!$F$6,-1,0)-IF(PerpetuityGrowing=2,IF($G$28&lt;OFFSET(Analysis!$F$6,-1,0),$G$28,0),0))/100)))</f>
        <v>0</v>
      </c>
      <c r="O24" s="666">
        <v>0</v>
      </c>
      <c r="P24" s="665">
        <v>1</v>
      </c>
      <c r="Q24" s="285"/>
    </row>
    <row r="25" spans="1:17" ht="2.15" hidden="1" customHeight="1" x14ac:dyDescent="0.35">
      <c r="A25" s="657"/>
      <c r="B25" s="285"/>
      <c r="C25" s="695"/>
      <c r="D25" s="699"/>
      <c r="E25" s="697"/>
      <c r="F25" s="697"/>
      <c r="G25" s="697"/>
      <c r="H25" s="697"/>
      <c r="I25" s="697"/>
      <c r="J25" s="697"/>
      <c r="K25" s="698"/>
      <c r="L25" s="285"/>
      <c r="M25" s="667" t="s">
        <v>1520</v>
      </c>
      <c r="N25" s="666">
        <f ca="1">IF(AND(PerpetuityGrowing=2,OFFSET(Analysis!$G$6,-1,0)&lt;=$G$28),NA(),$J$22*IF(OFFSET(Analysis!$G$6,-1,0)=0,1,1/((OFFSET(Analysis!$G$6,-1,0)-IF(PerpetuityGrowing=2,IF($G$28&lt;OFFSET(Analysis!$G$6,-1,0),$G$28,0),0))/100)))</f>
        <v>0</v>
      </c>
      <c r="O25" s="666">
        <v>0</v>
      </c>
      <c r="P25" s="665">
        <v>1</v>
      </c>
      <c r="Q25" s="285"/>
    </row>
    <row r="26" spans="1:17" ht="16" hidden="1" customHeight="1" x14ac:dyDescent="0.35">
      <c r="A26" s="657"/>
      <c r="B26" s="285"/>
      <c r="C26" s="695"/>
      <c r="D26" s="699" t="s">
        <v>1521</v>
      </c>
      <c r="E26" s="697"/>
      <c r="F26" s="697"/>
      <c r="G26" s="697"/>
      <c r="H26" s="697" t="str">
        <f ca="1">"Value "&amp;Calculations!$N$627&amp;""</f>
        <v>Value (12/2024)</v>
      </c>
      <c r="I26" s="697"/>
      <c r="J26" s="706">
        <f ca="1">IF(PerpetuityLimitation&gt;1,PerpetuityLimited,IF(AND(PerpetuityGrowing=2,PerpetuityDiscRate&lt;=0),NA(),PerpetuityBaseValue*IF(PerpetuityDiscRate=0,1,1/(PerpetuityDiscRate/100))))</f>
        <v>0</v>
      </c>
      <c r="K26" s="698"/>
      <c r="L26" s="285"/>
      <c r="M26" s="667" t="s">
        <v>1522</v>
      </c>
      <c r="N26" s="666"/>
      <c r="O26" s="666">
        <v>0</v>
      </c>
      <c r="P26" s="665">
        <v>1</v>
      </c>
      <c r="Q26" s="285"/>
    </row>
    <row r="27" spans="1:17" ht="2.15" hidden="1" customHeight="1" x14ac:dyDescent="0.35">
      <c r="A27" s="657"/>
      <c r="B27" s="285"/>
      <c r="C27" s="695"/>
      <c r="D27" s="699"/>
      <c r="E27" s="697"/>
      <c r="F27" s="697"/>
      <c r="G27" s="697"/>
      <c r="H27" s="697"/>
      <c r="I27" s="697"/>
      <c r="J27" s="697"/>
      <c r="K27" s="698"/>
      <c r="L27" s="285"/>
      <c r="M27" s="667" t="s">
        <v>1523</v>
      </c>
      <c r="N27" s="666">
        <f ca="1">IF(AND(PerpetuityGrowing=2,OFFSET(Analysis!$I$6,-1,0)&lt;=$G$28),NA(),$J$22*IF(OFFSET(Analysis!$I$6,-1,0)=0,1,1/((OFFSET(Analysis!$I$6,-1,0)-IF(PerpetuityGrowing=2,IF($G$28&lt;OFFSET(Analysis!$I$6,-1,0),$G$28,0),0))/100)))</f>
        <v>0</v>
      </c>
      <c r="O27" s="666">
        <v>0</v>
      </c>
      <c r="P27" s="665">
        <v>1</v>
      </c>
      <c r="Q27" s="285"/>
    </row>
    <row r="28" spans="1:17" ht="16" hidden="1" customHeight="1" x14ac:dyDescent="0.35">
      <c r="A28" s="657"/>
      <c r="B28" s="285"/>
      <c r="C28" s="695"/>
      <c r="D28" s="699" t="s">
        <v>1524</v>
      </c>
      <c r="E28" s="697"/>
      <c r="F28" s="707"/>
      <c r="G28" s="708">
        <f ca="1">SUM(OFFSET(G28,0,-1))</f>
        <v>0</v>
      </c>
      <c r="H28" s="697" t="str">
        <f ca="1">"Present value ("&amp;$F$11&amp;")"</f>
        <v>Present value (9/2019)</v>
      </c>
      <c r="I28" s="697"/>
      <c r="J28" s="706">
        <f ca="1">PerpetuityValue/(1+IF(VariableRate=1,OFFSET(Calculations!$N$1057,0,IF(NoResCol=1,-1,0)),DiscMonth))^IF(MYDisc,Calculations!$N$1061,Calculations!$N$1059)</f>
        <v>0</v>
      </c>
      <c r="K28" s="698"/>
      <c r="L28" s="285"/>
      <c r="M28" s="667" t="s">
        <v>1525</v>
      </c>
      <c r="N28" s="666">
        <f ca="1">IF(AND(PerpetuityGrowing=2,OFFSET(Analysis!$J$6,-1,0)&lt;=$G$28),NA(),$J$22*IF(OFFSET(Analysis!$J$6,-1,0)=0,1,1/((OFFSET(Analysis!$J$6,-1,0)-IF(PerpetuityGrowing=2,IF($G$28&lt;OFFSET(Analysis!$J$6,-1,0),$G$28,0),0))/100)))</f>
        <v>0</v>
      </c>
      <c r="O28" s="666">
        <v>0</v>
      </c>
      <c r="P28" s="665">
        <v>1</v>
      </c>
      <c r="Q28" s="285"/>
    </row>
    <row r="29" spans="1:17" ht="5.15" hidden="1" customHeight="1" x14ac:dyDescent="0.35">
      <c r="A29" s="657"/>
      <c r="B29" s="285"/>
      <c r="C29" s="695"/>
      <c r="D29" s="699"/>
      <c r="E29" s="697"/>
      <c r="F29" s="697"/>
      <c r="G29" s="697"/>
      <c r="H29" s="697"/>
      <c r="I29" s="697"/>
      <c r="J29" s="697"/>
      <c r="K29" s="698"/>
      <c r="L29" s="285"/>
      <c r="M29" s="667" t="s">
        <v>1526</v>
      </c>
      <c r="N29" s="666"/>
      <c r="O29" s="666">
        <v>0</v>
      </c>
      <c r="P29" s="665">
        <v>1</v>
      </c>
      <c r="Q29" s="285"/>
    </row>
    <row r="30" spans="1:17" ht="5.15" hidden="1" customHeight="1" x14ac:dyDescent="0.35">
      <c r="A30" s="657"/>
      <c r="B30" s="285"/>
      <c r="C30" s="690"/>
      <c r="D30" s="709"/>
      <c r="E30" s="692"/>
      <c r="F30" s="692"/>
      <c r="G30" s="697"/>
      <c r="H30" s="697"/>
      <c r="I30" s="697"/>
      <c r="J30" s="697"/>
      <c r="K30" s="698"/>
      <c r="L30" s="285"/>
      <c r="M30" s="667" t="s">
        <v>1527</v>
      </c>
      <c r="N30" s="666"/>
      <c r="O30" s="666">
        <v>0</v>
      </c>
      <c r="P30" s="665">
        <v>1</v>
      </c>
      <c r="Q30" s="285"/>
    </row>
    <row r="31" spans="1:17" ht="16" hidden="1" customHeight="1" x14ac:dyDescent="0.35">
      <c r="A31" s="657"/>
      <c r="B31" s="285"/>
      <c r="C31" s="695"/>
      <c r="D31" s="699" t="s">
        <v>1528</v>
      </c>
      <c r="E31" s="697"/>
      <c r="F31" s="710">
        <f ca="1">IF($J$32&lt;&gt;0,$J$31/$J$32,"-")</f>
        <v>0</v>
      </c>
      <c r="G31" s="711" t="s">
        <v>1529</v>
      </c>
      <c r="H31" s="697" t="s">
        <v>1530</v>
      </c>
      <c r="I31" s="697"/>
      <c r="J31" s="712">
        <f ca="1">PerpetuityValue</f>
        <v>0</v>
      </c>
      <c r="K31" s="698"/>
      <c r="L31" s="285"/>
      <c r="M31" s="667" t="s">
        <v>1531</v>
      </c>
      <c r="N31" s="666"/>
      <c r="O31" s="666">
        <v>0</v>
      </c>
      <c r="P31" s="665">
        <v>1</v>
      </c>
      <c r="Q31" s="285"/>
    </row>
    <row r="32" spans="1:17" ht="5.15" hidden="1" customHeight="1" x14ac:dyDescent="0.35">
      <c r="A32" s="657"/>
      <c r="B32" s="285"/>
      <c r="C32" s="713"/>
      <c r="D32" s="714"/>
      <c r="E32" s="715"/>
      <c r="F32" s="715"/>
      <c r="G32" s="715"/>
      <c r="H32" s="715"/>
      <c r="I32" s="715"/>
      <c r="J32" s="716">
        <f ca="1">IF(Calculations!$N$1=FinMonth,OFFSET(Calculations!$N$484,0,-1),OFFSET(Calculations!$N$484,0,OFFSET(Calculations!$N$1017,0,-1)-1))</f>
        <v>23735374.21000246</v>
      </c>
      <c r="K32" s="717"/>
      <c r="L32" s="285"/>
      <c r="M32" s="667" t="s">
        <v>1532</v>
      </c>
      <c r="N32" s="665"/>
      <c r="O32" s="666">
        <v>0</v>
      </c>
      <c r="P32" s="665">
        <v>1</v>
      </c>
      <c r="Q32" s="285"/>
    </row>
    <row r="33" spans="1:17" ht="12.75" customHeight="1" x14ac:dyDescent="0.35">
      <c r="A33" s="657"/>
      <c r="B33" s="285"/>
      <c r="C33" s="688"/>
      <c r="D33" s="718" t="s">
        <v>1502</v>
      </c>
      <c r="E33" s="718"/>
      <c r="F33" s="719">
        <f ca="1">ResultDCF+ResultPVResidual</f>
        <v>48296365.789900653</v>
      </c>
      <c r="G33" s="228"/>
      <c r="H33" s="1477"/>
      <c r="I33" s="1477"/>
      <c r="J33" s="1477"/>
      <c r="K33" s="314"/>
      <c r="L33" s="285"/>
      <c r="M33" s="667" t="s">
        <v>1533</v>
      </c>
      <c r="N33" s="665"/>
      <c r="O33" s="666"/>
      <c r="P33" s="665"/>
      <c r="Q33" s="285"/>
    </row>
    <row r="34" spans="1:17" ht="5.15" customHeight="1" x14ac:dyDescent="0.35">
      <c r="A34" s="657"/>
      <c r="B34" s="285"/>
      <c r="C34" s="688"/>
      <c r="D34" s="228"/>
      <c r="E34" s="228"/>
      <c r="F34" s="679"/>
      <c r="G34" s="679"/>
      <c r="H34" s="679"/>
      <c r="I34" s="679"/>
      <c r="J34" s="679"/>
      <c r="K34" s="314"/>
      <c r="L34" s="285"/>
      <c r="M34" s="667" t="s">
        <v>1534</v>
      </c>
      <c r="N34" s="665"/>
      <c r="O34" s="666"/>
      <c r="P34" s="665"/>
      <c r="Q34" s="285"/>
    </row>
    <row r="35" spans="1:17" ht="13" customHeight="1" x14ac:dyDescent="0.35">
      <c r="A35" s="657"/>
      <c r="B35" s="285"/>
      <c r="C35" s="688" t="s">
        <v>39</v>
      </c>
      <c r="D35" s="237" t="s">
        <v>5076</v>
      </c>
      <c r="E35" s="720">
        <f>SUM(Calculations!$G$990:$N$991)</f>
        <v>0</v>
      </c>
      <c r="F35" s="689">
        <f>SUM(Calculations!$G$999:$N$999)</f>
        <v>0</v>
      </c>
      <c r="G35" s="228"/>
      <c r="H35" s="1477"/>
      <c r="I35" s="1477"/>
      <c r="J35" s="1477"/>
      <c r="K35" s="314"/>
      <c r="L35" s="285"/>
      <c r="M35" s="667" t="s">
        <v>1535</v>
      </c>
      <c r="N35" s="665"/>
      <c r="O35" s="666"/>
      <c r="P35" s="665"/>
      <c r="Q35" s="285"/>
    </row>
    <row r="36" spans="1:17" ht="12.75" customHeight="1" x14ac:dyDescent="0.35">
      <c r="A36" s="657"/>
      <c r="B36" s="285"/>
      <c r="C36" s="688"/>
      <c r="D36" s="718" t="s">
        <v>1536</v>
      </c>
      <c r="E36" s="718"/>
      <c r="F36" s="719">
        <f ca="1">ResultEnterpriseValue+ResultContinuousInvestmentsPV</f>
        <v>48296365.789900653</v>
      </c>
      <c r="G36" s="228"/>
      <c r="H36" s="1477"/>
      <c r="I36" s="1477"/>
      <c r="J36" s="1477"/>
      <c r="K36" s="314"/>
      <c r="L36" s="285"/>
      <c r="M36" s="667" t="s">
        <v>1537</v>
      </c>
      <c r="N36" s="665"/>
      <c r="O36" s="666"/>
      <c r="P36" s="665"/>
      <c r="Q36" s="285"/>
    </row>
    <row r="37" spans="1:17" ht="5.15" customHeight="1" x14ac:dyDescent="0.35">
      <c r="A37" s="657"/>
      <c r="B37" s="285"/>
      <c r="C37" s="233"/>
      <c r="D37" s="228"/>
      <c r="E37" s="228"/>
      <c r="F37" s="679"/>
      <c r="G37" s="228"/>
      <c r="H37" s="228"/>
      <c r="I37" s="228"/>
      <c r="J37" s="228"/>
      <c r="K37" s="314"/>
      <c r="L37" s="285"/>
      <c r="M37" s="667" t="s">
        <v>1538</v>
      </c>
      <c r="N37" s="665"/>
      <c r="O37" s="666"/>
      <c r="P37" s="665"/>
      <c r="Q37" s="285"/>
    </row>
    <row r="38" spans="1:17" ht="12.75" hidden="1" customHeight="1" x14ac:dyDescent="0.35">
      <c r="A38" s="657"/>
      <c r="B38" s="285"/>
      <c r="C38" s="688" t="s">
        <v>39</v>
      </c>
      <c r="D38" s="721" t="s">
        <v>1266</v>
      </c>
      <c r="E38" s="237"/>
      <c r="F38" s="689">
        <f ca="1">IF(OR(InvOrAcq=2,InvFileType=2),SUM($G$39:$G$47),0)</f>
        <v>0</v>
      </c>
      <c r="G38" s="722"/>
      <c r="H38" s="1477"/>
      <c r="I38" s="1480"/>
      <c r="J38" s="1480"/>
      <c r="K38" s="314"/>
      <c r="L38" s="285"/>
      <c r="M38" s="667" t="s">
        <v>1539</v>
      </c>
      <c r="N38" s="665"/>
      <c r="O38" s="666">
        <v>0</v>
      </c>
      <c r="P38" s="665"/>
      <c r="Q38" s="285"/>
    </row>
    <row r="39" spans="1:17" ht="12.75" hidden="1" customHeight="1" x14ac:dyDescent="0.35">
      <c r="A39" s="657"/>
      <c r="B39" s="285"/>
      <c r="C39" s="688" t="s">
        <v>1505</v>
      </c>
      <c r="D39" s="1403" t="str">
        <f>Calculations!$C$806</f>
        <v>Interest-bearing long-term debt</v>
      </c>
      <c r="E39" s="1404"/>
      <c r="F39" s="1402"/>
      <c r="G39" s="722">
        <f t="shared" ref="G39:G47" ca="1" si="0">SUM(OFFSET(G39,0,-1))</f>
        <v>0</v>
      </c>
      <c r="H39" s="1477"/>
      <c r="I39" s="1480"/>
      <c r="J39" s="1480"/>
      <c r="K39" s="314"/>
      <c r="L39" s="285"/>
      <c r="M39" s="667" t="s">
        <v>1540</v>
      </c>
      <c r="N39" s="665"/>
      <c r="O39" s="666">
        <v>0</v>
      </c>
      <c r="P39" s="665">
        <v>1</v>
      </c>
      <c r="Q39" s="285"/>
    </row>
    <row r="40" spans="1:17" ht="12.75" hidden="1" customHeight="1" x14ac:dyDescent="0.35">
      <c r="A40" s="657"/>
      <c r="B40" s="285"/>
      <c r="C40" s="688" t="s">
        <v>1505</v>
      </c>
      <c r="D40" s="1405" t="str">
        <f>Calculations!$C$812</f>
        <v>Interest-bearing short-term liabilities</v>
      </c>
      <c r="E40" s="1406"/>
      <c r="F40" s="725"/>
      <c r="G40" s="722">
        <f t="shared" ca="1" si="0"/>
        <v>0</v>
      </c>
      <c r="H40" s="1477"/>
      <c r="I40" s="1480"/>
      <c r="J40" s="1480"/>
      <c r="K40" s="314"/>
      <c r="L40" s="285"/>
      <c r="M40" s="667" t="s">
        <v>1541</v>
      </c>
      <c r="N40" s="665"/>
      <c r="O40" s="666">
        <v>0</v>
      </c>
      <c r="P40" s="665">
        <v>1</v>
      </c>
      <c r="Q40" s="285"/>
    </row>
    <row r="41" spans="1:17" ht="12.75" hidden="1" customHeight="1" x14ac:dyDescent="0.35">
      <c r="A41" s="657"/>
      <c r="B41" s="285"/>
      <c r="C41" s="688" t="s">
        <v>1505</v>
      </c>
      <c r="D41" s="1407" t="str">
        <f>Calculations!$C$774</f>
        <v>Bank and cash</v>
      </c>
      <c r="E41" s="1406"/>
      <c r="F41" s="725"/>
      <c r="G41" s="722">
        <f t="shared" ca="1" si="0"/>
        <v>0</v>
      </c>
      <c r="H41" s="1477"/>
      <c r="I41" s="1480"/>
      <c r="J41" s="1480"/>
      <c r="K41" s="314"/>
      <c r="L41" s="285"/>
      <c r="M41" s="667" t="s">
        <v>1542</v>
      </c>
      <c r="N41" s="665"/>
      <c r="O41" s="666">
        <v>0</v>
      </c>
      <c r="P41" s="665">
        <v>1</v>
      </c>
      <c r="Q41" s="285"/>
    </row>
    <row r="42" spans="1:17" ht="12.75" hidden="1" customHeight="1" x14ac:dyDescent="0.35">
      <c r="A42" s="657"/>
      <c r="B42" s="285"/>
      <c r="C42" s="688" t="s">
        <v>1505</v>
      </c>
      <c r="D42" s="723"/>
      <c r="E42" s="724"/>
      <c r="F42" s="725"/>
      <c r="G42" s="722">
        <f t="shared" ca="1" si="0"/>
        <v>0</v>
      </c>
      <c r="H42" s="1477"/>
      <c r="I42" s="1480"/>
      <c r="J42" s="1480"/>
      <c r="K42" s="314"/>
      <c r="L42" s="285"/>
      <c r="M42" s="667" t="s">
        <v>1543</v>
      </c>
      <c r="N42" s="665"/>
      <c r="O42" s="666">
        <v>0</v>
      </c>
      <c r="P42" s="665">
        <v>1</v>
      </c>
      <c r="Q42" s="285"/>
    </row>
    <row r="43" spans="1:17" ht="12.75" hidden="1" customHeight="1" x14ac:dyDescent="0.35">
      <c r="A43" s="657"/>
      <c r="B43" s="285"/>
      <c r="C43" s="688" t="s">
        <v>1505</v>
      </c>
      <c r="D43" s="723"/>
      <c r="E43" s="724"/>
      <c r="F43" s="725"/>
      <c r="G43" s="722">
        <f t="shared" ca="1" si="0"/>
        <v>0</v>
      </c>
      <c r="H43" s="1477"/>
      <c r="I43" s="1480"/>
      <c r="J43" s="1480"/>
      <c r="K43" s="314"/>
      <c r="L43" s="285"/>
      <c r="M43" s="667" t="s">
        <v>1544</v>
      </c>
      <c r="N43" s="665"/>
      <c r="O43" s="666">
        <v>0</v>
      </c>
      <c r="P43" s="665">
        <v>1</v>
      </c>
      <c r="Q43" s="285"/>
    </row>
    <row r="44" spans="1:17" ht="12.75" hidden="1" customHeight="1" x14ac:dyDescent="0.35">
      <c r="A44" s="657"/>
      <c r="B44" s="285"/>
      <c r="C44" s="688" t="s">
        <v>1505</v>
      </c>
      <c r="D44" s="723"/>
      <c r="E44" s="724"/>
      <c r="F44" s="725"/>
      <c r="G44" s="722">
        <f t="shared" ca="1" si="0"/>
        <v>0</v>
      </c>
      <c r="H44" s="1477"/>
      <c r="I44" s="1480"/>
      <c r="J44" s="1480"/>
      <c r="K44" s="314"/>
      <c r="L44" s="285"/>
      <c r="M44" s="667" t="s">
        <v>1545</v>
      </c>
      <c r="N44" s="665"/>
      <c r="O44" s="666">
        <v>0</v>
      </c>
      <c r="P44" s="665">
        <v>1</v>
      </c>
      <c r="Q44" s="285"/>
    </row>
    <row r="45" spans="1:17" ht="12.75" hidden="1" customHeight="1" x14ac:dyDescent="0.35">
      <c r="A45" s="657"/>
      <c r="B45" s="285"/>
      <c r="C45" s="688" t="s">
        <v>1505</v>
      </c>
      <c r="D45" s="723"/>
      <c r="E45" s="724"/>
      <c r="F45" s="725"/>
      <c r="G45" s="722">
        <f t="shared" ca="1" si="0"/>
        <v>0</v>
      </c>
      <c r="H45" s="1477"/>
      <c r="I45" s="1480"/>
      <c r="J45" s="1480"/>
      <c r="K45" s="314"/>
      <c r="L45" s="285"/>
      <c r="M45" s="667" t="s">
        <v>1546</v>
      </c>
      <c r="N45" s="665"/>
      <c r="O45" s="666">
        <v>0</v>
      </c>
      <c r="P45" s="665">
        <v>1</v>
      </c>
      <c r="Q45" s="285"/>
    </row>
    <row r="46" spans="1:17" ht="12.75" hidden="1" customHeight="1" x14ac:dyDescent="0.35">
      <c r="A46" s="657"/>
      <c r="B46" s="285"/>
      <c r="C46" s="688" t="s">
        <v>1505</v>
      </c>
      <c r="D46" s="726"/>
      <c r="E46" s="724"/>
      <c r="F46" s="725"/>
      <c r="G46" s="722">
        <f t="shared" ca="1" si="0"/>
        <v>0</v>
      </c>
      <c r="H46" s="1477"/>
      <c r="I46" s="1480"/>
      <c r="J46" s="1480"/>
      <c r="K46" s="314"/>
      <c r="L46" s="285"/>
      <c r="M46" s="667" t="s">
        <v>1547</v>
      </c>
      <c r="N46" s="665"/>
      <c r="O46" s="666">
        <v>0</v>
      </c>
      <c r="P46" s="665">
        <v>1</v>
      </c>
      <c r="Q46" s="285"/>
    </row>
    <row r="47" spans="1:17" ht="12.75" hidden="1" customHeight="1" x14ac:dyDescent="0.35">
      <c r="A47" s="657"/>
      <c r="B47" s="285"/>
      <c r="C47" s="688" t="s">
        <v>1505</v>
      </c>
      <c r="D47" s="727"/>
      <c r="E47" s="728"/>
      <c r="F47" s="729"/>
      <c r="G47" s="722">
        <f t="shared" ca="1" si="0"/>
        <v>0</v>
      </c>
      <c r="H47" s="1477"/>
      <c r="I47" s="1480"/>
      <c r="J47" s="1480"/>
      <c r="K47" s="314"/>
      <c r="L47" s="285"/>
      <c r="M47" s="667" t="s">
        <v>1548</v>
      </c>
      <c r="N47" s="665"/>
      <c r="O47" s="666">
        <v>0</v>
      </c>
      <c r="P47" s="665">
        <v>1</v>
      </c>
      <c r="Q47" s="285"/>
    </row>
    <row r="48" spans="1:17" ht="12.75" hidden="1" customHeight="1" x14ac:dyDescent="0.35">
      <c r="A48" s="657"/>
      <c r="B48" s="285"/>
      <c r="C48" s="688"/>
      <c r="D48" s="718" t="s">
        <v>1549</v>
      </c>
      <c r="E48" s="718"/>
      <c r="F48" s="719">
        <f ca="1">TotalPV+ResultNetDebt</f>
        <v>48296365.789900653</v>
      </c>
      <c r="G48" s="722"/>
      <c r="H48" s="1477"/>
      <c r="I48" s="1480"/>
      <c r="J48" s="1480"/>
      <c r="K48" s="314"/>
      <c r="L48" s="285"/>
      <c r="M48" s="667" t="s">
        <v>1550</v>
      </c>
      <c r="N48" s="665"/>
      <c r="O48" s="666">
        <v>0</v>
      </c>
      <c r="P48" s="665"/>
      <c r="Q48" s="285"/>
    </row>
    <row r="49" spans="1:17" ht="12.75" hidden="1" customHeight="1" x14ac:dyDescent="0.35">
      <c r="A49" s="730"/>
      <c r="B49" s="252"/>
      <c r="C49" s="688"/>
      <c r="D49" s="228" t="s">
        <v>1551</v>
      </c>
      <c r="E49" s="228"/>
      <c r="F49" s="731" t="str">
        <f ca="1">IF(G49&lt;&gt;0,ResultEquityValue/G49,"-")</f>
        <v>-</v>
      </c>
      <c r="G49" s="722">
        <f ca="1">OFFSET(Calculations!$E$484,0,IF(EbitdaIndex&lt;MATCH(0,Calculations!$E$5:$N$5,0)-1,EbitdaIndex,EbitdaIndex+1))</f>
        <v>0</v>
      </c>
      <c r="H49" s="732" t="s">
        <v>1552</v>
      </c>
      <c r="I49" s="732"/>
      <c r="J49" s="732"/>
      <c r="K49" s="314"/>
      <c r="L49" s="252"/>
      <c r="M49" s="667" t="s">
        <v>1553</v>
      </c>
      <c r="N49" s="665"/>
      <c r="O49" s="666">
        <v>0</v>
      </c>
      <c r="P49" s="665"/>
      <c r="Q49" s="252"/>
    </row>
    <row r="50" spans="1:17" ht="5.15" hidden="1" customHeight="1" x14ac:dyDescent="0.35">
      <c r="A50" s="657"/>
      <c r="B50" s="285"/>
      <c r="C50" s="688"/>
      <c r="D50" s="228"/>
      <c r="E50" s="228"/>
      <c r="F50" s="679"/>
      <c r="G50" s="722"/>
      <c r="H50" s="228"/>
      <c r="I50" s="733"/>
      <c r="J50" s="733"/>
      <c r="K50" s="314"/>
      <c r="L50" s="285"/>
      <c r="M50" s="667" t="s">
        <v>1554</v>
      </c>
      <c r="N50" s="665"/>
      <c r="O50" s="666">
        <v>0</v>
      </c>
      <c r="P50" s="665"/>
      <c r="Q50" s="285"/>
    </row>
    <row r="51" spans="1:17" ht="12.75" customHeight="1" x14ac:dyDescent="0.35">
      <c r="A51" s="657"/>
      <c r="B51" s="285"/>
      <c r="C51" s="734"/>
      <c r="D51" s="735" t="s">
        <v>1555</v>
      </c>
      <c r="E51" s="736" t="s">
        <v>1556</v>
      </c>
      <c r="F51" s="737" t="s">
        <v>1185</v>
      </c>
      <c r="G51" s="228"/>
      <c r="H51" s="1477"/>
      <c r="I51" s="1477"/>
      <c r="J51" s="1477"/>
      <c r="K51" s="314"/>
      <c r="L51" s="285"/>
      <c r="M51" s="667" t="s">
        <v>1557</v>
      </c>
      <c r="N51" s="665"/>
      <c r="O51" s="666"/>
      <c r="P51" s="665"/>
      <c r="Q51" s="285"/>
    </row>
    <row r="52" spans="1:17" ht="12.75" customHeight="1" x14ac:dyDescent="0.35">
      <c r="A52" s="657"/>
      <c r="B52" s="285"/>
      <c r="C52" s="688" t="s">
        <v>39</v>
      </c>
      <c r="D52" s="738" t="s">
        <v>1558</v>
      </c>
      <c r="E52" s="739">
        <f ca="1">SUM(Calculations!$G$988:$N$988)+SUM(Calculations!$G$1012:$N$1012)-IF(InvFileType=2,SUM(Calculations!$G$1004:$N$1004)+SUM(Calculations!$G$1006:$N$1006),0)</f>
        <v>-8505000</v>
      </c>
      <c r="F52" s="739">
        <f ca="1">SUM(Calculations!$G$996:$N$996)+SUM(Calculations!$G$1013:$N$1013)-IF(InvFileType=2,SUM(Calculations!$G$1010:$N$1010),0)</f>
        <v>-8400548.4845077712</v>
      </c>
      <c r="G52" s="228"/>
      <c r="H52" s="1477"/>
      <c r="I52" s="1477"/>
      <c r="J52" s="1477"/>
      <c r="K52" s="314"/>
      <c r="L52" s="285"/>
      <c r="M52" s="667" t="s">
        <v>1559</v>
      </c>
      <c r="N52" s="665"/>
      <c r="O52" s="666"/>
      <c r="P52" s="665"/>
      <c r="Q52" s="285"/>
    </row>
    <row r="53" spans="1:17" ht="12.75" customHeight="1" x14ac:dyDescent="0.35">
      <c r="A53" s="657"/>
      <c r="B53" s="285"/>
      <c r="C53" s="688" t="s">
        <v>42</v>
      </c>
      <c r="D53" s="738" t="s">
        <v>1560</v>
      </c>
      <c r="E53" s="739">
        <f>SUM(Calculations!$G$989:$N$989)+SUM(Calculations!$G$993:$N$993)</f>
        <v>0</v>
      </c>
      <c r="F53" s="740">
        <f>SUM(Calculations!$G$997:$N$997)</f>
        <v>0</v>
      </c>
      <c r="G53" s="228"/>
      <c r="H53" s="1477"/>
      <c r="I53" s="1477"/>
      <c r="J53" s="1477"/>
      <c r="K53" s="314"/>
      <c r="L53" s="285"/>
      <c r="M53" s="667" t="s">
        <v>1561</v>
      </c>
      <c r="N53" s="665"/>
      <c r="O53" s="666"/>
      <c r="P53" s="665"/>
      <c r="Q53" s="285"/>
    </row>
    <row r="54" spans="1:17" ht="12.75" hidden="1" customHeight="1" x14ac:dyDescent="0.35">
      <c r="A54" s="657"/>
      <c r="B54" s="285"/>
      <c r="C54" s="688" t="s">
        <v>39</v>
      </c>
      <c r="D54" s="741" t="s">
        <v>1562</v>
      </c>
      <c r="E54" s="742">
        <f>SUM(Calculations!$G$992:$N$992)+IF(InvFileType=2,SUM(Calculations!$G$1004:$N$1004),0)</f>
        <v>0</v>
      </c>
      <c r="F54" s="743">
        <f>SUM(Calculations!$G$998:$N$998)+IF(InvFileType=2,SUM(Calculations!$G$1010:$N$1010),0)</f>
        <v>0</v>
      </c>
      <c r="G54" s="228"/>
      <c r="H54" s="1477"/>
      <c r="I54" s="1477"/>
      <c r="J54" s="1477"/>
      <c r="K54" s="314"/>
      <c r="L54" s="285"/>
      <c r="M54" s="667" t="s">
        <v>1563</v>
      </c>
      <c r="N54" s="665"/>
      <c r="O54" s="666"/>
      <c r="P54" s="665"/>
      <c r="Q54" s="285"/>
    </row>
    <row r="55" spans="1:17" ht="12.75" customHeight="1" x14ac:dyDescent="0.35">
      <c r="A55" s="657"/>
      <c r="B55" s="285"/>
      <c r="C55" s="688"/>
      <c r="D55" s="744" t="s">
        <v>1555</v>
      </c>
      <c r="E55" s="745">
        <f ca="1">E52+E53+E54</f>
        <v>-8505000</v>
      </c>
      <c r="F55" s="745">
        <f ca="1">F52+F53+F54</f>
        <v>-8400548.4845077712</v>
      </c>
      <c r="G55" s="228"/>
      <c r="H55" s="1477"/>
      <c r="I55" s="1477"/>
      <c r="J55" s="1477"/>
      <c r="K55" s="314"/>
      <c r="L55" s="285"/>
      <c r="M55" s="667" t="s">
        <v>1564</v>
      </c>
      <c r="N55" s="665"/>
      <c r="O55" s="666"/>
      <c r="P55" s="665"/>
      <c r="Q55" s="285"/>
    </row>
    <row r="56" spans="1:17" ht="5.15" customHeight="1" x14ac:dyDescent="0.35">
      <c r="A56" s="657"/>
      <c r="B56" s="285"/>
      <c r="C56" s="688"/>
      <c r="D56" s="228"/>
      <c r="E56" s="228"/>
      <c r="F56" s="679"/>
      <c r="G56" s="228"/>
      <c r="H56" s="228"/>
      <c r="I56" s="228"/>
      <c r="J56" s="228"/>
      <c r="K56" s="314"/>
      <c r="L56" s="285"/>
      <c r="M56" s="667" t="s">
        <v>1565</v>
      </c>
      <c r="N56" s="665"/>
      <c r="O56" s="666"/>
      <c r="P56" s="665"/>
      <c r="Q56" s="285"/>
    </row>
    <row r="57" spans="1:17" ht="14.15" customHeight="1" x14ac:dyDescent="0.35">
      <c r="A57" s="746" t="s">
        <v>1566</v>
      </c>
      <c r="B57" s="285"/>
      <c r="C57" s="688"/>
      <c r="D57" s="747" t="s">
        <v>1567</v>
      </c>
      <c r="E57" s="747"/>
      <c r="F57" s="748">
        <f ca="1">IF(OR(InvOrAcq=2,InvFileType=2),ResultEquityValue,TotalPV)+ResultInvestmentProposalPV</f>
        <v>39895817.305392884</v>
      </c>
      <c r="G57" s="749"/>
      <c r="H57" s="306" t="str">
        <f ca="1">IF(ROUND(F57,3)=0,"",IF(F57&gt;=0,"&gt;= 0","&lt; 0"))</f>
        <v>&gt;= 0</v>
      </c>
      <c r="I57" s="750" t="str">
        <f ca="1">IF(J57&lt;&gt;"","-&gt;","")</f>
        <v>-&gt;</v>
      </c>
      <c r="J57" s="228" t="str">
        <f ca="1">IF(AND(ShowConclusions,$F$8&lt;&gt;0),IF(F57&gt;-0.00001,$A$57,$A$58),"")</f>
        <v xml:space="preserve"> profitable</v>
      </c>
      <c r="K57" s="314"/>
      <c r="L57" s="285"/>
      <c r="M57" s="667" t="s">
        <v>1568</v>
      </c>
      <c r="N57" s="665"/>
      <c r="O57" s="666"/>
      <c r="P57" s="665"/>
      <c r="Q57" s="285"/>
    </row>
    <row r="58" spans="1:17" ht="13" customHeight="1" x14ac:dyDescent="0.35">
      <c r="A58" s="746" t="s">
        <v>1569</v>
      </c>
      <c r="B58" s="285"/>
      <c r="C58" s="688"/>
      <c r="D58" s="228" t="s">
        <v>1570</v>
      </c>
      <c r="E58" s="228"/>
      <c r="F58" s="679">
        <f ca="1">IF(NOT(ISERROR(G58)),G58,"-")</f>
        <v>670313.33650920226</v>
      </c>
      <c r="G58" s="722">
        <f ca="1">ResultNPV*((DiscMonth*(1+DiscMonth)^(InvTime*12+InvTimeMonths+InvTime2*12+InvTimeMonths2))/((1+DiscMonth)^(InvTime*12+InvTimeMonths+InvTime2*12+InvTimeMonths2)-1))</f>
        <v>670313.33650920226</v>
      </c>
      <c r="H58" s="1477"/>
      <c r="I58" s="1480"/>
      <c r="J58" s="1480"/>
      <c r="K58" s="314"/>
      <c r="L58" s="285"/>
      <c r="M58" s="667" t="s">
        <v>1571</v>
      </c>
      <c r="N58" s="665"/>
      <c r="O58" s="666"/>
      <c r="P58" s="665"/>
      <c r="Q58" s="285"/>
    </row>
    <row r="59" spans="1:17" ht="5.15" customHeight="1" x14ac:dyDescent="0.35">
      <c r="A59" s="657"/>
      <c r="B59" s="285"/>
      <c r="C59" s="688"/>
      <c r="D59" s="228"/>
      <c r="E59" s="228"/>
      <c r="F59" s="679"/>
      <c r="G59" s="722"/>
      <c r="H59" s="228"/>
      <c r="I59" s="733"/>
      <c r="J59" s="733"/>
      <c r="K59" s="314"/>
      <c r="L59" s="285"/>
      <c r="M59" s="667" t="s">
        <v>1572</v>
      </c>
      <c r="N59" s="665"/>
      <c r="O59" s="666"/>
      <c r="P59" s="665"/>
      <c r="Q59" s="285"/>
    </row>
    <row r="60" spans="1:17" ht="13" hidden="1" customHeight="1" x14ac:dyDescent="0.35">
      <c r="A60" s="657"/>
      <c r="B60" s="285"/>
      <c r="C60" s="233"/>
      <c r="D60" s="228" t="s">
        <v>1573</v>
      </c>
      <c r="E60" s="228"/>
      <c r="F60" s="679">
        <f ca="1">IF(NOT(ISERROR(G60)),G60,"-")</f>
        <v>1714954.5442129129</v>
      </c>
      <c r="G60" s="722">
        <f ca="1">PMT((1+DiscMonth)^12-1,F10,SUM(DiscTotalInvestment),0,)</f>
        <v>1714954.5442129129</v>
      </c>
      <c r="H60" s="228" t="s">
        <v>1574</v>
      </c>
      <c r="I60" s="228"/>
      <c r="J60" s="228"/>
      <c r="K60" s="314"/>
      <c r="L60" s="751"/>
      <c r="M60" s="752" t="s">
        <v>1575</v>
      </c>
      <c r="N60" s="665"/>
      <c r="O60" s="666">
        <v>0</v>
      </c>
      <c r="P60" s="665">
        <v>1</v>
      </c>
      <c r="Q60" s="285"/>
    </row>
    <row r="61" spans="1:17" ht="5.15" hidden="1" customHeight="1" x14ac:dyDescent="0.35">
      <c r="A61" s="657"/>
      <c r="B61" s="285"/>
      <c r="C61" s="233"/>
      <c r="D61" s="228"/>
      <c r="E61" s="228"/>
      <c r="F61" s="679"/>
      <c r="G61" s="722"/>
      <c r="H61" s="228"/>
      <c r="I61" s="228"/>
      <c r="J61" s="228"/>
      <c r="K61" s="314"/>
      <c r="L61" s="751"/>
      <c r="M61" s="752" t="s">
        <v>1576</v>
      </c>
      <c r="N61" s="665"/>
      <c r="O61" s="666">
        <v>0</v>
      </c>
      <c r="P61" s="665">
        <v>1</v>
      </c>
      <c r="Q61" s="285"/>
    </row>
    <row r="62" spans="1:17" ht="12.75" hidden="1" customHeight="1" x14ac:dyDescent="0.35">
      <c r="A62" s="657"/>
      <c r="B62" s="285"/>
      <c r="C62" s="233"/>
      <c r="D62" s="753" t="s">
        <v>1016</v>
      </c>
      <c r="E62" s="754"/>
      <c r="F62" s="755">
        <f ca="1">OFFSET(F133,E133,0)</f>
        <v>43708</v>
      </c>
      <c r="G62" s="722"/>
      <c r="H62" s="1477"/>
      <c r="I62" s="1477"/>
      <c r="J62" s="1477"/>
      <c r="K62" s="314"/>
      <c r="L62" s="751"/>
      <c r="M62" s="752" t="s">
        <v>1577</v>
      </c>
      <c r="N62" s="665"/>
      <c r="O62" s="666">
        <v>0</v>
      </c>
      <c r="P62" s="665">
        <v>1</v>
      </c>
      <c r="Q62" s="285"/>
    </row>
    <row r="63" spans="1:17" ht="12.75" hidden="1" customHeight="1" x14ac:dyDescent="0.35">
      <c r="A63" s="657"/>
      <c r="B63" s="285"/>
      <c r="C63" s="734"/>
      <c r="D63" s="233" t="s">
        <v>1578</v>
      </c>
      <c r="E63" s="228"/>
      <c r="F63" s="756">
        <f ca="1">OFFSET(Calculations!$G$834,0,CalcPoint)</f>
        <v>0</v>
      </c>
      <c r="G63" s="722"/>
      <c r="H63" s="1477"/>
      <c r="I63" s="1477"/>
      <c r="J63" s="1477"/>
      <c r="K63" s="314"/>
      <c r="L63" s="751"/>
      <c r="M63" s="752" t="s">
        <v>1579</v>
      </c>
      <c r="N63" s="665"/>
      <c r="O63" s="666">
        <v>0</v>
      </c>
      <c r="P63" s="665">
        <v>1</v>
      </c>
      <c r="Q63" s="285"/>
    </row>
    <row r="64" spans="1:17" ht="12.75" hidden="1" customHeight="1" x14ac:dyDescent="0.35">
      <c r="A64" s="657"/>
      <c r="B64" s="285"/>
      <c r="C64" s="734"/>
      <c r="D64" s="233" t="s">
        <v>1580</v>
      </c>
      <c r="E64" s="228"/>
      <c r="F64" s="756">
        <f ca="1">OFFSET(Calculations!$G$835,0,CalcPoint)</f>
        <v>57245949.454775512</v>
      </c>
      <c r="G64" s="722"/>
      <c r="H64" s="1477"/>
      <c r="I64" s="1477"/>
      <c r="J64" s="1477"/>
      <c r="K64" s="314"/>
      <c r="L64" s="751"/>
      <c r="M64" s="752" t="s">
        <v>1581</v>
      </c>
      <c r="N64" s="665"/>
      <c r="O64" s="666">
        <v>0</v>
      </c>
      <c r="P64" s="665">
        <v>1</v>
      </c>
      <c r="Q64" s="285"/>
    </row>
    <row r="65" spans="1:17" ht="12.75" hidden="1" customHeight="1" x14ac:dyDescent="0.35">
      <c r="A65" s="657"/>
      <c r="B65" s="285"/>
      <c r="C65" s="233"/>
      <c r="D65" s="753" t="str">
        <f ca="1">IF(ResultControlValue&lt;0,"Impairment loss","Control value")&amp;" (B - A)"</f>
        <v>Control value (B - A)</v>
      </c>
      <c r="E65" s="754"/>
      <c r="F65" s="757">
        <f ca="1">ResultValueInUse-ResultBookValue</f>
        <v>57245949.454775512</v>
      </c>
      <c r="G65" s="722"/>
      <c r="H65" s="1477"/>
      <c r="I65" s="1477"/>
      <c r="J65" s="1477"/>
      <c r="K65" s="314"/>
      <c r="L65" s="751"/>
      <c r="M65" s="752" t="s">
        <v>1582</v>
      </c>
      <c r="N65" s="665"/>
      <c r="O65" s="666">
        <v>0</v>
      </c>
      <c r="P65" s="665">
        <v>1</v>
      </c>
      <c r="Q65" s="285"/>
    </row>
    <row r="66" spans="1:17" ht="5.15" hidden="1" customHeight="1" x14ac:dyDescent="0.35">
      <c r="A66" s="657"/>
      <c r="B66" s="285"/>
      <c r="C66" s="233"/>
      <c r="D66" s="228"/>
      <c r="E66" s="228"/>
      <c r="F66" s="679"/>
      <c r="G66" s="722"/>
      <c r="H66" s="228"/>
      <c r="I66" s="228"/>
      <c r="J66" s="228"/>
      <c r="K66" s="314"/>
      <c r="L66" s="751"/>
      <c r="M66" s="752" t="s">
        <v>1583</v>
      </c>
      <c r="N66" s="665"/>
      <c r="O66" s="666">
        <v>0</v>
      </c>
      <c r="P66" s="665">
        <v>1</v>
      </c>
      <c r="Q66" s="285"/>
    </row>
    <row r="67" spans="1:17" ht="12.75" customHeight="1" x14ac:dyDescent="0.35">
      <c r="A67" s="657"/>
      <c r="B67" s="285"/>
      <c r="C67" s="233"/>
      <c r="D67" s="228" t="s">
        <v>1584</v>
      </c>
      <c r="E67" s="228"/>
      <c r="F67" s="758">
        <f ca="1">IF(DemoVersion=1,NA(),IF(ROUND(MinIRR*100,2)&lt;&gt;ROUND(MaxIRR*100,2),ROUND(MinIRR*100,2)&amp;" % / "&amp;ROUND(MaxIRR*100,2)&amp;" %",IF(NOT(ISERROR(G67)),G67,Specs!$G$75)))</f>
        <v>0.45335946086278023</v>
      </c>
      <c r="G67" s="722">
        <f ca="1">(1+IRR(IrrCashFlow,DiscMonth))^12-1</f>
        <v>0.45335946086278023</v>
      </c>
      <c r="H67" s="306" t="str">
        <f ca="1">IF(VariableRate&lt;&gt;1,IF(ISNUMBER(F67),IF(F67*100+0.00001&gt;=$F$9,"&gt;= ","&lt; ")&amp;ROUND($F$9,2)&amp;" %",""),"")</f>
        <v>&gt;= 2.75 %</v>
      </c>
      <c r="I67" s="750" t="str">
        <f ca="1">IF(J67&lt;&gt;"","-&gt;","")</f>
        <v>-&gt;</v>
      </c>
      <c r="J67" s="228" t="str">
        <f ca="1">IF(AND(ShowConclusions,$F$8&lt;&gt;0),IF(VariableRate&lt;&gt;1,IF(ISNUMBER($F67),IF($F67*100+0.00001&gt;=$F$9,$A$57,$A$58),""),""),"")</f>
        <v xml:space="preserve"> profitable</v>
      </c>
      <c r="K67" s="314"/>
      <c r="L67" s="285"/>
      <c r="M67" s="667" t="s">
        <v>1585</v>
      </c>
      <c r="N67" s="665"/>
      <c r="O67" s="666"/>
      <c r="P67" s="665"/>
      <c r="Q67" s="285"/>
    </row>
    <row r="68" spans="1:17" ht="12.75" hidden="1" customHeight="1" x14ac:dyDescent="0.35">
      <c r="A68" s="657"/>
      <c r="B68" s="285"/>
      <c r="C68" s="233"/>
      <c r="D68" s="228" t="s">
        <v>1586</v>
      </c>
      <c r="E68" s="228"/>
      <c r="F68" s="758">
        <f ca="1">IF(DemoVersion=1,NA(),IF(ROUND(MinIRRbt*100,2)&lt;&gt;ROUND(MaxIRRbt*100,2),ROUND(MinIRRbt*100,2)&amp;" % / "&amp;ROUND(MaxIRRbt*100,2)&amp;" %",IF(NOT(ISERROR(G68)),G68,Specs!$G$178)))</f>
        <v>0.59430318007658811</v>
      </c>
      <c r="G68" s="722">
        <f ca="1">(1+IRR(PreTaxCashFlow,DiscMonth))^12-1</f>
        <v>0.59430318007658811</v>
      </c>
      <c r="H68" s="306"/>
      <c r="I68" s="750"/>
      <c r="J68" s="228"/>
      <c r="K68" s="314"/>
      <c r="L68" s="285"/>
      <c r="M68" s="667" t="s">
        <v>1587</v>
      </c>
      <c r="N68" s="665"/>
      <c r="O68" s="666">
        <v>0</v>
      </c>
      <c r="P68" s="665"/>
      <c r="Q68" s="285"/>
    </row>
    <row r="69" spans="1:17" ht="12.75" customHeight="1" x14ac:dyDescent="0.35">
      <c r="A69" s="657"/>
      <c r="B69" s="285"/>
      <c r="C69" s="233"/>
      <c r="D69" s="228" t="s">
        <v>1588</v>
      </c>
      <c r="E69" s="228"/>
      <c r="F69" s="758">
        <f ca="1">IF(NOT(ISERROR(G69)),G69,"-")</f>
        <v>0.23840164667677533</v>
      </c>
      <c r="G69" s="722">
        <f ca="1">(1+MIRR(IrrCashFlow,DiscMonth,DiscMonth))^12-1</f>
        <v>0.23840164667677533</v>
      </c>
      <c r="H69" s="306" t="str">
        <f ca="1">IF(VariableRate&lt;&gt;1,IF(ISNUMBER(F69),IF(F69*100+0.00001&gt;=$F$9,"&gt;= ","&lt; ")&amp;ROUND($F$9,2)&amp;" %",""),"")</f>
        <v>&gt;= 2.75 %</v>
      </c>
      <c r="I69" s="750" t="str">
        <f ca="1">IF(J69&lt;&gt;"","-&gt;","")</f>
        <v>-&gt;</v>
      </c>
      <c r="J69" s="228" t="str">
        <f ca="1">IF(AND(ShowConclusions,$F$8&lt;&gt;0),IF(VariableRate&lt;&gt;1,IF(ISNUMBER($F69),IF($F69*100+0.00001&gt;=$F$9,$A$57,$A$58),""),""),"")</f>
        <v xml:space="preserve"> profitable</v>
      </c>
      <c r="K69" s="314"/>
      <c r="L69" s="285"/>
      <c r="M69" s="667" t="s">
        <v>1589</v>
      </c>
      <c r="N69" s="665"/>
      <c r="O69" s="666"/>
      <c r="P69" s="665"/>
      <c r="Q69" s="285"/>
    </row>
    <row r="70" spans="1:17" ht="12.75" customHeight="1" x14ac:dyDescent="0.35">
      <c r="A70" s="657"/>
      <c r="B70" s="285"/>
      <c r="C70" s="233"/>
      <c r="D70" s="228" t="s">
        <v>1590</v>
      </c>
      <c r="E70" s="228"/>
      <c r="F70" s="759">
        <f ca="1">IF(NOT(ISERROR(G70)),G70,"-")</f>
        <v>5.7491919579975583</v>
      </c>
      <c r="G70" s="722">
        <f ca="1">IF(ResultInvestmentProposalPV&gt;=0,"-",IF(OR(InvOrAcq=2,InvFileType=2),ResultEquityValue,TotalPV)/-ResultInvestmentProposalPV)</f>
        <v>5.7491919579975583</v>
      </c>
      <c r="H70" s="306" t="str">
        <f ca="1">IF(ISNUMBER(F70),IF(F70+0.00001&gt;=PILimit,"&gt;= "&amp;PILimit,"&lt; "&amp;PILimit),"")</f>
        <v>&gt;= 1</v>
      </c>
      <c r="I70" s="750" t="str">
        <f ca="1">IF(J70&lt;&gt;"","-&gt;","")</f>
        <v>-&gt;</v>
      </c>
      <c r="J70" s="228" t="str">
        <f ca="1">IF(AND(ShowConclusions,$F$8&lt;&gt;0),IF(ISNUMBER($F70),IF($F70+0.00001&gt;=1,$A$57,$A$58),""),"")</f>
        <v xml:space="preserve"> profitable</v>
      </c>
      <c r="K70" s="314"/>
      <c r="L70" s="285"/>
      <c r="M70" s="667" t="s">
        <v>1591</v>
      </c>
      <c r="N70" s="665"/>
      <c r="O70" s="666"/>
      <c r="P70" s="665"/>
      <c r="Q70" s="285"/>
    </row>
    <row r="71" spans="1:17" ht="5.15" customHeight="1" x14ac:dyDescent="0.35">
      <c r="A71" s="657"/>
      <c r="B71" s="285"/>
      <c r="C71" s="233"/>
      <c r="D71" s="228"/>
      <c r="E71" s="228"/>
      <c r="F71" s="313"/>
      <c r="G71" s="760"/>
      <c r="H71" s="228"/>
      <c r="I71" s="228"/>
      <c r="J71" s="228"/>
      <c r="K71" s="314"/>
      <c r="L71" s="285"/>
      <c r="M71" s="667" t="s">
        <v>1592</v>
      </c>
      <c r="N71" s="665"/>
      <c r="O71" s="666"/>
      <c r="P71" s="665"/>
      <c r="Q71" s="285"/>
    </row>
    <row r="72" spans="1:17" ht="13" customHeight="1" x14ac:dyDescent="0.35">
      <c r="A72" s="657"/>
      <c r="B72" s="285"/>
      <c r="C72" s="233"/>
      <c r="D72" s="228" t="s">
        <v>1593</v>
      </c>
      <c r="E72" s="228"/>
      <c r="F72" s="682">
        <f ca="1">IF(OFFSET(Calculations!$N$677,0,-1)&lt;0,"-",IF(ISERROR(IF(AND(SUM(F74)+0.00001&gt;0,(F74-F73)&lt;&gt;0),($I$130+($J$130-$I$130)*-F73/(F74-F73))/12,"-")),"-",IF(AND(SUM(F74)+0.00001&gt;0,(F74-F73)&lt;&gt;0),($I$130+($J$130-$I$130)*-F73/(F74-F73))/12,"-")))</f>
        <v>2.6216576699339078</v>
      </c>
      <c r="G72" s="760"/>
      <c r="H72" s="228" t="s">
        <v>1594</v>
      </c>
      <c r="I72" s="761"/>
      <c r="J72" s="761"/>
      <c r="K72" s="314"/>
      <c r="L72" s="285"/>
      <c r="M72" s="667" t="s">
        <v>1595</v>
      </c>
      <c r="N72" s="665"/>
      <c r="O72" s="666"/>
      <c r="P72" s="665"/>
      <c r="Q72" s="285"/>
    </row>
    <row r="73" spans="1:17" ht="11.15" hidden="1" customHeight="1" x14ac:dyDescent="0.35">
      <c r="A73" s="657"/>
      <c r="B73" s="285"/>
      <c r="C73" s="233"/>
      <c r="D73" s="228" t="str">
        <f ca="1">"Cumulative discounted free cash flow "&amp;IF(ISERROR($I$131),"",OFFSET(Calculations!$G$11,0,CalcPointPB))&amp;"-&gt;"&amp;IF(ISERROR($D$77),$F$77,$D$77)</f>
        <v>Cumulative discounted free cash flow 9/2019-&gt;12/2021</v>
      </c>
      <c r="E73" s="306"/>
      <c r="F73" s="679">
        <f ca="1">IF(ISERROR($I$131),"-",OFFSET(Calculations!$E$1037,0,$I$131+Calculations!$D$7-COLUMN(ID)-1))</f>
        <v>-2225035.2909782315</v>
      </c>
      <c r="G73" s="749"/>
      <c r="H73" s="306"/>
      <c r="I73" s="761"/>
      <c r="J73" s="761"/>
      <c r="K73" s="314"/>
      <c r="L73" s="285"/>
      <c r="M73" s="667" t="s">
        <v>1596</v>
      </c>
      <c r="N73" s="665"/>
      <c r="O73" s="666">
        <v>0</v>
      </c>
      <c r="P73" s="665">
        <v>1</v>
      </c>
      <c r="Q73" s="285"/>
    </row>
    <row r="74" spans="1:17" ht="11.15" hidden="1" customHeight="1" x14ac:dyDescent="0.35">
      <c r="A74" s="657"/>
      <c r="B74" s="285"/>
      <c r="C74" s="233"/>
      <c r="D74" s="228" t="str">
        <f ca="1">"Cumulative discounted free cash flow "&amp;IF(ISERROR($I$131),"",OFFSET(Calculations!$G$11,0,CalcPointPB))&amp;"-&gt;"&amp;IF(ISERROR($E$77),$F$77,IF($E$77=$D$77,$F$77,$E$77))</f>
        <v>Cumulative discounted free cash flow 9/2019-&gt;12/2022</v>
      </c>
      <c r="E74" s="306"/>
      <c r="F74" s="679">
        <f ca="1">IF(ISERROR($I$131),"-",OFFSET(Calculations!$E$1037,0,$I$131+Calculations!$D$7-COLUMN(ID)))</f>
        <v>5492090.9052077308</v>
      </c>
      <c r="G74" s="749"/>
      <c r="H74" s="733"/>
      <c r="I74" s="306"/>
      <c r="J74" s="306"/>
      <c r="K74" s="314"/>
      <c r="L74" s="285"/>
      <c r="M74" s="667" t="s">
        <v>1597</v>
      </c>
      <c r="N74" s="665"/>
      <c r="O74" s="666">
        <v>0</v>
      </c>
      <c r="P74" s="665">
        <v>1</v>
      </c>
      <c r="Q74" s="285"/>
    </row>
    <row r="75" spans="1:17" ht="12.75" hidden="1" customHeight="1" x14ac:dyDescent="0.35">
      <c r="A75" s="657"/>
      <c r="B75" s="285"/>
      <c r="C75" s="233"/>
      <c r="D75" s="228" t="s">
        <v>1598</v>
      </c>
      <c r="E75" s="306"/>
      <c r="F75" s="679" t="str">
        <f ca="1">OFFSET(Calculations!$G$11,0,CalcPointPB)</f>
        <v>9/2019</v>
      </c>
      <c r="G75" s="749"/>
      <c r="H75" s="733"/>
      <c r="I75" s="306"/>
      <c r="J75" s="306"/>
      <c r="K75" s="314"/>
      <c r="L75" s="285"/>
      <c r="M75" s="667" t="s">
        <v>1599</v>
      </c>
      <c r="N75" s="665"/>
      <c r="O75" s="666">
        <v>0</v>
      </c>
      <c r="P75" s="665">
        <v>1</v>
      </c>
      <c r="Q75" s="285"/>
    </row>
    <row r="76" spans="1:17" ht="12.75" hidden="1" customHeight="1" x14ac:dyDescent="0.35">
      <c r="A76" s="657"/>
      <c r="B76" s="285"/>
      <c r="C76" s="233"/>
      <c r="D76" s="228" t="s">
        <v>1600</v>
      </c>
      <c r="E76" s="306"/>
      <c r="F76" s="682">
        <f ca="1">IF(OFFSET(Calculations!$N$1219,0,-1)&lt;0,"-",IF(ISERROR(IF(AND(SUM(J141)+0.00001&gt;0,(J141-J140)&lt;&gt;0),($I$138+($J$138-$I$138)*-J140/(J141-J140))/12,"-")),"-",IF(AND(SUM(J141)+0.00001&gt;0,(J141-J140)&lt;&gt;0),($I$138+($J$138-$I$138)*-J140/(J141-J140))/12,"-")))</f>
        <v>2.5114354093822029</v>
      </c>
      <c r="G76" s="749"/>
      <c r="H76" s="228" t="s">
        <v>1601</v>
      </c>
      <c r="I76" s="306"/>
      <c r="J76" s="306"/>
      <c r="K76" s="314"/>
      <c r="L76" s="285"/>
      <c r="M76" s="667" t="s">
        <v>1602</v>
      </c>
      <c r="N76" s="665"/>
      <c r="O76" s="666">
        <v>0</v>
      </c>
      <c r="P76" s="665">
        <v>1</v>
      </c>
      <c r="Q76" s="285"/>
    </row>
    <row r="77" spans="1:17" ht="5.15" customHeight="1" x14ac:dyDescent="0.35">
      <c r="A77" s="657"/>
      <c r="B77" s="285"/>
      <c r="C77" s="233"/>
      <c r="D77" s="762" t="str">
        <f ca="1">OFFSET(Calculations!$E$1036,0,$I$131+Calculations!$D$7-COLUMN(ID)-1)</f>
        <v>12/2021</v>
      </c>
      <c r="E77" s="762" t="str">
        <f ca="1">OFFSET(Calculations!$E$1036,0,$I$131+Calculations!$D$7-COLUMN(ID))</f>
        <v>12/2022</v>
      </c>
      <c r="F77" s="763" t="s">
        <v>1241</v>
      </c>
      <c r="G77" s="749"/>
      <c r="H77" s="733"/>
      <c r="I77" s="306"/>
      <c r="J77" s="306"/>
      <c r="K77" s="314"/>
      <c r="L77" s="285"/>
      <c r="M77" s="667" t="s">
        <v>1603</v>
      </c>
      <c r="N77" s="665"/>
      <c r="O77" s="666"/>
      <c r="P77" s="665"/>
      <c r="Q77" s="285"/>
    </row>
    <row r="78" spans="1:17" ht="12.75" customHeight="1" x14ac:dyDescent="0.35">
      <c r="A78" s="663">
        <f t="array" aca="1" ref="A78" ca="1">SUM((CumMonths&gt;0)*(CumMonths&lt;=ResultRonaMonths)*(Calculations!$G$1:$N$1=FinMonth)*(Calculations!$G$1014:$N$1014))</f>
        <v>4.7999098944888239</v>
      </c>
      <c r="B78" s="285"/>
      <c r="C78" s="233"/>
      <c r="D78" s="228" t="s">
        <v>641</v>
      </c>
      <c r="E78" s="228"/>
      <c r="F78" s="764">
        <f ca="1">IF(NOT(ISERROR(G78)),G78,"-")</f>
        <v>0.79998498241480398</v>
      </c>
      <c r="G78" s="762">
        <f ca="1">$A$78/$N$78</f>
        <v>0.79998498241480398</v>
      </c>
      <c r="H78" s="228" t="str">
        <f ca="1">"Average "&amp;IF(NOT(ISERROR($N78)),$N78&amp;" years","-")</f>
        <v>Average 6 years</v>
      </c>
      <c r="I78" s="228"/>
      <c r="J78" s="228"/>
      <c r="K78" s="314"/>
      <c r="L78" s="285"/>
      <c r="M78" s="667" t="s">
        <v>1604</v>
      </c>
      <c r="N78" s="666">
        <f t="array" aca="1" ref="N78" ca="1">SUM((CumMonths&gt;0)*(CumMonths&lt;=ResultRonaMonths)*(Calculations!$G$1:$N$1=FinMonth)*(Calculations!$G$5:$N$5&gt;=0))</f>
        <v>6</v>
      </c>
      <c r="O78" s="666"/>
      <c r="P78" s="665"/>
      <c r="Q78" s="285"/>
    </row>
    <row r="79" spans="1:17" ht="12.75" customHeight="1" x14ac:dyDescent="0.35">
      <c r="A79" s="663">
        <f t="array" aca="1" ref="A79" ca="1">SUM((CumMonths&gt;0)*(CumMonths&lt;=ResultEVAMonths)*(Calculations!$G$1:$N$1=FinMonth)*(Calculations!$G$1015:$N$1015))</f>
        <v>46918916.489234462</v>
      </c>
      <c r="B79" s="285"/>
      <c r="C79" s="233"/>
      <c r="D79" s="228" t="s">
        <v>643</v>
      </c>
      <c r="E79" s="228"/>
      <c r="F79" s="679">
        <f ca="1">IF(NOT(ISERROR(G79)),G79,"-")</f>
        <v>7819819.4148724107</v>
      </c>
      <c r="G79" s="762">
        <f ca="1">$A$79/$N$79</f>
        <v>7819819.4148724107</v>
      </c>
      <c r="H79" s="228" t="str">
        <f ca="1">"Average "&amp;IF(NOT(ISERROR($N79)),$N79&amp;" years","-")</f>
        <v>Average 6 years</v>
      </c>
      <c r="I79" s="228"/>
      <c r="J79" s="228"/>
      <c r="K79" s="314"/>
      <c r="L79" s="285"/>
      <c r="M79" s="667" t="s">
        <v>1605</v>
      </c>
      <c r="N79" s="666">
        <f t="array" aca="1" ref="N79" ca="1">SUM((CumMonths&gt;0)*(CumMonths&lt;=ResultEVAMonths)*(Calculations!$G$1:$N$1=FinMonth)*(Calculations!$G$5:$N$5&gt;=0))</f>
        <v>6</v>
      </c>
      <c r="O79" s="666"/>
      <c r="P79" s="665"/>
      <c r="Q79" s="285"/>
    </row>
    <row r="80" spans="1:17" ht="5.15" customHeight="1" x14ac:dyDescent="0.35">
      <c r="A80" s="657"/>
      <c r="B80" s="285"/>
      <c r="C80" s="233"/>
      <c r="D80" s="285"/>
      <c r="E80" s="285"/>
      <c r="F80" s="285"/>
      <c r="G80" s="306"/>
      <c r="H80" s="733"/>
      <c r="I80" s="306"/>
      <c r="J80" s="306"/>
      <c r="K80" s="314"/>
      <c r="L80" s="285"/>
      <c r="M80" s="667" t="s">
        <v>1606</v>
      </c>
      <c r="N80" s="665"/>
      <c r="O80" s="666"/>
      <c r="P80" s="665"/>
      <c r="Q80" s="285"/>
    </row>
    <row r="81" spans="1:17" ht="13" customHeight="1" x14ac:dyDescent="0.35">
      <c r="A81" s="657"/>
      <c r="B81" s="285"/>
      <c r="C81" s="688"/>
      <c r="D81" s="228" t="s">
        <v>645</v>
      </c>
      <c r="E81" s="228"/>
      <c r="F81" s="679">
        <f ca="1">IF(DcvaCG&lt;&gt;2,Calculations!$N$513,Calculations!$N$529)-IF(InvOrAcq&lt;&gt;2,0,-ResultInvestmentProposalPV-IF(AdjustDCVAwNetDebt=1,ResultNetDebt+OFFSET(Calculations!$G$516,0,1),0))+SUM(Calculations!$G$1168:$N$1168)</f>
        <v>39345017.293103077</v>
      </c>
      <c r="G81" s="722"/>
      <c r="H81" s="1477"/>
      <c r="I81" s="1480"/>
      <c r="J81" s="1480"/>
      <c r="K81" s="314"/>
      <c r="L81" s="285"/>
      <c r="M81" s="264" t="s">
        <v>1607</v>
      </c>
      <c r="N81" s="665"/>
      <c r="O81" s="666"/>
      <c r="P81" s="665"/>
      <c r="Q81" s="285"/>
    </row>
    <row r="82" spans="1:17" ht="5.15" customHeight="1" x14ac:dyDescent="0.35">
      <c r="A82" s="657"/>
      <c r="B82" s="285"/>
      <c r="C82" s="233"/>
      <c r="D82" s="228"/>
      <c r="E82" s="228"/>
      <c r="F82" s="679"/>
      <c r="G82" s="722"/>
      <c r="H82" s="228"/>
      <c r="I82" s="733"/>
      <c r="J82" s="733"/>
      <c r="K82" s="314"/>
      <c r="L82" s="285"/>
      <c r="M82" s="264" t="s">
        <v>1608</v>
      </c>
      <c r="N82" s="665"/>
      <c r="O82" s="666">
        <v>0</v>
      </c>
      <c r="P82" s="665"/>
      <c r="Q82" s="285"/>
    </row>
    <row r="83" spans="1:17" ht="12.75" customHeight="1" x14ac:dyDescent="0.35">
      <c r="A83" s="657"/>
      <c r="B83" s="285"/>
      <c r="C83" s="233"/>
      <c r="D83" s="228" t="s">
        <v>1609</v>
      </c>
      <c r="E83" s="228"/>
      <c r="F83" s="758"/>
      <c r="G83" s="722"/>
      <c r="H83" s="306" t="str">
        <f>IF(ISNUMBER(F83),IF(F83*100+0.00001&gt;=$F$9,"&gt;= ","&lt; ")&amp;ROUND($F$9,2)&amp;" %","")</f>
        <v/>
      </c>
      <c r="I83" s="750" t="str">
        <f>IF(J83&lt;&gt;"","-&gt;","")</f>
        <v/>
      </c>
      <c r="J83" s="228" t="str">
        <f>IF(ShowConclusions,IF(ISNUMBER($F83),IF($F83*100+0.00001&gt;=$F$9,$A$57,$A$58),""),"")</f>
        <v/>
      </c>
      <c r="K83" s="314"/>
      <c r="L83" s="285"/>
      <c r="M83" s="264" t="s">
        <v>1610</v>
      </c>
      <c r="N83" s="665"/>
      <c r="O83" s="666">
        <v>0</v>
      </c>
      <c r="P83" s="665"/>
      <c r="Q83" s="285"/>
    </row>
    <row r="84" spans="1:17" ht="12.75" customHeight="1" x14ac:dyDescent="0.35">
      <c r="A84" s="657"/>
      <c r="B84" s="285"/>
      <c r="C84" s="233"/>
      <c r="D84" s="228" t="s">
        <v>1611</v>
      </c>
      <c r="E84" s="228"/>
      <c r="F84" s="758"/>
      <c r="G84" s="722"/>
      <c r="H84" s="306" t="str">
        <f>IF(ISNUMBER(F84),IF(F84*100+0.00001&gt;=$F$9,"&gt;= ","&lt; ")&amp;ROUND($F$9,2)&amp;" %","")</f>
        <v/>
      </c>
      <c r="I84" s="750" t="str">
        <f>IF(J84&lt;&gt;"","-&gt;","")</f>
        <v/>
      </c>
      <c r="J84" s="228" t="str">
        <f>IF(ShowConclusions,IF(ISNUMBER($F84),IF($F84*100+0.00001&gt;=$F$9,$A$57,$A$58),""),"")</f>
        <v/>
      </c>
      <c r="K84" s="314"/>
      <c r="L84" s="285"/>
      <c r="M84" s="264" t="s">
        <v>1612</v>
      </c>
      <c r="N84" s="665"/>
      <c r="O84" s="666">
        <v>0</v>
      </c>
      <c r="P84" s="665"/>
      <c r="Q84" s="285"/>
    </row>
    <row r="85" spans="1:17" ht="5.15" customHeight="1" x14ac:dyDescent="0.35">
      <c r="A85" s="657"/>
      <c r="B85" s="285"/>
      <c r="C85" s="233"/>
      <c r="D85" s="228"/>
      <c r="E85" s="228"/>
      <c r="F85" s="679"/>
      <c r="G85" s="722"/>
      <c r="H85" s="228"/>
      <c r="I85" s="733"/>
      <c r="J85" s="733"/>
      <c r="K85" s="314"/>
      <c r="L85" s="285"/>
      <c r="M85" s="264" t="s">
        <v>1613</v>
      </c>
      <c r="N85" s="665"/>
      <c r="O85" s="666">
        <v>0</v>
      </c>
      <c r="P85" s="665"/>
      <c r="Q85" s="285"/>
    </row>
    <row r="86" spans="1:17" ht="12.75" customHeight="1" x14ac:dyDescent="0.35">
      <c r="A86" s="657"/>
      <c r="B86" s="285"/>
      <c r="C86" s="233"/>
      <c r="D86" s="228" t="s">
        <v>1614</v>
      </c>
      <c r="E86" s="228"/>
      <c r="F86" s="765">
        <f ca="1">IF(OFFSET(Calculations!$N$513,0,-1)&lt;0,"-",IF(ISERROR(IF(AND(SUM(F88)+0.00001&gt;0,(F88-F87)&lt;&gt;0),($K$130+($L$130-$K$130)*-F87/(F88-F87))/12,"-")),"-",IF(AND(SUM(F88)+0.00001&gt;0,(F88-F87)&lt;&gt;0),($K$130+($L$130-$K$130)*-F87/(F88-F87))/12,"-")))</f>
        <v>5.6073630246727749E-15</v>
      </c>
      <c r="G86" s="722"/>
      <c r="H86" s="228"/>
      <c r="I86" s="733"/>
      <c r="J86" s="733"/>
      <c r="K86" s="314"/>
      <c r="L86" s="285"/>
      <c r="M86" s="264" t="s">
        <v>1615</v>
      </c>
      <c r="N86" s="665"/>
      <c r="O86" s="666">
        <v>0</v>
      </c>
      <c r="P86" s="665"/>
      <c r="Q86" s="285"/>
    </row>
    <row r="87" spans="1:17" ht="11.15" hidden="1" customHeight="1" x14ac:dyDescent="0.35">
      <c r="A87" s="657"/>
      <c r="B87" s="285"/>
      <c r="C87" s="233"/>
      <c r="D87" s="228" t="str">
        <f ca="1">"Cumulative discounted value added "&amp;IF(ISERROR($I$131),"",OFFSET(Calculations!$G$11,0,CalcPointPB))&amp;"-&gt;"&amp;IF(ISERROR($D$90),$F$90,$D$90)</f>
        <v>Cumulative discounted value added 9/2019-&gt;9/2019</v>
      </c>
      <c r="E87" s="228"/>
      <c r="F87" s="679">
        <f ca="1">IF(ISERROR($K$131),"-",OFFSET(Calculations!$E$1212,0,$K$131+Calculations!$D$7-COLUMN(ID)-1))</f>
        <v>-1.0000000000000001E-9</v>
      </c>
      <c r="G87" s="722"/>
      <c r="H87" s="228"/>
      <c r="I87" s="733"/>
      <c r="J87" s="733"/>
      <c r="K87" s="314"/>
      <c r="L87" s="285"/>
      <c r="M87" s="264" t="s">
        <v>1616</v>
      </c>
      <c r="N87" s="665"/>
      <c r="O87" s="666">
        <v>0</v>
      </c>
      <c r="P87" s="665">
        <v>1</v>
      </c>
      <c r="Q87" s="285"/>
    </row>
    <row r="88" spans="1:17" ht="11.15" hidden="1" customHeight="1" x14ac:dyDescent="0.35">
      <c r="A88" s="657"/>
      <c r="B88" s="285"/>
      <c r="C88" s="233"/>
      <c r="D88" s="228" t="str">
        <f ca="1">"Cumulative discounted value added "&amp;IF(ISERROR($I$131),"",OFFSET(Calculations!$G$11,0,CalcPointPB))&amp;"-&gt;"&amp;IF(ISERROR($E$90),$F$90,IF($E$90=$D$90,$F$90,$E$90))</f>
        <v>Cumulative discounted value added 9/2019-&gt;12/2019</v>
      </c>
      <c r="E88" s="228"/>
      <c r="F88" s="679">
        <f ca="1">IF(ISERROR($K$131),"-",OFFSET(Calculations!$E$1212,0,$K$131+Calculations!$D$7-COLUMN(ID)))</f>
        <v>59445.648848957819</v>
      </c>
      <c r="G88" s="722"/>
      <c r="H88" s="228"/>
      <c r="I88" s="733"/>
      <c r="J88" s="733"/>
      <c r="K88" s="314"/>
      <c r="L88" s="285"/>
      <c r="M88" s="264" t="s">
        <v>1617</v>
      </c>
      <c r="N88" s="665"/>
      <c r="O88" s="666">
        <v>0</v>
      </c>
      <c r="P88" s="665">
        <v>1</v>
      </c>
      <c r="Q88" s="285"/>
    </row>
    <row r="89" spans="1:17" ht="12.75" hidden="1" customHeight="1" x14ac:dyDescent="0.35">
      <c r="A89" s="657"/>
      <c r="B89" s="285"/>
      <c r="C89" s="233"/>
      <c r="D89" s="228" t="s">
        <v>1598</v>
      </c>
      <c r="E89" s="228"/>
      <c r="F89" s="679" t="str">
        <f ca="1">OFFSET(Calculations!$G$11,0,CalcPointPB)</f>
        <v>9/2019</v>
      </c>
      <c r="G89" s="722"/>
      <c r="H89" s="228"/>
      <c r="I89" s="733"/>
      <c r="J89" s="733"/>
      <c r="K89" s="314"/>
      <c r="L89" s="285"/>
      <c r="M89" s="264" t="s">
        <v>1618</v>
      </c>
      <c r="N89" s="665"/>
      <c r="O89" s="666">
        <v>0</v>
      </c>
      <c r="P89" s="665">
        <v>1</v>
      </c>
      <c r="Q89" s="285"/>
    </row>
    <row r="90" spans="1:17" ht="5.15" customHeight="1" x14ac:dyDescent="0.35">
      <c r="A90" s="657"/>
      <c r="B90" s="285"/>
      <c r="C90" s="766"/>
      <c r="D90" s="762" t="str">
        <f ca="1">OFFSET(Calculations!$E$1211,0,$K$131+Calculations!$D$7-COLUMN(ID)-1)</f>
        <v>9/2019</v>
      </c>
      <c r="E90" s="762" t="str">
        <f ca="1">OFFSET(Calculations!$E$1211,0,$K$131+Calculations!$D$7-COLUMN(ID))</f>
        <v>12/2019</v>
      </c>
      <c r="F90" s="722" t="s">
        <v>1241</v>
      </c>
      <c r="G90" s="722"/>
      <c r="H90" s="228"/>
      <c r="I90" s="733"/>
      <c r="J90" s="733"/>
      <c r="K90" s="314"/>
      <c r="L90" s="285"/>
      <c r="M90" s="264" t="s">
        <v>1619</v>
      </c>
      <c r="N90" s="665"/>
      <c r="O90" s="666"/>
      <c r="P90" s="665"/>
      <c r="Q90" s="285"/>
    </row>
    <row r="91" spans="1:17" ht="14.15" hidden="1" customHeight="1" x14ac:dyDescent="0.35">
      <c r="A91" s="657"/>
      <c r="B91" s="285"/>
      <c r="C91" s="674"/>
      <c r="D91" s="675" t="s">
        <v>1620</v>
      </c>
      <c r="E91" s="227"/>
      <c r="F91" s="767"/>
      <c r="G91" s="227"/>
      <c r="H91" s="768"/>
      <c r="I91" s="227"/>
      <c r="J91" s="227"/>
      <c r="K91" s="245"/>
      <c r="L91" s="285"/>
      <c r="M91" s="667" t="s">
        <v>1621</v>
      </c>
      <c r="N91" s="665"/>
      <c r="O91" s="666">
        <v>0</v>
      </c>
      <c r="P91" s="665"/>
      <c r="Q91" s="285"/>
    </row>
    <row r="92" spans="1:17" ht="5.15" hidden="1" customHeight="1" x14ac:dyDescent="0.35">
      <c r="A92" s="657"/>
      <c r="B92" s="285"/>
      <c r="C92" s="233"/>
      <c r="D92" s="228"/>
      <c r="E92" s="228"/>
      <c r="F92" s="679"/>
      <c r="G92" s="228"/>
      <c r="H92" s="763"/>
      <c r="I92" s="228"/>
      <c r="J92" s="228"/>
      <c r="K92" s="314"/>
      <c r="L92" s="285"/>
      <c r="M92" s="667" t="s">
        <v>1622</v>
      </c>
      <c r="N92" s="665"/>
      <c r="O92" s="666">
        <v>0</v>
      </c>
      <c r="P92" s="665"/>
      <c r="Q92" s="285"/>
    </row>
    <row r="93" spans="1:17" ht="12.75" hidden="1" customHeight="1" x14ac:dyDescent="0.35">
      <c r="A93" s="657"/>
      <c r="B93" s="285"/>
      <c r="C93" s="233"/>
      <c r="D93" s="228" t="s">
        <v>1623</v>
      </c>
      <c r="E93" s="228"/>
      <c r="F93" s="681">
        <f>DiscYearEquity</f>
        <v>0</v>
      </c>
      <c r="G93" s="762"/>
      <c r="H93" s="1477"/>
      <c r="I93" s="1480"/>
      <c r="J93" s="1480"/>
      <c r="K93" s="314"/>
      <c r="L93" s="285"/>
      <c r="M93" s="667" t="s">
        <v>1624</v>
      </c>
      <c r="N93" s="665"/>
      <c r="O93" s="666">
        <v>0</v>
      </c>
      <c r="P93" s="665"/>
      <c r="Q93" s="285"/>
    </row>
    <row r="94" spans="1:17" ht="5.15" hidden="1" customHeight="1" x14ac:dyDescent="0.35">
      <c r="A94" s="657"/>
      <c r="B94" s="285"/>
      <c r="C94" s="233"/>
      <c r="D94" s="228"/>
      <c r="E94" s="228"/>
      <c r="F94" s="679"/>
      <c r="G94" s="762"/>
      <c r="H94" s="763"/>
      <c r="I94" s="228"/>
      <c r="J94" s="228"/>
      <c r="K94" s="314"/>
      <c r="L94" s="285"/>
      <c r="M94" s="667" t="s">
        <v>1625</v>
      </c>
      <c r="N94" s="665"/>
      <c r="O94" s="666">
        <v>0</v>
      </c>
      <c r="P94" s="665"/>
      <c r="Q94" s="285"/>
    </row>
    <row r="95" spans="1:17" ht="12.75" hidden="1" customHeight="1" x14ac:dyDescent="0.35">
      <c r="A95" s="657"/>
      <c r="B95" s="285"/>
      <c r="C95" s="233"/>
      <c r="D95" s="228" t="s">
        <v>1626</v>
      </c>
      <c r="E95" s="228"/>
      <c r="F95" s="679">
        <f ca="1">SUM(DiscFinCashFlow)-IF(NoResCol&lt;&gt;1,ResultPVResidualEquity,0)</f>
        <v>33401597.082424667</v>
      </c>
      <c r="G95" s="762"/>
      <c r="H95" s="1477"/>
      <c r="I95" s="1480"/>
      <c r="J95" s="1480"/>
      <c r="K95" s="314"/>
      <c r="L95" s="285"/>
      <c r="M95" s="667" t="s">
        <v>1627</v>
      </c>
      <c r="N95" s="665"/>
      <c r="O95" s="666">
        <v>0</v>
      </c>
      <c r="P95" s="665"/>
      <c r="Q95" s="285"/>
    </row>
    <row r="96" spans="1:17" ht="12.75" hidden="1" customHeight="1" x14ac:dyDescent="0.35">
      <c r="A96" s="657"/>
      <c r="B96" s="285"/>
      <c r="C96" s="688" t="s">
        <v>42</v>
      </c>
      <c r="D96" s="228" t="s">
        <v>1628</v>
      </c>
      <c r="E96" s="228"/>
      <c r="F96" s="679">
        <f ca="1">IF(UsePerpetuity=1,PerpetuityPVEquity,IF(NoResCol&lt;&gt;1,Calculations!$N$693,0))</f>
        <v>12989698.255395312</v>
      </c>
      <c r="G96" s="762"/>
      <c r="H96" s="1477"/>
      <c r="I96" s="1477"/>
      <c r="J96" s="1477"/>
      <c r="K96" s="314"/>
      <c r="L96" s="285"/>
      <c r="M96" s="667" t="s">
        <v>1629</v>
      </c>
      <c r="N96" s="665"/>
      <c r="O96" s="666">
        <v>0</v>
      </c>
      <c r="P96" s="665"/>
      <c r="Q96" s="285"/>
    </row>
    <row r="97" spans="1:17" ht="5.15" hidden="1" customHeight="1" x14ac:dyDescent="0.35">
      <c r="A97" s="657"/>
      <c r="B97" s="285"/>
      <c r="C97" s="690"/>
      <c r="D97" s="691"/>
      <c r="E97" s="692"/>
      <c r="F97" s="693"/>
      <c r="G97" s="692"/>
      <c r="H97" s="692"/>
      <c r="I97" s="692"/>
      <c r="J97" s="692"/>
      <c r="K97" s="694"/>
      <c r="L97" s="285"/>
      <c r="M97" s="667" t="s">
        <v>1630</v>
      </c>
      <c r="N97" s="665"/>
      <c r="O97" s="666">
        <v>0</v>
      </c>
      <c r="P97" s="665">
        <v>1</v>
      </c>
      <c r="Q97" s="285"/>
    </row>
    <row r="98" spans="1:17" ht="12.75" hidden="1" customHeight="1" x14ac:dyDescent="0.35">
      <c r="A98" s="657"/>
      <c r="B98" s="285"/>
      <c r="C98" s="695"/>
      <c r="D98" s="696" t="str">
        <f>IF(PerpetuityLimitationEquity=1,"Perpetuity","Extrapolation")&amp;" is based on"</f>
        <v>Perpetuity is based on</v>
      </c>
      <c r="E98" s="697"/>
      <c r="F98" s="697"/>
      <c r="G98" s="697"/>
      <c r="H98" s="697"/>
      <c r="I98" s="697"/>
      <c r="J98" s="697"/>
      <c r="K98" s="698"/>
      <c r="L98" s="285"/>
      <c r="M98" s="667" t="s">
        <v>1631</v>
      </c>
      <c r="N98" s="665"/>
      <c r="O98" s="666">
        <v>0</v>
      </c>
      <c r="P98" s="665">
        <v>1</v>
      </c>
      <c r="Q98" s="285"/>
    </row>
    <row r="99" spans="1:17" ht="2.15" hidden="1" customHeight="1" x14ac:dyDescent="0.35">
      <c r="A99" s="657"/>
      <c r="B99" s="285"/>
      <c r="C99" s="695"/>
      <c r="D99" s="699"/>
      <c r="E99" s="697"/>
      <c r="F99" s="697"/>
      <c r="G99" s="697"/>
      <c r="H99" s="697"/>
      <c r="I99" s="697"/>
      <c r="J99" s="697"/>
      <c r="K99" s="698"/>
      <c r="L99" s="285"/>
      <c r="M99" s="667" t="s">
        <v>1632</v>
      </c>
      <c r="N99" s="665"/>
      <c r="O99" s="666">
        <v>0</v>
      </c>
      <c r="P99" s="665">
        <v>1</v>
      </c>
      <c r="Q99" s="285"/>
    </row>
    <row r="100" spans="1:17" ht="16" hidden="1" customHeight="1" x14ac:dyDescent="0.35">
      <c r="A100" s="657"/>
      <c r="B100" s="285"/>
      <c r="C100" s="695"/>
      <c r="D100" s="699" t="s">
        <v>1512</v>
      </c>
      <c r="E100" s="697"/>
      <c r="F100" s="700">
        <f ca="1">SUMIF(Calculations!$G$6:$N$6,"*"&amp;PerpetuityYearEquity,NetCashFlowEquity)</f>
        <v>28128975.385462612</v>
      </c>
      <c r="G100" s="697"/>
      <c r="H100" s="701" t="s">
        <v>1513</v>
      </c>
      <c r="I100" s="697"/>
      <c r="J100" s="702"/>
      <c r="K100" s="698"/>
      <c r="L100" s="285"/>
      <c r="M100" s="667" t="s">
        <v>1633</v>
      </c>
      <c r="N100" s="665"/>
      <c r="O100" s="666">
        <v>0</v>
      </c>
      <c r="P100" s="665">
        <v>1</v>
      </c>
      <c r="Q100" s="285"/>
    </row>
    <row r="101" spans="1:17" ht="2.15" hidden="1" customHeight="1" x14ac:dyDescent="0.35">
      <c r="A101" s="657"/>
      <c r="B101" s="285"/>
      <c r="C101" s="695"/>
      <c r="D101" s="699"/>
      <c r="E101" s="697"/>
      <c r="F101" s="697"/>
      <c r="G101" s="697"/>
      <c r="H101" s="697"/>
      <c r="I101" s="697"/>
      <c r="J101" s="697"/>
      <c r="K101" s="698"/>
      <c r="L101" s="285"/>
      <c r="M101" s="667" t="s">
        <v>1634</v>
      </c>
      <c r="N101" s="665"/>
      <c r="O101" s="666">
        <v>0</v>
      </c>
      <c r="P101" s="665">
        <v>1</v>
      </c>
      <c r="Q101" s="285"/>
    </row>
    <row r="102" spans="1:17" ht="16" hidden="1" customHeight="1" x14ac:dyDescent="0.35">
      <c r="A102" s="657"/>
      <c r="B102" s="285"/>
      <c r="C102" s="695"/>
      <c r="D102" s="699" t="str">
        <f>"      Enter annual value "&amp;IF(TRIM($J$5)&lt;&gt;"","("&amp;$J$5&amp;")","")</f>
        <v xml:space="preserve">      Enter annual value (Euro)</v>
      </c>
      <c r="E102" s="703"/>
      <c r="F102" s="704"/>
      <c r="G102" s="697"/>
      <c r="H102" s="697" t="str">
        <f ca="1">"Base value "&amp;Calculations!$N$627&amp;""</f>
        <v>Base value (12/2024)</v>
      </c>
      <c r="I102" s="697"/>
      <c r="J102" s="706">
        <f>IF(PerpetuityEnterEquity=2,PerpetuityBasisEnteredEquity,IF(NOT(ISERROR($F$100)),$F$100,0))</f>
        <v>0</v>
      </c>
      <c r="K102" s="698"/>
      <c r="L102" s="285"/>
      <c r="M102" s="667" t="s">
        <v>1635</v>
      </c>
      <c r="N102" s="665"/>
      <c r="O102" s="666">
        <v>0</v>
      </c>
      <c r="P102" s="665">
        <v>1</v>
      </c>
      <c r="Q102" s="285"/>
    </row>
    <row r="103" spans="1:17" ht="2.15" hidden="1" customHeight="1" x14ac:dyDescent="0.35">
      <c r="A103" s="657"/>
      <c r="B103" s="285"/>
      <c r="C103" s="695"/>
      <c r="D103" s="699"/>
      <c r="E103" s="697"/>
      <c r="F103" s="697"/>
      <c r="G103" s="697"/>
      <c r="H103" s="697"/>
      <c r="I103" s="697"/>
      <c r="J103" s="697"/>
      <c r="K103" s="698"/>
      <c r="L103" s="285"/>
      <c r="M103" s="667" t="s">
        <v>1636</v>
      </c>
      <c r="N103" s="665"/>
      <c r="O103" s="666">
        <v>0</v>
      </c>
      <c r="P103" s="665">
        <v>1</v>
      </c>
      <c r="Q103" s="285"/>
    </row>
    <row r="104" spans="1:17" ht="16" hidden="1" customHeight="1" x14ac:dyDescent="0.35">
      <c r="A104" s="657"/>
      <c r="B104" s="285"/>
      <c r="C104" s="695"/>
      <c r="D104" s="696" t="str">
        <f>"Type of "&amp;IF(PerpetuityLimitationEquity=1,"perpetuity","extrapolation")</f>
        <v>Type of perpetuity</v>
      </c>
      <c r="E104" s="697"/>
      <c r="F104" s="697"/>
      <c r="G104" s="697"/>
      <c r="H104" s="697" t="s">
        <v>1518</v>
      </c>
      <c r="I104" s="697"/>
      <c r="J104" s="705">
        <f ca="1">IF(VariableRateEquity=1,OFFSET(Calculations!$Q$1200,0,IF(NoResCol=1,-1,0)),DiscYearEquity)-IF(PerpetuityGrowingEquity=2,IF(OR($G$108&lt;IF(VariableRateEquity=1,OFFSET(Calculations!$Q$1200,0,IF(NoResCol=1,-1,0)),DiscYearEquity),PerpetuityLimitationEquity&gt;1),$G$108,0),0)</f>
        <v>0</v>
      </c>
      <c r="K104" s="698"/>
      <c r="L104" s="285"/>
      <c r="M104" s="667" t="s">
        <v>1637</v>
      </c>
      <c r="N104" s="665"/>
      <c r="O104" s="666">
        <v>0</v>
      </c>
      <c r="P104" s="665">
        <v>1</v>
      </c>
      <c r="Q104" s="285"/>
    </row>
    <row r="105" spans="1:17" ht="2.15" hidden="1" customHeight="1" x14ac:dyDescent="0.35">
      <c r="A105" s="657"/>
      <c r="B105" s="285"/>
      <c r="C105" s="695"/>
      <c r="D105" s="699"/>
      <c r="E105" s="697"/>
      <c r="F105" s="697"/>
      <c r="G105" s="697"/>
      <c r="H105" s="697"/>
      <c r="I105" s="697"/>
      <c r="J105" s="697"/>
      <c r="K105" s="698"/>
      <c r="L105" s="285"/>
      <c r="M105" s="667" t="s">
        <v>1638</v>
      </c>
      <c r="N105" s="665"/>
      <c r="O105" s="666">
        <v>0</v>
      </c>
      <c r="P105" s="665">
        <v>1</v>
      </c>
      <c r="Q105" s="285"/>
    </row>
    <row r="106" spans="1:17" ht="16" hidden="1" customHeight="1" x14ac:dyDescent="0.35">
      <c r="A106" s="657"/>
      <c r="B106" s="285"/>
      <c r="C106" s="695"/>
      <c r="D106" s="699" t="s">
        <v>1521</v>
      </c>
      <c r="E106" s="697"/>
      <c r="F106" s="697"/>
      <c r="G106" s="697"/>
      <c r="H106" s="697" t="str">
        <f ca="1">"Value "&amp;Calculations!$N$627&amp;""</f>
        <v>Value (12/2024)</v>
      </c>
      <c r="I106" s="697"/>
      <c r="J106" s="706">
        <f ca="1">IF(PerpetuityLimitationEquity&gt;1,PerpetuityLimitedEquity,IF(AND(PerpetuityGrowingEquity=2,PerpetuityDiscRateEquity&lt;=0),NA(),PerpetuityBaseValueEquity*IF(PerpetuityDiscRateEquity=0,1,1/(PerpetuityDiscRateEquity/100))))</f>
        <v>0</v>
      </c>
      <c r="K106" s="698"/>
      <c r="L106" s="285"/>
      <c r="M106" s="667" t="s">
        <v>1639</v>
      </c>
      <c r="N106" s="665"/>
      <c r="O106" s="666">
        <v>0</v>
      </c>
      <c r="P106" s="665">
        <v>1</v>
      </c>
      <c r="Q106" s="285"/>
    </row>
    <row r="107" spans="1:17" ht="2.15" hidden="1" customHeight="1" x14ac:dyDescent="0.35">
      <c r="A107" s="657"/>
      <c r="B107" s="285"/>
      <c r="C107" s="695"/>
      <c r="D107" s="699"/>
      <c r="E107" s="697"/>
      <c r="F107" s="697"/>
      <c r="G107" s="697"/>
      <c r="H107" s="697"/>
      <c r="I107" s="697"/>
      <c r="J107" s="697"/>
      <c r="K107" s="698"/>
      <c r="L107" s="285"/>
      <c r="M107" s="667" t="s">
        <v>1640</v>
      </c>
      <c r="N107" s="665"/>
      <c r="O107" s="666">
        <v>0</v>
      </c>
      <c r="P107" s="665">
        <v>1</v>
      </c>
      <c r="Q107" s="285"/>
    </row>
    <row r="108" spans="1:17" ht="16" hidden="1" customHeight="1" x14ac:dyDescent="0.35">
      <c r="A108" s="657"/>
      <c r="B108" s="285"/>
      <c r="C108" s="695"/>
      <c r="D108" s="699" t="s">
        <v>1524</v>
      </c>
      <c r="E108" s="697"/>
      <c r="F108" s="707"/>
      <c r="G108" s="708">
        <f ca="1">SUM(OFFSET(G108,0,-1))</f>
        <v>0</v>
      </c>
      <c r="H108" s="697" t="str">
        <f ca="1">"Present value ("&amp;$F$11&amp;")"</f>
        <v>Present value (9/2019)</v>
      </c>
      <c r="I108" s="697"/>
      <c r="J108" s="706">
        <f ca="1">PerpetuityValueEquity/(1+IF(VariableRateEquity=1,OFFSET(Calculations!$N$1201,0,IF(NoResCol=1,-1,0)),DiscMonthEquity))^IF(MYDisc,Calculations!$N$1061,Calculations!$N$1059)</f>
        <v>0</v>
      </c>
      <c r="K108" s="698"/>
      <c r="L108" s="285"/>
      <c r="M108" s="667" t="s">
        <v>1641</v>
      </c>
      <c r="N108" s="665"/>
      <c r="O108" s="666">
        <v>0</v>
      </c>
      <c r="P108" s="665">
        <v>1</v>
      </c>
      <c r="Q108" s="285"/>
    </row>
    <row r="109" spans="1:17" ht="5.15" hidden="1" customHeight="1" x14ac:dyDescent="0.35">
      <c r="A109" s="657"/>
      <c r="B109" s="285"/>
      <c r="C109" s="713"/>
      <c r="D109" s="714"/>
      <c r="E109" s="715"/>
      <c r="F109" s="715"/>
      <c r="G109" s="715"/>
      <c r="H109" s="715"/>
      <c r="I109" s="715"/>
      <c r="J109" s="715"/>
      <c r="K109" s="717"/>
      <c r="L109" s="285"/>
      <c r="M109" s="667" t="s">
        <v>1642</v>
      </c>
      <c r="N109" s="665"/>
      <c r="O109" s="666">
        <v>0</v>
      </c>
      <c r="P109" s="665">
        <v>1</v>
      </c>
      <c r="Q109" s="285"/>
    </row>
    <row r="110" spans="1:17" ht="12.75" hidden="1" customHeight="1" x14ac:dyDescent="0.35">
      <c r="A110" s="657"/>
      <c r="B110" s="285"/>
      <c r="C110" s="688" t="s">
        <v>39</v>
      </c>
      <c r="D110" s="236" t="s">
        <v>1643</v>
      </c>
      <c r="E110" s="228"/>
      <c r="F110" s="769">
        <f ca="1">IF(CorrDebtResidual,-(OFFSET(Calculations!$N$806,0,IF(NoResCol&lt;&gt;1,0,-1))+OFFSET(Calculations!$N$814,0,IF(NoResCol&lt;&gt;1,0,-1)))/(1+IF(VariableRateEquity=1,OFFSET(Calculations!$N$1201,0,IF(NoResCol=1,-1,0)),DiscMonthEquity))^Calculations!$N$1059,0)</f>
        <v>0</v>
      </c>
      <c r="G110" s="228"/>
      <c r="H110" s="228"/>
      <c r="I110" s="228"/>
      <c r="J110" s="228"/>
      <c r="K110" s="649"/>
      <c r="L110" s="285"/>
      <c r="M110" s="667" t="s">
        <v>1644</v>
      </c>
      <c r="N110" s="665"/>
      <c r="O110" s="666">
        <v>0</v>
      </c>
      <c r="P110" s="665"/>
      <c r="Q110" s="285"/>
    </row>
    <row r="111" spans="1:17" ht="14.15" hidden="1" customHeight="1" x14ac:dyDescent="0.35">
      <c r="A111" s="657"/>
      <c r="B111" s="285"/>
      <c r="C111" s="233"/>
      <c r="D111" s="747" t="s">
        <v>1645</v>
      </c>
      <c r="E111" s="747"/>
      <c r="F111" s="748">
        <f ca="1">ResultDCFEquity+ResultPVResidualEquity+ResultDebtCorrection</f>
        <v>46391295.337819979</v>
      </c>
      <c r="G111" s="733"/>
      <c r="H111" s="306" t="str">
        <f ca="1">IF(ROUND(F111,3)=0,"",IF(F111&gt;=0,"&gt;= 0","&lt; 0"))</f>
        <v>&gt;= 0</v>
      </c>
      <c r="I111" s="750" t="str">
        <f ca="1">IF(J111&lt;&gt;"","-&gt;","")</f>
        <v>-&gt;</v>
      </c>
      <c r="J111" s="228" t="str">
        <f ca="1">IF(AND(ShowConclusions,$F$8&lt;&gt;0),IF(F111&gt;-0.00001,$A$57,$A$58),"")</f>
        <v xml:space="preserve"> profitable</v>
      </c>
      <c r="K111" s="314"/>
      <c r="L111" s="285"/>
      <c r="M111" s="667" t="s">
        <v>1646</v>
      </c>
      <c r="N111" s="665"/>
      <c r="O111" s="666">
        <v>0</v>
      </c>
      <c r="P111" s="665"/>
      <c r="Q111" s="285"/>
    </row>
    <row r="112" spans="1:17" ht="12.75" hidden="1" customHeight="1" x14ac:dyDescent="0.35">
      <c r="A112" s="657"/>
      <c r="B112" s="285"/>
      <c r="C112" s="233"/>
      <c r="D112" s="228" t="s">
        <v>1647</v>
      </c>
      <c r="E112" s="306"/>
      <c r="F112" s="679" t="str">
        <f ca="1">IF(NOT(ISERROR(G112)),G112,"-")</f>
        <v>-</v>
      </c>
      <c r="G112" s="733" t="e">
        <f ca="1">ResultNPVEquity*((DiscMonthEquity*(1+DiscMonthEquity)^(InvTime*12+InvTimeMonths+InvTime2*12+InvTimeMonths2))/((1+DiscMonthEquity)^(InvTime*12+InvTimeMonths+InvTime2*12+InvTimeMonths2)-1))</f>
        <v>#DIV/0!</v>
      </c>
      <c r="H112" s="770"/>
      <c r="I112" s="306"/>
      <c r="J112" s="306"/>
      <c r="K112" s="314"/>
      <c r="L112" s="285"/>
      <c r="M112" s="667" t="s">
        <v>1648</v>
      </c>
      <c r="N112" s="665"/>
      <c r="O112" s="666">
        <v>0</v>
      </c>
      <c r="P112" s="665"/>
      <c r="Q112" s="285"/>
    </row>
    <row r="113" spans="1:17" ht="5.15" hidden="1" customHeight="1" x14ac:dyDescent="0.35">
      <c r="A113" s="657"/>
      <c r="B113" s="285"/>
      <c r="C113" s="233"/>
      <c r="D113" s="228"/>
      <c r="E113" s="306"/>
      <c r="F113" s="679"/>
      <c r="G113" s="733"/>
      <c r="H113" s="770"/>
      <c r="I113" s="306"/>
      <c r="J113" s="306"/>
      <c r="K113" s="314"/>
      <c r="L113" s="285"/>
      <c r="M113" s="667" t="s">
        <v>1649</v>
      </c>
      <c r="N113" s="665"/>
      <c r="O113" s="666">
        <v>0</v>
      </c>
      <c r="P113" s="665"/>
      <c r="Q113" s="285"/>
    </row>
    <row r="114" spans="1:17" ht="12.75" hidden="1" customHeight="1" x14ac:dyDescent="0.35">
      <c r="A114" s="657"/>
      <c r="B114" s="285"/>
      <c r="C114" s="233"/>
      <c r="D114" s="228" t="s">
        <v>1650</v>
      </c>
      <c r="E114" s="306"/>
      <c r="F114" s="758">
        <f ca="1">IF(DemoVersion=1,NA(),IF(ROUND(MinIRREquity*100,2)&lt;&gt;ROUND(MaxIRREquity*100,2),ROUND(MinIRREquity*100,2)&amp;" % / "&amp;ROUND(MaxIRREquity*100,2)&amp;" %",IF(NOT(ISERROR(G114)),G114,Specs!$G$126)))</f>
        <v>0.45335946086278023</v>
      </c>
      <c r="G114" s="733">
        <f ca="1">(1+IRR(IrrCashFlowEquity,DiscMonthEquity))^12-1</f>
        <v>0.45335946086278023</v>
      </c>
      <c r="H114" s="306" t="str">
        <f ca="1">IF(VariableRate&lt;&gt;1,IF(ISNUMBER(F114),IF(F114*100+0.00001&gt;=$F$93,"&gt;= ","&lt; ")&amp;ROUND($F$93,2)&amp;" %",""),"")</f>
        <v>&gt;= 0 %</v>
      </c>
      <c r="I114" s="750" t="str">
        <f ca="1">IF(J114&lt;&gt;"","-&gt;","")</f>
        <v>-&gt;</v>
      </c>
      <c r="J114" s="228" t="str">
        <f ca="1">IF(AND(ShowConclusions,$F$8&lt;&gt;0),IF(VariableRate&lt;&gt;1,IF(ISNUMBER($F114),IF($F114*100+0.00001&gt;=$F$93,$A$57,$A$58),""),""),"")</f>
        <v xml:space="preserve"> profitable</v>
      </c>
      <c r="K114" s="314"/>
      <c r="L114" s="285"/>
      <c r="M114" s="667" t="s">
        <v>1651</v>
      </c>
      <c r="N114" s="665"/>
      <c r="O114" s="666">
        <v>0</v>
      </c>
      <c r="P114" s="665"/>
      <c r="Q114" s="285"/>
    </row>
    <row r="115" spans="1:17" ht="12.75" hidden="1" customHeight="1" x14ac:dyDescent="0.35">
      <c r="A115" s="657"/>
      <c r="B115" s="285"/>
      <c r="C115" s="233"/>
      <c r="D115" s="228" t="s">
        <v>1652</v>
      </c>
      <c r="E115" s="306"/>
      <c r="F115" s="758">
        <f ca="1">IF(DemoVersion=1,NA(),IF(ROUND(MinIRREquitybt*100,2)&lt;&gt;ROUND(MaxIRREquitybt*100,2),ROUND(MinIRREquitybt*100,2)&amp;" % / "&amp;ROUND(MaxIRREquitybt*100,2)&amp;" %",IF(NOT(ISERROR(G115)),G115,Specs!$G$229)))</f>
        <v>0.59430318007658811</v>
      </c>
      <c r="G115" s="733">
        <f ca="1">(1+IRR(PreTaxCashFlowEquity,DiscMonthEquity))^12-1</f>
        <v>0.59430318007658811</v>
      </c>
      <c r="H115" s="306"/>
      <c r="I115" s="750"/>
      <c r="J115" s="228"/>
      <c r="K115" s="314"/>
      <c r="L115" s="285"/>
      <c r="M115" s="667" t="s">
        <v>1653</v>
      </c>
      <c r="N115" s="665"/>
      <c r="O115" s="666">
        <v>0</v>
      </c>
      <c r="P115" s="665"/>
      <c r="Q115" s="285"/>
    </row>
    <row r="116" spans="1:17" ht="12.75" hidden="1" customHeight="1" x14ac:dyDescent="0.35">
      <c r="A116" s="657"/>
      <c r="B116" s="285"/>
      <c r="C116" s="233"/>
      <c r="D116" s="228" t="s">
        <v>1654</v>
      </c>
      <c r="E116" s="306"/>
      <c r="F116" s="758">
        <f ca="1">IF(NOT(ISERROR(G116)),G116,"-")</f>
        <v>0.22616366592115345</v>
      </c>
      <c r="G116" s="722">
        <f ca="1">(1+MIRR(IrrCashFlowEquity,DiscMonthEquity,DiscMonthEquity))^12-1</f>
        <v>0.22616366592115345</v>
      </c>
      <c r="H116" s="306" t="str">
        <f ca="1">IF(VariableRate&lt;&gt;1,IF(ISNUMBER(F116),IF(F116*100+0.00001&gt;=$F$93,"&gt;= ","&lt; ")&amp;ROUND($F$93,2)&amp;" %",""),"")</f>
        <v>&gt;= 0 %</v>
      </c>
      <c r="I116" s="750" t="str">
        <f ca="1">IF(J116&lt;&gt;"","-&gt;","")</f>
        <v>-&gt;</v>
      </c>
      <c r="J116" s="228" t="str">
        <f ca="1">IF(AND(ShowConclusions,$F$8&lt;&gt;0),IF(VariableRate&lt;&gt;1,IF(ISNUMBER($F116),IF($F116*100+0.00001&gt;=$F$93,$A$57,$A$58),""),""),"")</f>
        <v xml:space="preserve"> profitable</v>
      </c>
      <c r="K116" s="314"/>
      <c r="L116" s="285"/>
      <c r="M116" s="667" t="s">
        <v>1655</v>
      </c>
      <c r="N116" s="665"/>
      <c r="O116" s="666">
        <v>0</v>
      </c>
      <c r="P116" s="665"/>
      <c r="Q116" s="285"/>
    </row>
    <row r="117" spans="1:17" ht="5.15" hidden="1" customHeight="1" x14ac:dyDescent="0.35">
      <c r="A117" s="657"/>
      <c r="B117" s="285"/>
      <c r="C117" s="233"/>
      <c r="D117" s="228"/>
      <c r="E117" s="306"/>
      <c r="F117" s="679"/>
      <c r="G117" s="733"/>
      <c r="H117" s="770"/>
      <c r="I117" s="306"/>
      <c r="J117" s="306"/>
      <c r="K117" s="314"/>
      <c r="L117" s="285"/>
      <c r="M117" s="667" t="s">
        <v>1656</v>
      </c>
      <c r="N117" s="665"/>
      <c r="O117" s="666">
        <v>0</v>
      </c>
      <c r="P117" s="665"/>
      <c r="Q117" s="285"/>
    </row>
    <row r="118" spans="1:17" ht="12.75" hidden="1" customHeight="1" x14ac:dyDescent="0.35">
      <c r="A118" s="657"/>
      <c r="B118" s="285"/>
      <c r="C118" s="233"/>
      <c r="D118" s="228" t="s">
        <v>1657</v>
      </c>
      <c r="E118" s="306"/>
      <c r="F118" s="682">
        <f ca="1">IF(OFFSET(Calculations!$N$694,0,-1)&lt;0,"-",IF(ISERROR(IF(AND(SUM(F120)+0.00001&gt;0,(F120-F119)&lt;&gt;0),($G$130+($H$130-$G$130)*-F119/(F120-F119))/12,"-")),"-",IF(AND(SUM(F120)+0.00001&gt;0,(F120-F119)&lt;&gt;0),($G$130+($H$130-$G$130)*-F119/(F120-F119))/12,"-")))</f>
        <v>2.5114354093822029</v>
      </c>
      <c r="G118" s="733"/>
      <c r="H118" s="228" t="s">
        <v>1658</v>
      </c>
      <c r="I118" s="306"/>
      <c r="J118" s="306"/>
      <c r="K118" s="314"/>
      <c r="L118" s="285"/>
      <c r="M118" s="667" t="s">
        <v>1659</v>
      </c>
      <c r="N118" s="665"/>
      <c r="O118" s="666">
        <v>0</v>
      </c>
      <c r="P118" s="665"/>
      <c r="Q118" s="285"/>
    </row>
    <row r="119" spans="1:17" ht="11.15" hidden="1" customHeight="1" x14ac:dyDescent="0.35">
      <c r="A119" s="657"/>
      <c r="B119" s="285"/>
      <c r="C119" s="233"/>
      <c r="D119" s="228" t="str">
        <f ca="1">"Cumulative discounted FCFE "&amp;IF(ISERROR($G$131),"",OFFSET(Calculations!$G$11,0,CalcPointPB))&amp;"-&gt;"&amp;IF(ISERROR($D$123),$F$123,$D$123)</f>
        <v>Cumulative discounted FCFE 9/2019-&gt;12/2021</v>
      </c>
      <c r="E119" s="306"/>
      <c r="F119" s="679">
        <f ca="1">IF(ISERROR($G$131),"-",OFFSET(Calculations!$E$1208,0,$G$131+Calculations!$D$7-COLUMN(ID)-1))</f>
        <v>-1504517.8772548558</v>
      </c>
      <c r="G119" s="733"/>
      <c r="H119" s="770"/>
      <c r="I119" s="306"/>
      <c r="J119" s="306"/>
      <c r="K119" s="314"/>
      <c r="L119" s="285"/>
      <c r="M119" s="667" t="s">
        <v>1660</v>
      </c>
      <c r="N119" s="665"/>
      <c r="O119" s="666">
        <v>0</v>
      </c>
      <c r="P119" s="665">
        <v>1</v>
      </c>
      <c r="Q119" s="285"/>
    </row>
    <row r="120" spans="1:17" ht="10" hidden="1" customHeight="1" x14ac:dyDescent="0.35">
      <c r="A120" s="657"/>
      <c r="B120" s="285"/>
      <c r="C120" s="233"/>
      <c r="D120" s="228" t="str">
        <f ca="1">"Cumulative discounted FCFE "&amp;IF(ISERROR($G$131),"",OFFSET(Calculations!$G$11,0,CalcPointPB))&amp;"-&gt;"&amp;IF(ISERROR($E$123),$F$123,IF($E$123=$D$123,$F$123,$E$123))</f>
        <v>Cumulative discounted FCFE 9/2019-&gt;12/2022</v>
      </c>
      <c r="E120" s="306"/>
      <c r="F120" s="679">
        <f ca="1">IF(ISERROR($G$131),"-",OFFSET(Calculations!$E$1208,0,$G$131+Calculations!$D$7-COLUMN(ID)))</f>
        <v>6942985.4345090622</v>
      </c>
      <c r="G120" s="733"/>
      <c r="H120" s="770"/>
      <c r="I120" s="306"/>
      <c r="J120" s="306"/>
      <c r="K120" s="314"/>
      <c r="L120" s="285"/>
      <c r="M120" s="667" t="s">
        <v>1661</v>
      </c>
      <c r="N120" s="665"/>
      <c r="O120" s="666">
        <v>0</v>
      </c>
      <c r="P120" s="665">
        <v>1</v>
      </c>
      <c r="Q120" s="285"/>
    </row>
    <row r="121" spans="1:17" ht="12.75" hidden="1" customHeight="1" x14ac:dyDescent="0.35">
      <c r="A121" s="657"/>
      <c r="B121" s="285"/>
      <c r="C121" s="233"/>
      <c r="D121" s="228" t="s">
        <v>1598</v>
      </c>
      <c r="E121" s="306"/>
      <c r="F121" s="679" t="str">
        <f ca="1">OFFSET(Calculations!$G$11,0,CalcPointPB)</f>
        <v>9/2019</v>
      </c>
      <c r="G121" s="733"/>
      <c r="H121" s="770"/>
      <c r="I121" s="306"/>
      <c r="J121" s="306"/>
      <c r="K121" s="314"/>
      <c r="L121" s="285"/>
      <c r="M121" s="667" t="s">
        <v>1662</v>
      </c>
      <c r="N121" s="665"/>
      <c r="O121" s="666">
        <v>0</v>
      </c>
      <c r="P121" s="665">
        <v>1</v>
      </c>
      <c r="Q121" s="285"/>
    </row>
    <row r="122" spans="1:17" ht="12.75" hidden="1" customHeight="1" x14ac:dyDescent="0.35">
      <c r="A122" s="657"/>
      <c r="B122" s="285"/>
      <c r="C122" s="233"/>
      <c r="D122" s="228" t="s">
        <v>1663</v>
      </c>
      <c r="E122" s="306"/>
      <c r="F122" s="682">
        <f ca="1">IF(OFFSET(Calculations!$N$1223,0,-1)&lt;0,"-",IF(ISERROR(IF(AND(SUM(H141)+0.00001&gt;0,(H141-H140)&lt;&gt;0),($G$138+($H$138-$G$138)*-H140/(H141-H140))/12,"-")),"-",IF(AND(SUM(H141)+0.00001&gt;0,(H141-H140)&lt;&gt;0),($G$138+($H$138-$G$138)*-H140/(H141-H140))/12,"-")))</f>
        <v>2.5114354093822029</v>
      </c>
      <c r="G122" s="733"/>
      <c r="H122" s="228" t="s">
        <v>1664</v>
      </c>
      <c r="I122" s="306"/>
      <c r="J122" s="306"/>
      <c r="K122" s="314"/>
      <c r="L122" s="285"/>
      <c r="M122" s="667" t="s">
        <v>1665</v>
      </c>
      <c r="N122" s="665"/>
      <c r="O122" s="666">
        <v>0</v>
      </c>
      <c r="P122" s="665">
        <v>1</v>
      </c>
      <c r="Q122" s="285"/>
    </row>
    <row r="123" spans="1:17" ht="5.15" hidden="1" customHeight="1" x14ac:dyDescent="0.35">
      <c r="A123" s="657"/>
      <c r="B123" s="285"/>
      <c r="C123" s="233"/>
      <c r="D123" s="762" t="str">
        <f ca="1">OFFSET(Calculations!$E$1207,0,$G$131+Calculations!$D$7-COLUMN(ID)-1)</f>
        <v>12/2021</v>
      </c>
      <c r="E123" s="762" t="str">
        <f ca="1">OFFSET(Calculations!$E$1207,0,$G$131+Calculations!$D$7-COLUMN(ID))</f>
        <v>12/2022</v>
      </c>
      <c r="F123" s="762" t="s">
        <v>1241</v>
      </c>
      <c r="G123" s="763"/>
      <c r="H123" s="763"/>
      <c r="I123" s="306"/>
      <c r="J123" s="228"/>
      <c r="K123" s="314"/>
      <c r="L123" s="285"/>
      <c r="M123" s="667" t="s">
        <v>1666</v>
      </c>
      <c r="N123" s="665"/>
      <c r="O123" s="666">
        <v>0</v>
      </c>
      <c r="P123" s="665"/>
      <c r="Q123" s="285"/>
    </row>
    <row r="124" spans="1:17" ht="5.15" customHeight="1" x14ac:dyDescent="0.35">
      <c r="A124" s="657"/>
      <c r="B124" s="285"/>
      <c r="C124" s="226"/>
      <c r="D124" s="227"/>
      <c r="E124" s="227"/>
      <c r="F124" s="227"/>
      <c r="G124" s="227"/>
      <c r="H124" s="227"/>
      <c r="I124" s="227"/>
      <c r="J124" s="227"/>
      <c r="K124" s="551"/>
      <c r="L124" s="285"/>
      <c r="M124" s="667" t="s">
        <v>1667</v>
      </c>
      <c r="N124" s="665"/>
      <c r="O124" s="666"/>
      <c r="P124" s="665"/>
      <c r="Q124" s="285"/>
    </row>
    <row r="125" spans="1:17" ht="12.75" customHeight="1" x14ac:dyDescent="0.35">
      <c r="A125" s="657"/>
      <c r="B125" s="285"/>
      <c r="C125" s="233"/>
      <c r="D125" s="306" t="s">
        <v>1668</v>
      </c>
      <c r="E125" s="1478" t="str">
        <f>""&amp;User</f>
        <v>DataPartner Support</v>
      </c>
      <c r="F125" s="1478"/>
      <c r="G125" s="1478"/>
      <c r="H125" s="1478"/>
      <c r="I125" s="1478"/>
      <c r="J125" s="771">
        <f>IF(InvDate&lt;&gt;"",InvDate,"")</f>
        <v>43510</v>
      </c>
      <c r="K125" s="554"/>
      <c r="L125" s="285"/>
      <c r="M125" s="667" t="s">
        <v>1669</v>
      </c>
      <c r="N125" s="665"/>
      <c r="O125" s="666"/>
      <c r="P125" s="665"/>
      <c r="Q125" s="285"/>
    </row>
    <row r="126" spans="1:17" ht="12.75" customHeight="1" x14ac:dyDescent="0.35">
      <c r="A126" s="657"/>
      <c r="B126" s="285"/>
      <c r="C126" s="233"/>
      <c r="D126" s="306" t="str">
        <f>TRIM('Basic Values'!$C$69)</f>
        <v>Calculation file</v>
      </c>
      <c r="E126" s="1479" t="str">
        <f ca="1">'Basic Values'!E69</f>
        <v>C:\Users\irinak\Desktop\New folder\Consolidation file.xlsx</v>
      </c>
      <c r="F126" s="1479"/>
      <c r="G126" s="1479"/>
      <c r="H126" s="1479"/>
      <c r="I126" s="1479"/>
      <c r="J126" s="1479"/>
      <c r="K126" s="554"/>
      <c r="L126" s="285"/>
      <c r="M126" s="667" t="s">
        <v>1670</v>
      </c>
      <c r="N126" s="665"/>
      <c r="O126" s="666">
        <v>0</v>
      </c>
      <c r="P126" s="665"/>
      <c r="Q126" s="285"/>
    </row>
    <row r="127" spans="1:17" ht="5.15" customHeight="1" x14ac:dyDescent="0.35">
      <c r="A127" s="657"/>
      <c r="B127" s="285"/>
      <c r="C127" s="672"/>
      <c r="D127" s="237"/>
      <c r="E127" s="237"/>
      <c r="F127" s="772">
        <f>J125</f>
        <v>43510</v>
      </c>
      <c r="G127" s="237"/>
      <c r="H127" s="237"/>
      <c r="I127" s="237"/>
      <c r="J127" s="237"/>
      <c r="K127" s="556"/>
      <c r="L127" s="285"/>
      <c r="M127" s="667" t="s">
        <v>1671</v>
      </c>
      <c r="N127" s="665"/>
      <c r="O127" s="666">
        <v>0</v>
      </c>
      <c r="P127" s="665"/>
      <c r="Q127" s="285"/>
    </row>
    <row r="128" spans="1:17" ht="5.15" customHeight="1" x14ac:dyDescent="0.35">
      <c r="A128" s="657"/>
      <c r="B128" s="285"/>
      <c r="C128" s="231"/>
      <c r="D128" s="231"/>
      <c r="E128" s="231"/>
      <c r="F128" s="231"/>
      <c r="G128" s="231"/>
      <c r="H128" s="231"/>
      <c r="I128" s="231"/>
      <c r="J128" s="231"/>
      <c r="K128" s="285"/>
      <c r="L128" s="285"/>
      <c r="M128" s="667"/>
      <c r="N128" s="665"/>
      <c r="O128" s="666">
        <v>0</v>
      </c>
      <c r="P128" s="665"/>
      <c r="Q128" s="285"/>
    </row>
    <row r="129" spans="1:17" ht="7.5" customHeight="1" x14ac:dyDescent="0.35">
      <c r="A129" s="773"/>
      <c r="B129" s="773"/>
      <c r="C129" s="655"/>
      <c r="D129" s="655"/>
      <c r="E129" s="655"/>
      <c r="F129" s="655"/>
      <c r="G129" s="655"/>
      <c r="H129" s="655"/>
      <c r="I129" s="655"/>
      <c r="J129" s="655"/>
      <c r="K129" s="773"/>
      <c r="L129" s="773"/>
      <c r="M129" s="774"/>
      <c r="N129" s="773"/>
      <c r="O129" s="663"/>
      <c r="P129" s="657"/>
      <c r="Q129" s="657"/>
    </row>
    <row r="130" spans="1:17" ht="12.75" customHeight="1" x14ac:dyDescent="0.35">
      <c r="A130" s="657"/>
      <c r="B130" s="657"/>
      <c r="C130" s="651"/>
      <c r="D130" s="651" t="s">
        <v>1672</v>
      </c>
      <c r="E130" s="657"/>
      <c r="F130" s="657"/>
      <c r="G130" s="656">
        <f ca="1">HLOOKUP(0,DiscPayBackEquity,2)</f>
        <v>28</v>
      </c>
      <c r="H130" s="656">
        <f ca="1">IF(ISERROR(H131),G130,H131)</f>
        <v>40</v>
      </c>
      <c r="I130" s="656">
        <f ca="1">HLOOKUP(0,DiscPayBack,2)</f>
        <v>28</v>
      </c>
      <c r="J130" s="656">
        <f ca="1">IF(ISERROR(J131),I130,J131)</f>
        <v>40</v>
      </c>
      <c r="K130" s="656">
        <f ca="1">HLOOKUP(0,DiscPayBackDCVA,2)</f>
        <v>0</v>
      </c>
      <c r="L130" s="656">
        <f ca="1">IF(ISERROR(L131),K130,L131)</f>
        <v>4</v>
      </c>
      <c r="M130" s="774"/>
      <c r="N130" s="657"/>
      <c r="O130" s="663"/>
      <c r="P130" s="657"/>
      <c r="Q130" s="657"/>
    </row>
    <row r="131" spans="1:17" ht="12.75" customHeight="1" x14ac:dyDescent="0.35">
      <c r="A131" s="657"/>
      <c r="B131" s="657"/>
      <c r="C131" s="657"/>
      <c r="D131" s="657"/>
      <c r="E131" s="657"/>
      <c r="F131" s="657"/>
      <c r="G131" s="775">
        <f ca="1">MATCH(G130,CumMonths,0)</f>
        <v>4</v>
      </c>
      <c r="H131" s="775">
        <f ca="1">OFFSET(Calculations!$E$1035,0,G131+Calculations!$D$7-COLUMN(ID))</f>
        <v>40</v>
      </c>
      <c r="I131" s="775">
        <f ca="1">MATCH(I130,CumMonths,0)</f>
        <v>4</v>
      </c>
      <c r="J131" s="775">
        <f ca="1">OFFSET(Calculations!$E$1035,0,I131+Calculations!$D$7-COLUMN(ID))</f>
        <v>40</v>
      </c>
      <c r="K131" s="775">
        <f ca="1">MATCH(K130,CumMonths,0)</f>
        <v>1</v>
      </c>
      <c r="L131" s="775">
        <f ca="1">OFFSET(Calculations!$E$1035,0,K131+Calculations!$D$7-COLUMN(ID))</f>
        <v>4</v>
      </c>
      <c r="M131" s="774"/>
      <c r="N131" s="657"/>
      <c r="O131" s="663"/>
      <c r="P131" s="657"/>
      <c r="Q131" s="657"/>
    </row>
    <row r="132" spans="1:17" ht="12.75" customHeight="1" x14ac:dyDescent="0.35">
      <c r="A132" s="657"/>
      <c r="B132" s="657"/>
      <c r="C132" s="657"/>
      <c r="D132" s="657"/>
      <c r="E132" s="657"/>
      <c r="F132" s="776"/>
      <c r="G132" s="657"/>
      <c r="H132" s="657"/>
      <c r="I132" s="657"/>
      <c r="J132" s="657"/>
      <c r="K132" s="657"/>
      <c r="L132" s="657"/>
      <c r="M132" s="774"/>
      <c r="N132" s="657"/>
      <c r="O132" s="657"/>
      <c r="P132" s="657"/>
      <c r="Q132" s="657"/>
    </row>
    <row r="133" spans="1:17" ht="12.75" customHeight="1" x14ac:dyDescent="0.35">
      <c r="A133" s="657"/>
      <c r="B133" s="657"/>
      <c r="C133" s="657"/>
      <c r="D133" s="773">
        <v>0</v>
      </c>
      <c r="E133" s="773">
        <f ca="1">IF(E134&gt;0,E134,IF(MONTH(F133)=I133,D133,E134))</f>
        <v>3</v>
      </c>
      <c r="F133" s="777">
        <f ca="1">DATE(H133,I133,J133)</f>
        <v>43705</v>
      </c>
      <c r="G133" s="773"/>
      <c r="H133" s="773">
        <f ca="1">VALUE(RIGHT($F$11,4))-IF(CalcPoint&gt;0,0,IF(VALUE(LEFT($F$11,FIND("/",$F$11)-1))=1,1,0))</f>
        <v>2019</v>
      </c>
      <c r="I133" s="773">
        <f ca="1">VALUE(LEFT($F$11,FIND("/",$F$11)-1))-IF(CalcPoint&gt;0,0,IF(VALUE(LEFT($F$11,FIND("/",$F$11)-1))=1,-11,1))</f>
        <v>8</v>
      </c>
      <c r="J133" s="773">
        <v>28</v>
      </c>
      <c r="K133" s="657"/>
      <c r="L133" s="657"/>
      <c r="M133" s="774"/>
      <c r="N133" s="657"/>
      <c r="O133" s="657"/>
      <c r="P133" s="657"/>
      <c r="Q133" s="657"/>
    </row>
    <row r="134" spans="1:17" ht="12.75" customHeight="1" x14ac:dyDescent="0.35">
      <c r="A134" s="657"/>
      <c r="B134" s="657"/>
      <c r="C134" s="657"/>
      <c r="D134" s="773">
        <v>1</v>
      </c>
      <c r="E134" s="773">
        <f ca="1">IF(E135&gt;0,E135,IF(MONTH(F134)=I134,D134,E135))</f>
        <v>3</v>
      </c>
      <c r="F134" s="777">
        <f ca="1">DATE(H134,I134,J134)</f>
        <v>43706</v>
      </c>
      <c r="G134" s="773"/>
      <c r="H134" s="773">
        <f t="shared" ref="H134:I136" ca="1" si="1">H133</f>
        <v>2019</v>
      </c>
      <c r="I134" s="773">
        <f t="shared" ca="1" si="1"/>
        <v>8</v>
      </c>
      <c r="J134" s="773">
        <v>29</v>
      </c>
      <c r="K134" s="657"/>
      <c r="L134" s="657"/>
      <c r="M134" s="774"/>
      <c r="N134" s="657"/>
      <c r="O134" s="657"/>
      <c r="P134" s="657"/>
      <c r="Q134" s="657"/>
    </row>
    <row r="135" spans="1:17" ht="12.75" customHeight="1" x14ac:dyDescent="0.35">
      <c r="A135" s="657"/>
      <c r="B135" s="657"/>
      <c r="C135" s="657"/>
      <c r="D135" s="773">
        <v>2</v>
      </c>
      <c r="E135" s="773">
        <f ca="1">IF(E136&gt;0,E136,IF(MONTH(F135)=I135,D135,E136))</f>
        <v>3</v>
      </c>
      <c r="F135" s="777">
        <f ca="1">DATE(H135,I135,J135)</f>
        <v>43707</v>
      </c>
      <c r="G135" s="773"/>
      <c r="H135" s="773">
        <f t="shared" ca="1" si="1"/>
        <v>2019</v>
      </c>
      <c r="I135" s="773">
        <f t="shared" ca="1" si="1"/>
        <v>8</v>
      </c>
      <c r="J135" s="773">
        <v>30</v>
      </c>
      <c r="K135" s="657"/>
      <c r="L135" s="657"/>
      <c r="M135" s="774"/>
      <c r="N135" s="657"/>
      <c r="O135" s="657"/>
      <c r="P135" s="657"/>
      <c r="Q135" s="657"/>
    </row>
    <row r="136" spans="1:17" ht="12.75" customHeight="1" x14ac:dyDescent="0.35">
      <c r="A136" s="657"/>
      <c r="B136" s="657"/>
      <c r="C136" s="657"/>
      <c r="D136" s="773">
        <v>3</v>
      </c>
      <c r="E136" s="773">
        <f ca="1">IF(E137&gt;0,E137,IF(MONTH(F136)=I136,D136,E137))</f>
        <v>3</v>
      </c>
      <c r="F136" s="777">
        <f ca="1">DATE(H136,I136,J136)</f>
        <v>43708</v>
      </c>
      <c r="G136" s="773"/>
      <c r="H136" s="773">
        <f t="shared" ca="1" si="1"/>
        <v>2019</v>
      </c>
      <c r="I136" s="773">
        <f t="shared" ca="1" si="1"/>
        <v>8</v>
      </c>
      <c r="J136" s="773">
        <v>31</v>
      </c>
      <c r="K136" s="657"/>
      <c r="L136" s="657"/>
      <c r="M136" s="774"/>
      <c r="N136" s="657"/>
      <c r="O136" s="657"/>
      <c r="P136" s="657"/>
      <c r="Q136" s="657"/>
    </row>
    <row r="137" spans="1:17" ht="12.75" customHeight="1" x14ac:dyDescent="0.35">
      <c r="A137" s="778"/>
      <c r="B137" s="778"/>
      <c r="C137" s="778"/>
      <c r="D137" s="778"/>
      <c r="E137" s="778"/>
      <c r="F137" s="778"/>
      <c r="G137" s="778"/>
      <c r="H137" s="778"/>
      <c r="I137" s="778"/>
      <c r="J137" s="778"/>
      <c r="K137" s="778"/>
      <c r="L137" s="778"/>
      <c r="M137" s="779"/>
      <c r="N137" s="778"/>
      <c r="O137" s="778"/>
      <c r="P137" s="778"/>
      <c r="Q137" s="778"/>
    </row>
    <row r="138" spans="1:17" ht="12.75" customHeight="1" x14ac:dyDescent="0.35">
      <c r="A138" s="778"/>
      <c r="B138" s="778"/>
      <c r="C138" s="778"/>
      <c r="D138" s="778"/>
      <c r="E138" s="778"/>
      <c r="F138" s="778"/>
      <c r="G138" s="780">
        <f ca="1">HLOOKUP(0,NotDiscPaybackEquity,2)</f>
        <v>28</v>
      </c>
      <c r="H138" s="780">
        <f ca="1">IF(ISERROR(H139),G138,H139)</f>
        <v>40</v>
      </c>
      <c r="I138" s="780">
        <f ca="1">HLOOKUP(0,NotDiscPayback,2)</f>
        <v>28</v>
      </c>
      <c r="J138" s="780">
        <f ca="1">IF(ISERROR(J139),I138,J139)</f>
        <v>40</v>
      </c>
      <c r="K138" s="778"/>
      <c r="L138" s="778"/>
      <c r="M138" s="779"/>
      <c r="N138" s="778"/>
      <c r="O138" s="778"/>
      <c r="P138" s="778"/>
      <c r="Q138" s="778"/>
    </row>
    <row r="139" spans="1:17" ht="12.75" customHeight="1" x14ac:dyDescent="0.35">
      <c r="A139" s="778"/>
      <c r="B139" s="778"/>
      <c r="C139" s="778"/>
      <c r="D139" s="778"/>
      <c r="E139" s="778"/>
      <c r="F139" s="778"/>
      <c r="G139" s="780">
        <f ca="1">MATCH(G138,CumMonths,0)</f>
        <v>4</v>
      </c>
      <c r="H139" s="780">
        <f ca="1">OFFSET(Calculations!$E$1035,0,G139+Calculations!$D$7-COLUMN(ID))</f>
        <v>40</v>
      </c>
      <c r="I139" s="780">
        <f ca="1">MATCH(I138,CumMonths,0)</f>
        <v>4</v>
      </c>
      <c r="J139" s="780">
        <f ca="1">OFFSET(Calculations!$E$1035,0,I139+Calculations!$D$7-COLUMN(ID))</f>
        <v>40</v>
      </c>
      <c r="K139" s="778"/>
      <c r="L139" s="778"/>
      <c r="M139" s="779"/>
      <c r="N139" s="778"/>
      <c r="O139" s="778"/>
      <c r="P139" s="778"/>
      <c r="Q139" s="778"/>
    </row>
    <row r="140" spans="1:17" ht="12.75" customHeight="1" x14ac:dyDescent="0.35">
      <c r="A140" s="778"/>
      <c r="B140" s="778"/>
      <c r="C140" s="778"/>
      <c r="D140" s="778"/>
      <c r="E140" s="778"/>
      <c r="F140" s="778"/>
      <c r="G140" s="780"/>
      <c r="H140" s="780">
        <f ca="1">IF(ISERROR($G$139),"-",OFFSET(Calculations!$E$1223,0,$G$139+Calculations!$D$7-COLUMN(ID)-1))</f>
        <v>-1504517.8772548549</v>
      </c>
      <c r="I140" s="780"/>
      <c r="J140" s="780">
        <f ca="1">IF(ISERROR($I$139),"-",OFFSET(Calculations!$E$1219,0,$I$139+Calculations!$D$7-COLUMN(ID)-1))</f>
        <v>-1504517.8772548549</v>
      </c>
      <c r="K140" s="778"/>
      <c r="L140" s="778"/>
      <c r="M140" s="779"/>
      <c r="N140" s="778"/>
      <c r="O140" s="778"/>
      <c r="P140" s="778"/>
      <c r="Q140" s="778"/>
    </row>
    <row r="141" spans="1:17" ht="12.75" customHeight="1" x14ac:dyDescent="0.35">
      <c r="A141" s="778"/>
      <c r="B141" s="778"/>
      <c r="C141" s="778"/>
      <c r="D141" s="778"/>
      <c r="E141" s="778"/>
      <c r="F141" s="778"/>
      <c r="G141" s="780"/>
      <c r="H141" s="780">
        <f ca="1">IF(ISERROR($G$139),"-",OFFSET(Calculations!$E$1223,0,$G$139+Calculations!$D$7-COLUMN(ID)))</f>
        <v>6942985.4345090631</v>
      </c>
      <c r="I141" s="780"/>
      <c r="J141" s="780">
        <f ca="1">IF(ISERROR($I$139),"-",OFFSET(Calculations!$E$1219,0,$I$139+Calculations!$D$7-COLUMN(ID)))</f>
        <v>6942985.4345090631</v>
      </c>
      <c r="K141" s="778"/>
      <c r="L141" s="778"/>
      <c r="M141" s="779"/>
      <c r="N141" s="778"/>
      <c r="O141" s="778"/>
      <c r="P141" s="778"/>
      <c r="Q141" s="778"/>
    </row>
  </sheetData>
  <sheetProtection algorithmName="SHA-512" hashValue="Yzv+08L7Le62MRMlvs0o7hfDFBtjq/SkdE/2sgvtx9BbcdPBZjIau98QgXNW3HfdaKx5vMtWb90d9BCsVMkIUA==" saltValue="a0ptCV9hgRYp0rcx9bogsQ==" spinCount="100000" sheet="1" objects="1" scenarios="1" formatCells="0"/>
  <mergeCells count="33">
    <mergeCell ref="H43:J43"/>
    <mergeCell ref="E5:I5"/>
    <mergeCell ref="H15:J15"/>
    <mergeCell ref="H16:J16"/>
    <mergeCell ref="H33:J33"/>
    <mergeCell ref="H35:J35"/>
    <mergeCell ref="H36:J36"/>
    <mergeCell ref="H38:J38"/>
    <mergeCell ref="H39:J39"/>
    <mergeCell ref="H40:J40"/>
    <mergeCell ref="H41:J41"/>
    <mergeCell ref="H42:J42"/>
    <mergeCell ref="H62:J62"/>
    <mergeCell ref="H44:J44"/>
    <mergeCell ref="H45:J45"/>
    <mergeCell ref="H46:J46"/>
    <mergeCell ref="H47:J47"/>
    <mergeCell ref="H48:J48"/>
    <mergeCell ref="H51:J51"/>
    <mergeCell ref="H52:J52"/>
    <mergeCell ref="H53:J53"/>
    <mergeCell ref="H54:J54"/>
    <mergeCell ref="H55:J55"/>
    <mergeCell ref="H58:J58"/>
    <mergeCell ref="H96:J96"/>
    <mergeCell ref="E125:I125"/>
    <mergeCell ref="E126:J126"/>
    <mergeCell ref="H63:J63"/>
    <mergeCell ref="H64:J64"/>
    <mergeCell ref="H65:J65"/>
    <mergeCell ref="H81:J81"/>
    <mergeCell ref="H93:J93"/>
    <mergeCell ref="H95:J95"/>
  </mergeCells>
  <printOptions horizontalCentered="1" verticalCentered="1"/>
  <pageMargins left="0.35433070866141736" right="0.35433070866141736" top="0.78740157480314965" bottom="0.78740157480314965" header="0.51181102362204722" footer="0.51181102362204722"/>
  <pageSetup paperSize="9" orientation="portrait" r:id="rId1"/>
  <headerFooter>
    <oddFooter>&amp;L&amp;8Invest for Excel&amp;C&amp;8&amp;F&amp;R&amp;8&amp;D: &amp;T</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3" r:id="rId4" name="chkShowConclusions">
              <controlPr defaultSize="0" autoFill="0" autoLine="0" autoPict="0" macro="[0]!ResultConclusions">
                <anchor moveWithCells="1">
                  <from>
                    <xdr:col>3</xdr:col>
                    <xdr:colOff>0</xdr:colOff>
                    <xdr:row>128</xdr:row>
                    <xdr:rowOff>44450</xdr:rowOff>
                  </from>
                  <to>
                    <xdr:col>4</xdr:col>
                    <xdr:colOff>57150</xdr:colOff>
                    <xdr:row>130</xdr:row>
                    <xdr:rowOff>19050</xdr:rowOff>
                  </to>
                </anchor>
              </controlPr>
            </control>
          </mc:Choice>
        </mc:AlternateContent>
        <mc:AlternateContent xmlns:mc="http://schemas.openxmlformats.org/markup-compatibility/2006">
          <mc:Choice Requires="x14">
            <control shapeId="3074" r:id="rId5" name="cboPerpetuityBasePeriod">
              <controlPr defaultSize="0" autoFill="0" autoLine="0" autoPict="0">
                <anchor moveWithCells="1">
                  <from>
                    <xdr:col>4</xdr:col>
                    <xdr:colOff>177800</xdr:colOff>
                    <xdr:row>16</xdr:row>
                    <xdr:rowOff>0</xdr:rowOff>
                  </from>
                  <to>
                    <xdr:col>5</xdr:col>
                    <xdr:colOff>0</xdr:colOff>
                    <xdr:row>33</xdr:row>
                    <xdr:rowOff>50800</xdr:rowOff>
                  </to>
                </anchor>
              </controlPr>
            </control>
          </mc:Choice>
        </mc:AlternateContent>
        <mc:AlternateContent xmlns:mc="http://schemas.openxmlformats.org/markup-compatibility/2006">
          <mc:Choice Requires="x14">
            <control shapeId="3075" r:id="rId6" name="optPerpetuityBase1">
              <controlPr defaultSize="0" autoFill="0" autoLine="0" autoPict="0" macro="[0]!PerpetuityOptionPressed">
                <anchor moveWithCells="1">
                  <from>
                    <xdr:col>3</xdr:col>
                    <xdr:colOff>0</xdr:colOff>
                    <xdr:row>18</xdr:row>
                    <xdr:rowOff>0</xdr:rowOff>
                  </from>
                  <to>
                    <xdr:col>4</xdr:col>
                    <xdr:colOff>190500</xdr:colOff>
                    <xdr:row>34</xdr:row>
                    <xdr:rowOff>0</xdr:rowOff>
                  </to>
                </anchor>
              </controlPr>
            </control>
          </mc:Choice>
        </mc:AlternateContent>
        <mc:AlternateContent xmlns:mc="http://schemas.openxmlformats.org/markup-compatibility/2006">
          <mc:Choice Requires="x14">
            <control shapeId="3076" r:id="rId7" name="optPerpetuityBase2">
              <controlPr defaultSize="0" autoFill="0" autoLine="0" autoPict="0" macro="[0]!PerpetuityOptionPressed">
                <anchor moveWithCells="1">
                  <from>
                    <xdr:col>3</xdr:col>
                    <xdr:colOff>0</xdr:colOff>
                    <xdr:row>20</xdr:row>
                    <xdr:rowOff>0</xdr:rowOff>
                  </from>
                  <to>
                    <xdr:col>4</xdr:col>
                    <xdr:colOff>196850</xdr:colOff>
                    <xdr:row>34</xdr:row>
                    <xdr:rowOff>0</xdr:rowOff>
                  </to>
                </anchor>
              </controlPr>
            </control>
          </mc:Choice>
        </mc:AlternateContent>
        <mc:AlternateContent xmlns:mc="http://schemas.openxmlformats.org/markup-compatibility/2006">
          <mc:Choice Requires="x14">
            <control shapeId="3077" r:id="rId8" name="optPerpetuityNoGrowth">
              <controlPr defaultSize="0" autoFill="0" autoLine="0" autoPict="0" macro="[0]!PerpetuityOptionPressed">
                <anchor moveWithCells="1">
                  <from>
                    <xdr:col>3</xdr:col>
                    <xdr:colOff>0</xdr:colOff>
                    <xdr:row>24</xdr:row>
                    <xdr:rowOff>0</xdr:rowOff>
                  </from>
                  <to>
                    <xdr:col>4</xdr:col>
                    <xdr:colOff>177800</xdr:colOff>
                    <xdr:row>34</xdr:row>
                    <xdr:rowOff>0</xdr:rowOff>
                  </to>
                </anchor>
              </controlPr>
            </control>
          </mc:Choice>
        </mc:AlternateContent>
        <mc:AlternateContent xmlns:mc="http://schemas.openxmlformats.org/markup-compatibility/2006">
          <mc:Choice Requires="x14">
            <control shapeId="3078" r:id="rId9" name="optPerpetuityGrowth">
              <controlPr defaultSize="0" autoFill="0" autoLine="0" autoPict="0" macro="[0]!PerpetuityOptionPressed">
                <anchor moveWithCells="1">
                  <from>
                    <xdr:col>3</xdr:col>
                    <xdr:colOff>0</xdr:colOff>
                    <xdr:row>26</xdr:row>
                    <xdr:rowOff>0</xdr:rowOff>
                  </from>
                  <to>
                    <xdr:col>4</xdr:col>
                    <xdr:colOff>171450</xdr:colOff>
                    <xdr:row>34</xdr:row>
                    <xdr:rowOff>0</xdr:rowOff>
                  </to>
                </anchor>
              </controlPr>
            </control>
          </mc:Choice>
        </mc:AlternateContent>
        <mc:AlternateContent xmlns:mc="http://schemas.openxmlformats.org/markup-compatibility/2006">
          <mc:Choice Requires="x14">
            <control shapeId="3079" r:id="rId10" name="grpPerpetuityBase">
              <controlPr defaultSize="0" print="0" autoFill="0" autoPict="0">
                <anchor moveWithCells="1">
                  <from>
                    <xdr:col>2</xdr:col>
                    <xdr:colOff>0</xdr:colOff>
                    <xdr:row>16</xdr:row>
                    <xdr:rowOff>0</xdr:rowOff>
                  </from>
                  <to>
                    <xdr:col>6</xdr:col>
                    <xdr:colOff>38100</xdr:colOff>
                    <xdr:row>50</xdr:row>
                    <xdr:rowOff>57150</xdr:rowOff>
                  </to>
                </anchor>
              </controlPr>
            </control>
          </mc:Choice>
        </mc:AlternateContent>
        <mc:AlternateContent xmlns:mc="http://schemas.openxmlformats.org/markup-compatibility/2006">
          <mc:Choice Requires="x14">
            <control shapeId="3080" r:id="rId11" name="grpPerpetuityType">
              <controlPr defaultSize="0" print="0" autoFill="0" autoPict="0">
                <anchor moveWithCells="1">
                  <from>
                    <xdr:col>2</xdr:col>
                    <xdr:colOff>0</xdr:colOff>
                    <xdr:row>23</xdr:row>
                    <xdr:rowOff>6350</xdr:rowOff>
                  </from>
                  <to>
                    <xdr:col>6</xdr:col>
                    <xdr:colOff>38100</xdr:colOff>
                    <xdr:row>50</xdr:row>
                    <xdr:rowOff>57150</xdr:rowOff>
                  </to>
                </anchor>
              </controlPr>
            </control>
          </mc:Choice>
        </mc:AlternateContent>
        <mc:AlternateContent xmlns:mc="http://schemas.openxmlformats.org/markup-compatibility/2006">
          <mc:Choice Requires="x14">
            <control shapeId="3081" r:id="rId12" name="cboPerpetuityBasePeriodEquity">
              <controlPr defaultSize="0" autoFill="0" autoLine="0" autoPict="0">
                <anchor moveWithCells="1">
                  <from>
                    <xdr:col>4</xdr:col>
                    <xdr:colOff>177800</xdr:colOff>
                    <xdr:row>90</xdr:row>
                    <xdr:rowOff>0</xdr:rowOff>
                  </from>
                  <to>
                    <xdr:col>5</xdr:col>
                    <xdr:colOff>0</xdr:colOff>
                    <xdr:row>124</xdr:row>
                    <xdr:rowOff>146050</xdr:rowOff>
                  </to>
                </anchor>
              </controlPr>
            </control>
          </mc:Choice>
        </mc:AlternateContent>
        <mc:AlternateContent xmlns:mc="http://schemas.openxmlformats.org/markup-compatibility/2006">
          <mc:Choice Requires="x14">
            <control shapeId="3082" r:id="rId13" name="optPerpetuityBase1Equity">
              <controlPr defaultSize="0" autoFill="0" autoLine="0" autoPict="0" macro="[0]!PerpetuityOptionPressed">
                <anchor moveWithCells="1">
                  <from>
                    <xdr:col>3</xdr:col>
                    <xdr:colOff>0</xdr:colOff>
                    <xdr:row>98</xdr:row>
                    <xdr:rowOff>0</xdr:rowOff>
                  </from>
                  <to>
                    <xdr:col>4</xdr:col>
                    <xdr:colOff>190500</xdr:colOff>
                    <xdr:row>125</xdr:row>
                    <xdr:rowOff>0</xdr:rowOff>
                  </to>
                </anchor>
              </controlPr>
            </control>
          </mc:Choice>
        </mc:AlternateContent>
        <mc:AlternateContent xmlns:mc="http://schemas.openxmlformats.org/markup-compatibility/2006">
          <mc:Choice Requires="x14">
            <control shapeId="3083" r:id="rId14" name="optPerpetuityBase2Equity">
              <controlPr defaultSize="0" autoFill="0" autoLine="0" autoPict="0" macro="[0]!PerpetuityOptionPressed">
                <anchor moveWithCells="1">
                  <from>
                    <xdr:col>3</xdr:col>
                    <xdr:colOff>0</xdr:colOff>
                    <xdr:row>100</xdr:row>
                    <xdr:rowOff>0</xdr:rowOff>
                  </from>
                  <to>
                    <xdr:col>4</xdr:col>
                    <xdr:colOff>196850</xdr:colOff>
                    <xdr:row>125</xdr:row>
                    <xdr:rowOff>0</xdr:rowOff>
                  </to>
                </anchor>
              </controlPr>
            </control>
          </mc:Choice>
        </mc:AlternateContent>
        <mc:AlternateContent xmlns:mc="http://schemas.openxmlformats.org/markup-compatibility/2006">
          <mc:Choice Requires="x14">
            <control shapeId="3084" r:id="rId15" name="optPerpetuityNoGrowthEquity">
              <controlPr defaultSize="0" autoFill="0" autoLine="0" autoPict="0" macro="[0]!PerpetuityOptionPressed">
                <anchor moveWithCells="1">
                  <from>
                    <xdr:col>3</xdr:col>
                    <xdr:colOff>0</xdr:colOff>
                    <xdr:row>104</xdr:row>
                    <xdr:rowOff>0</xdr:rowOff>
                  </from>
                  <to>
                    <xdr:col>4</xdr:col>
                    <xdr:colOff>177800</xdr:colOff>
                    <xdr:row>125</xdr:row>
                    <xdr:rowOff>0</xdr:rowOff>
                  </to>
                </anchor>
              </controlPr>
            </control>
          </mc:Choice>
        </mc:AlternateContent>
        <mc:AlternateContent xmlns:mc="http://schemas.openxmlformats.org/markup-compatibility/2006">
          <mc:Choice Requires="x14">
            <control shapeId="3085" r:id="rId16" name="optPerpetuityGrowthEquity">
              <controlPr defaultSize="0" autoFill="0" autoLine="0" autoPict="0" macro="[0]!PerpetuityOptionPressed">
                <anchor moveWithCells="1">
                  <from>
                    <xdr:col>3</xdr:col>
                    <xdr:colOff>0</xdr:colOff>
                    <xdr:row>106</xdr:row>
                    <xdr:rowOff>0</xdr:rowOff>
                  </from>
                  <to>
                    <xdr:col>4</xdr:col>
                    <xdr:colOff>171450</xdr:colOff>
                    <xdr:row>125</xdr:row>
                    <xdr:rowOff>0</xdr:rowOff>
                  </to>
                </anchor>
              </controlPr>
            </control>
          </mc:Choice>
        </mc:AlternateContent>
        <mc:AlternateContent xmlns:mc="http://schemas.openxmlformats.org/markup-compatibility/2006">
          <mc:Choice Requires="x14">
            <control shapeId="3086" r:id="rId17" name="grpPerpetuityBaseEquity">
              <controlPr defaultSize="0" print="0" autoFill="0" autoPict="0">
                <anchor moveWithCells="1">
                  <from>
                    <xdr:col>2</xdr:col>
                    <xdr:colOff>0</xdr:colOff>
                    <xdr:row>96</xdr:row>
                    <xdr:rowOff>0</xdr:rowOff>
                  </from>
                  <to>
                    <xdr:col>6</xdr:col>
                    <xdr:colOff>38100</xdr:colOff>
                    <xdr:row>129</xdr:row>
                    <xdr:rowOff>63500</xdr:rowOff>
                  </to>
                </anchor>
              </controlPr>
            </control>
          </mc:Choice>
        </mc:AlternateContent>
        <mc:AlternateContent xmlns:mc="http://schemas.openxmlformats.org/markup-compatibility/2006">
          <mc:Choice Requires="x14">
            <control shapeId="3087" r:id="rId18" name="grpPerpetuityTypeEquity">
              <controlPr defaultSize="0" print="0" autoFill="0" autoPict="0">
                <anchor moveWithCells="1">
                  <from>
                    <xdr:col>2</xdr:col>
                    <xdr:colOff>0</xdr:colOff>
                    <xdr:row>103</xdr:row>
                    <xdr:rowOff>6350</xdr:rowOff>
                  </from>
                  <to>
                    <xdr:col>6</xdr:col>
                    <xdr:colOff>38100</xdr:colOff>
                    <xdr:row>129</xdr:row>
                    <xdr:rowOff>63500</xdr:rowOff>
                  </to>
                </anchor>
              </controlPr>
            </control>
          </mc:Choice>
        </mc:AlternateContent>
        <mc:AlternateContent xmlns:mc="http://schemas.openxmlformats.org/markup-compatibility/2006">
          <mc:Choice Requires="x14">
            <control shapeId="3088" r:id="rId19" name="PerpetuityLimitDD">
              <controlPr defaultSize="0" autoLine="0" autoPict="0">
                <anchor moveWithCells="1">
                  <from>
                    <xdr:col>9</xdr:col>
                    <xdr:colOff>0</xdr:colOff>
                    <xdr:row>16</xdr:row>
                    <xdr:rowOff>0</xdr:rowOff>
                  </from>
                  <to>
                    <xdr:col>10</xdr:col>
                    <xdr:colOff>0</xdr:colOff>
                    <xdr:row>33</xdr:row>
                    <xdr:rowOff>50800</xdr:rowOff>
                  </to>
                </anchor>
              </controlPr>
            </control>
          </mc:Choice>
        </mc:AlternateContent>
        <mc:AlternateContent xmlns:mc="http://schemas.openxmlformats.org/markup-compatibility/2006">
          <mc:Choice Requires="x14">
            <control shapeId="3089" r:id="rId20" name="PerpetuityLimitDDEquity">
              <controlPr defaultSize="0" autoLine="0" autoPict="0">
                <anchor moveWithCells="1">
                  <from>
                    <xdr:col>9</xdr:col>
                    <xdr:colOff>0</xdr:colOff>
                    <xdr:row>90</xdr:row>
                    <xdr:rowOff>0</xdr:rowOff>
                  </from>
                  <to>
                    <xdr:col>10</xdr:col>
                    <xdr:colOff>0</xdr:colOff>
                    <xdr:row>124</xdr:row>
                    <xdr:rowOff>146050</xdr:rowOff>
                  </to>
                </anchor>
              </controlPr>
            </control>
          </mc:Choice>
        </mc:AlternateContent>
        <mc:AlternateContent xmlns:mc="http://schemas.openxmlformats.org/markup-compatibility/2006">
          <mc:Choice Requires="x14">
            <control shapeId="3090" r:id="rId21" name="cboEVEbitda">
              <controlPr defaultSize="0" autoLine="0" autoPict="0">
                <anchor moveWithCells="1">
                  <from>
                    <xdr:col>9</xdr:col>
                    <xdr:colOff>44450</xdr:colOff>
                    <xdr:row>48</xdr:row>
                    <xdr:rowOff>6350</xdr:rowOff>
                  </from>
                  <to>
                    <xdr:col>9</xdr:col>
                    <xdr:colOff>558800</xdr:colOff>
                    <xdr:row>51</xdr:row>
                    <xdr:rowOff>25400</xdr:rowOff>
                  </to>
                </anchor>
              </controlPr>
            </control>
          </mc:Choice>
        </mc:AlternateContent>
      </controls>
    </mc:Choice>
  </mc:AlternateConten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3">
    <pageSetUpPr autoPageBreaks="0"/>
  </sheetPr>
  <dimension ref="A1:D225"/>
  <sheetViews>
    <sheetView topLeftCell="A198" workbookViewId="0">
      <selection activeCell="C221" sqref="C221"/>
    </sheetView>
  </sheetViews>
  <sheetFormatPr defaultColWidth="9.1796875" defaultRowHeight="14.5" x14ac:dyDescent="0.35"/>
  <cols>
    <col min="1" max="16384" width="9.1796875" style="97"/>
  </cols>
  <sheetData>
    <row r="1" spans="1:4" ht="12.75" customHeight="1" x14ac:dyDescent="0.35">
      <c r="A1" s="28"/>
      <c r="B1" s="28"/>
      <c r="C1" s="28"/>
      <c r="D1" s="28"/>
    </row>
    <row r="2" spans="1:4" ht="12.75" customHeight="1" x14ac:dyDescent="0.35">
      <c r="A2" s="28"/>
      <c r="B2" s="28"/>
      <c r="C2" s="28"/>
      <c r="D2" s="28"/>
    </row>
    <row r="3" spans="1:4" ht="12.75" customHeight="1" x14ac:dyDescent="0.35">
      <c r="A3" s="28"/>
      <c r="B3" s="28"/>
      <c r="C3" s="28" t="s">
        <v>4289</v>
      </c>
      <c r="D3" s="28"/>
    </row>
    <row r="4" spans="1:4" ht="12.75" customHeight="1" x14ac:dyDescent="0.35">
      <c r="A4" s="28"/>
      <c r="B4" s="28"/>
      <c r="C4" s="28"/>
      <c r="D4" s="28"/>
    </row>
    <row r="5" spans="1:4" ht="12.75" customHeight="1" x14ac:dyDescent="0.35">
      <c r="A5" s="28"/>
      <c r="B5" s="28"/>
      <c r="C5" s="28"/>
      <c r="D5" s="28" t="s">
        <v>4290</v>
      </c>
    </row>
    <row r="6" spans="1:4" ht="12.75" customHeight="1" x14ac:dyDescent="0.35">
      <c r="A6" s="28"/>
      <c r="B6" s="28"/>
      <c r="C6" s="28"/>
      <c r="D6" s="28" t="s">
        <v>4291</v>
      </c>
    </row>
    <row r="7" spans="1:4" ht="12.75" customHeight="1" x14ac:dyDescent="0.35">
      <c r="A7" s="28"/>
      <c r="B7" s="28"/>
      <c r="C7" s="28"/>
      <c r="D7" s="105" t="s">
        <v>4292</v>
      </c>
    </row>
    <row r="8" spans="1:4" ht="12.75" customHeight="1" x14ac:dyDescent="0.35">
      <c r="A8" s="28"/>
      <c r="B8" s="28"/>
      <c r="C8" s="28"/>
      <c r="D8" s="28"/>
    </row>
    <row r="9" spans="1:4" ht="12.75" customHeight="1" x14ac:dyDescent="0.35">
      <c r="A9" s="28"/>
      <c r="B9" s="28"/>
      <c r="C9" s="28"/>
      <c r="D9" s="28"/>
    </row>
    <row r="10" spans="1:4" ht="12.75" customHeight="1" x14ac:dyDescent="0.35">
      <c r="A10" s="28"/>
      <c r="B10" s="28"/>
      <c r="C10" s="28"/>
      <c r="D10" s="28"/>
    </row>
    <row r="11" spans="1:4" ht="12.75" customHeight="1" x14ac:dyDescent="0.35">
      <c r="A11" s="28"/>
      <c r="B11" s="28"/>
      <c r="C11" s="28"/>
      <c r="D11" s="28"/>
    </row>
    <row r="12" spans="1:4" ht="12.75" customHeight="1" x14ac:dyDescent="0.35">
      <c r="A12" s="28"/>
      <c r="B12" s="28"/>
      <c r="C12" s="28"/>
      <c r="D12" s="28"/>
    </row>
    <row r="13" spans="1:4" ht="12.75" customHeight="1" x14ac:dyDescent="0.35">
      <c r="A13" s="28"/>
      <c r="B13" s="28"/>
      <c r="C13" s="28"/>
      <c r="D13" s="28"/>
    </row>
    <row r="14" spans="1:4" ht="12.75" customHeight="1" x14ac:dyDescent="0.35">
      <c r="A14" s="28"/>
      <c r="B14" s="28"/>
      <c r="C14" s="28"/>
      <c r="D14" s="28"/>
    </row>
    <row r="15" spans="1:4" ht="12.75" customHeight="1" x14ac:dyDescent="0.35">
      <c r="A15" s="28"/>
      <c r="B15" s="28"/>
      <c r="C15" s="28"/>
      <c r="D15" s="28"/>
    </row>
    <row r="16" spans="1:4" ht="12.75" customHeight="1" x14ac:dyDescent="0.35">
      <c r="A16" s="28"/>
      <c r="B16" s="28"/>
      <c r="C16" s="28"/>
      <c r="D16" s="28"/>
    </row>
    <row r="17" spans="1:4" ht="12.75" customHeight="1" x14ac:dyDescent="0.35">
      <c r="A17" s="28"/>
      <c r="B17" s="28"/>
      <c r="C17" s="28"/>
      <c r="D17" s="28"/>
    </row>
    <row r="18" spans="1:4" ht="12.75" customHeight="1" x14ac:dyDescent="0.35">
      <c r="A18" s="28"/>
      <c r="B18" s="28"/>
      <c r="C18" s="28"/>
      <c r="D18" s="28"/>
    </row>
    <row r="19" spans="1:4" ht="12.75" customHeight="1" x14ac:dyDescent="0.35">
      <c r="A19" s="28"/>
      <c r="B19" s="28"/>
      <c r="C19" s="28"/>
      <c r="D19" s="28"/>
    </row>
    <row r="20" spans="1:4" ht="12.75" customHeight="1" x14ac:dyDescent="0.35">
      <c r="A20" s="28"/>
      <c r="B20" s="28"/>
      <c r="C20" s="28"/>
      <c r="D20" s="28"/>
    </row>
    <row r="21" spans="1:4" ht="12.75" customHeight="1" x14ac:dyDescent="0.35">
      <c r="A21" s="28"/>
      <c r="B21" s="28"/>
      <c r="C21" s="28"/>
      <c r="D21" s="28"/>
    </row>
    <row r="22" spans="1:4" ht="12.75" customHeight="1" x14ac:dyDescent="0.35">
      <c r="A22" s="28"/>
      <c r="B22" s="28"/>
      <c r="C22" s="28"/>
      <c r="D22" s="28"/>
    </row>
    <row r="23" spans="1:4" ht="12.75" customHeight="1" x14ac:dyDescent="0.35">
      <c r="A23" s="28"/>
      <c r="B23" s="28"/>
      <c r="C23" s="28"/>
      <c r="D23" s="28"/>
    </row>
    <row r="24" spans="1:4" ht="12.75" customHeight="1" x14ac:dyDescent="0.35">
      <c r="A24" s="28"/>
      <c r="B24" s="28"/>
      <c r="C24" s="28"/>
      <c r="D24" s="28"/>
    </row>
    <row r="25" spans="1:4" ht="12.75" customHeight="1" x14ac:dyDescent="0.35">
      <c r="A25" s="28"/>
      <c r="B25" s="28"/>
      <c r="C25" s="28"/>
      <c r="D25" s="28"/>
    </row>
    <row r="26" spans="1:4" ht="12.75" customHeight="1" x14ac:dyDescent="0.35">
      <c r="A26" s="28"/>
      <c r="B26" s="28"/>
      <c r="C26" s="28"/>
      <c r="D26" s="28"/>
    </row>
    <row r="27" spans="1:4" ht="12.75" customHeight="1" x14ac:dyDescent="0.35">
      <c r="A27" s="28"/>
      <c r="B27" s="28"/>
      <c r="C27" s="28"/>
      <c r="D27" s="28"/>
    </row>
    <row r="28" spans="1:4" ht="12.75" customHeight="1" x14ac:dyDescent="0.35">
      <c r="A28" s="28"/>
      <c r="B28" s="28"/>
      <c r="C28" s="28"/>
      <c r="D28" s="28"/>
    </row>
    <row r="29" spans="1:4" ht="12.75" customHeight="1" x14ac:dyDescent="0.35">
      <c r="A29" s="28"/>
      <c r="B29" s="28"/>
      <c r="C29" s="28"/>
      <c r="D29" s="28"/>
    </row>
    <row r="30" spans="1:4" ht="12.75" customHeight="1" x14ac:dyDescent="0.35">
      <c r="A30" s="28"/>
      <c r="B30" s="28"/>
      <c r="C30" s="28"/>
      <c r="D30" s="28"/>
    </row>
    <row r="31" spans="1:4" ht="12.75" customHeight="1" x14ac:dyDescent="0.35">
      <c r="A31" s="28"/>
      <c r="B31" s="28"/>
      <c r="C31" s="28"/>
      <c r="D31" s="28"/>
    </row>
    <row r="32" spans="1:4" ht="12.75" customHeight="1" x14ac:dyDescent="0.35">
      <c r="A32" s="28"/>
      <c r="B32" s="28"/>
      <c r="C32" s="28"/>
      <c r="D32" s="28"/>
    </row>
    <row r="33" spans="1:4" ht="12.75" customHeight="1" x14ac:dyDescent="0.35">
      <c r="A33" s="28"/>
      <c r="B33" s="28"/>
      <c r="C33" s="28"/>
      <c r="D33" s="28"/>
    </row>
    <row r="34" spans="1:4" ht="12.75" customHeight="1" x14ac:dyDescent="0.35">
      <c r="A34" s="28"/>
      <c r="B34" s="28"/>
      <c r="C34" s="28"/>
      <c r="D34" s="28"/>
    </row>
    <row r="35" spans="1:4" ht="12.75" customHeight="1" x14ac:dyDescent="0.35">
      <c r="A35" s="28"/>
      <c r="B35" s="28"/>
      <c r="C35" s="28"/>
      <c r="D35" s="28"/>
    </row>
    <row r="36" spans="1:4" ht="12.75" customHeight="1" x14ac:dyDescent="0.35">
      <c r="A36" s="28"/>
      <c r="B36" s="28"/>
      <c r="C36" s="28"/>
      <c r="D36" s="28"/>
    </row>
    <row r="37" spans="1:4" ht="12.75" customHeight="1" x14ac:dyDescent="0.35">
      <c r="A37" s="28"/>
      <c r="B37" s="28"/>
      <c r="C37" s="28"/>
      <c r="D37" s="28"/>
    </row>
    <row r="38" spans="1:4" ht="12.75" customHeight="1" x14ac:dyDescent="0.35">
      <c r="A38" s="28"/>
      <c r="B38" s="28"/>
      <c r="C38" s="28"/>
      <c r="D38" s="28"/>
    </row>
    <row r="39" spans="1:4" ht="12.75" customHeight="1" x14ac:dyDescent="0.35">
      <c r="A39" s="28"/>
      <c r="B39" s="28"/>
      <c r="C39" s="28"/>
      <c r="D39" s="28"/>
    </row>
    <row r="40" spans="1:4" ht="12.75" customHeight="1" x14ac:dyDescent="0.35">
      <c r="A40" s="28"/>
      <c r="B40" s="28"/>
      <c r="C40" s="28"/>
      <c r="D40" s="28"/>
    </row>
    <row r="41" spans="1:4" ht="12.75" customHeight="1" x14ac:dyDescent="0.35">
      <c r="A41" s="28"/>
      <c r="B41" s="28"/>
      <c r="C41"/>
      <c r="D41" s="28"/>
    </row>
    <row r="42" spans="1:4" ht="12.75" customHeight="1" x14ac:dyDescent="0.35">
      <c r="A42" s="28"/>
      <c r="B42" s="28"/>
      <c r="C42"/>
      <c r="D42" s="28"/>
    </row>
    <row r="43" spans="1:4" ht="12.75" customHeight="1" x14ac:dyDescent="0.35">
      <c r="A43" s="28"/>
      <c r="B43" s="28"/>
      <c r="C43"/>
      <c r="D43" s="28"/>
    </row>
    <row r="44" spans="1:4" ht="12.75" customHeight="1" x14ac:dyDescent="0.35">
      <c r="A44" s="28"/>
      <c r="B44" s="28"/>
      <c r="C44" s="28" t="s">
        <v>4293</v>
      </c>
      <c r="D44" s="28"/>
    </row>
    <row r="45" spans="1:4" ht="12.75" customHeight="1" x14ac:dyDescent="0.35">
      <c r="A45" s="28"/>
      <c r="B45" s="28"/>
      <c r="C45" s="28"/>
      <c r="D45"/>
    </row>
    <row r="46" spans="1:4" ht="12.75" customHeight="1" x14ac:dyDescent="0.35">
      <c r="A46" s="28"/>
      <c r="B46" s="28"/>
      <c r="C46" s="28"/>
      <c r="D46" s="28" t="str">
        <f>" Kokonaisinvestointi, "&amp;IF(Figures&gt;1,Figures&amp;" ","")&amp;Currency</f>
        <v xml:space="preserve"> Kokonaisinvestointi, Euro</v>
      </c>
    </row>
    <row r="47" spans="1:4" ht="12.75" customHeight="1" x14ac:dyDescent="0.35">
      <c r="A47" s="28"/>
      <c r="B47" s="28"/>
      <c r="C47" s="28"/>
      <c r="D47" s="28"/>
    </row>
    <row r="48" spans="1:4" ht="12.75" customHeight="1" x14ac:dyDescent="0.35">
      <c r="A48" s="28"/>
      <c r="B48" s="28"/>
      <c r="C48" s="28"/>
      <c r="D48" s="28"/>
    </row>
    <row r="49" spans="1:4" ht="12.75" customHeight="1" x14ac:dyDescent="0.35">
      <c r="A49" s="28"/>
      <c r="B49" s="28"/>
      <c r="C49" s="28"/>
      <c r="D49" s="28"/>
    </row>
    <row r="50" spans="1:4" ht="12.75" customHeight="1" x14ac:dyDescent="0.35">
      <c r="A50" s="28"/>
      <c r="B50" s="28"/>
      <c r="C50" s="28"/>
      <c r="D50" s="28"/>
    </row>
    <row r="51" spans="1:4" ht="12.75" customHeight="1" x14ac:dyDescent="0.35">
      <c r="A51" s="28"/>
      <c r="B51" s="28"/>
      <c r="C51" s="28"/>
      <c r="D51" s="28"/>
    </row>
    <row r="52" spans="1:4" ht="12.75" customHeight="1" x14ac:dyDescent="0.35">
      <c r="A52" s="28"/>
      <c r="B52" s="28"/>
      <c r="C52" s="28"/>
      <c r="D52" s="28"/>
    </row>
    <row r="53" spans="1:4" ht="12.75" customHeight="1" x14ac:dyDescent="0.35">
      <c r="A53" s="28"/>
      <c r="B53" s="28"/>
      <c r="C53" s="28"/>
      <c r="D53" s="28"/>
    </row>
    <row r="54" spans="1:4" ht="12.75" customHeight="1" x14ac:dyDescent="0.35">
      <c r="A54" s="28"/>
      <c r="B54" s="28"/>
      <c r="C54" s="28"/>
      <c r="D54" s="28"/>
    </row>
    <row r="55" spans="1:4" ht="12.75" customHeight="1" x14ac:dyDescent="0.35">
      <c r="A55" s="28"/>
      <c r="B55" s="28"/>
      <c r="C55" s="28"/>
      <c r="D55" s="28"/>
    </row>
    <row r="56" spans="1:4" ht="12.75" customHeight="1" x14ac:dyDescent="0.35">
      <c r="A56" s="28"/>
      <c r="B56" s="28"/>
      <c r="C56" s="28"/>
      <c r="D56" s="28"/>
    </row>
    <row r="57" spans="1:4" ht="12.75" customHeight="1" x14ac:dyDescent="0.35">
      <c r="A57" s="28"/>
      <c r="B57" s="28"/>
      <c r="C57" s="28"/>
      <c r="D57" s="28"/>
    </row>
    <row r="58" spans="1:4" ht="12.75" customHeight="1" x14ac:dyDescent="0.35">
      <c r="A58" s="28"/>
      <c r="B58" s="28"/>
      <c r="C58" s="28"/>
      <c r="D58" s="28"/>
    </row>
    <row r="59" spans="1:4" ht="12.75" customHeight="1" x14ac:dyDescent="0.35">
      <c r="A59" s="28"/>
      <c r="B59" s="28"/>
      <c r="C59" s="28"/>
      <c r="D59" s="28"/>
    </row>
    <row r="60" spans="1:4" ht="12.75" customHeight="1" x14ac:dyDescent="0.35">
      <c r="A60" s="28"/>
      <c r="B60" s="28"/>
      <c r="C60" s="28"/>
      <c r="D60" s="28"/>
    </row>
    <row r="61" spans="1:4" ht="12.75" customHeight="1" x14ac:dyDescent="0.35">
      <c r="A61" s="28"/>
      <c r="B61" s="28"/>
      <c r="C61" s="28"/>
      <c r="D61" s="28"/>
    </row>
    <row r="62" spans="1:4" ht="12.75" customHeight="1" x14ac:dyDescent="0.35">
      <c r="A62" s="28"/>
      <c r="B62" s="28"/>
      <c r="C62" s="28"/>
      <c r="D62" s="28"/>
    </row>
    <row r="63" spans="1:4" ht="12.75" customHeight="1" x14ac:dyDescent="0.35">
      <c r="A63" s="28"/>
      <c r="B63" s="28"/>
      <c r="C63" s="28"/>
      <c r="D63" s="28"/>
    </row>
    <row r="64" spans="1:4" ht="12.75" customHeight="1" x14ac:dyDescent="0.35">
      <c r="A64" s="28"/>
      <c r="B64" s="28"/>
      <c r="C64" s="28"/>
      <c r="D64" s="28"/>
    </row>
    <row r="65" spans="1:4" ht="12.75" customHeight="1" x14ac:dyDescent="0.35">
      <c r="A65" s="28"/>
      <c r="B65" s="28"/>
      <c r="C65" s="28"/>
      <c r="D65" s="28"/>
    </row>
    <row r="66" spans="1:4" ht="12.75" customHeight="1" x14ac:dyDescent="0.35">
      <c r="A66" s="28"/>
      <c r="B66" s="28"/>
      <c r="C66" s="28"/>
      <c r="D66" s="28"/>
    </row>
    <row r="67" spans="1:4" ht="12.75" customHeight="1" x14ac:dyDescent="0.35">
      <c r="A67" s="28"/>
      <c r="B67" s="28"/>
      <c r="C67" s="28"/>
      <c r="D67" s="28"/>
    </row>
    <row r="68" spans="1:4" ht="12.75" customHeight="1" x14ac:dyDescent="0.35">
      <c r="A68" s="28"/>
      <c r="B68" s="28"/>
      <c r="C68" s="28"/>
      <c r="D68" s="28"/>
    </row>
    <row r="69" spans="1:4" ht="12.75" customHeight="1" x14ac:dyDescent="0.35">
      <c r="A69" s="28"/>
      <c r="B69" s="28"/>
      <c r="C69" s="28"/>
      <c r="D69" s="28"/>
    </row>
    <row r="70" spans="1:4" ht="12.75" customHeight="1" x14ac:dyDescent="0.35">
      <c r="A70" s="28"/>
      <c r="B70" s="28"/>
      <c r="C70" s="28"/>
      <c r="D70" s="28"/>
    </row>
    <row r="71" spans="1:4" ht="12.75" customHeight="1" x14ac:dyDescent="0.35">
      <c r="A71" s="28"/>
      <c r="B71" s="28"/>
      <c r="C71" s="28"/>
      <c r="D71" s="28"/>
    </row>
    <row r="72" spans="1:4" ht="12.75" customHeight="1" x14ac:dyDescent="0.35">
      <c r="A72" s="28"/>
      <c r="B72" s="28"/>
      <c r="C72" s="28"/>
      <c r="D72"/>
    </row>
    <row r="73" spans="1:4" ht="12.75" customHeight="1" x14ac:dyDescent="0.35">
      <c r="A73" s="28"/>
      <c r="B73" s="28"/>
      <c r="C73" s="28"/>
      <c r="D73" s="28"/>
    </row>
    <row r="74" spans="1:4" ht="12.75" customHeight="1" x14ac:dyDescent="0.35">
      <c r="A74" s="28"/>
      <c r="B74" s="28"/>
      <c r="C74" s="28"/>
      <c r="D74" s="28"/>
    </row>
    <row r="75" spans="1:4" ht="12.75" customHeight="1" x14ac:dyDescent="0.35">
      <c r="A75" s="28"/>
      <c r="B75" s="28"/>
      <c r="C75" s="28"/>
      <c r="D75" s="28"/>
    </row>
    <row r="76" spans="1:4" ht="12.75" customHeight="1" x14ac:dyDescent="0.35">
      <c r="A76" s="28"/>
      <c r="B76" s="28"/>
      <c r="C76" s="28"/>
      <c r="D76" s="28"/>
    </row>
    <row r="77" spans="1:4" ht="12.75" customHeight="1" x14ac:dyDescent="0.35">
      <c r="A77" s="28"/>
      <c r="B77" s="28"/>
      <c r="C77" s="28"/>
      <c r="D77" s="28"/>
    </row>
    <row r="78" spans="1:4" ht="12.75" customHeight="1" x14ac:dyDescent="0.35">
      <c r="A78" s="28"/>
      <c r="B78" s="28"/>
      <c r="C78" s="28"/>
      <c r="D78" s="28" t="s">
        <v>4294</v>
      </c>
    </row>
    <row r="79" spans="1:4" ht="12.75" customHeight="1" x14ac:dyDescent="0.35">
      <c r="A79" s="28"/>
      <c r="B79" s="28"/>
      <c r="C79" s="28"/>
      <c r="D79" s="28"/>
    </row>
    <row r="80" spans="1:4" ht="12.75" customHeight="1" x14ac:dyDescent="0.35">
      <c r="A80" s="28"/>
      <c r="B80" s="28"/>
      <c r="C80" s="28"/>
      <c r="D80" s="28"/>
    </row>
    <row r="81" spans="1:4" ht="12.75" customHeight="1" x14ac:dyDescent="0.35">
      <c r="A81" s="28"/>
      <c r="B81" s="28"/>
      <c r="C81" s="28"/>
      <c r="D81" s="28"/>
    </row>
    <row r="82" spans="1:4" ht="12.75" customHeight="1" x14ac:dyDescent="0.35">
      <c r="A82" s="28"/>
      <c r="B82" s="28"/>
      <c r="C82" s="28"/>
      <c r="D82" s="28"/>
    </row>
    <row r="83" spans="1:4" ht="12.75" customHeight="1" x14ac:dyDescent="0.35">
      <c r="A83" s="28"/>
      <c r="B83" s="28"/>
      <c r="C83" s="28"/>
      <c r="D83" s="28"/>
    </row>
    <row r="84" spans="1:4" ht="12.75" customHeight="1" x14ac:dyDescent="0.35">
      <c r="A84" s="28"/>
      <c r="B84" s="28"/>
      <c r="C84" s="28"/>
      <c r="D84" s="28"/>
    </row>
    <row r="85" spans="1:4" ht="12.75" customHeight="1" x14ac:dyDescent="0.35">
      <c r="A85" s="28"/>
      <c r="B85" s="28"/>
      <c r="C85" s="28"/>
      <c r="D85" s="28"/>
    </row>
    <row r="86" spans="1:4" ht="12.75" customHeight="1" x14ac:dyDescent="0.35">
      <c r="A86" s="28"/>
      <c r="B86" s="28"/>
      <c r="C86" s="28"/>
      <c r="D86" s="28"/>
    </row>
    <row r="87" spans="1:4" ht="12.75" customHeight="1" x14ac:dyDescent="0.35">
      <c r="A87" s="28"/>
      <c r="B87" s="28"/>
      <c r="C87" s="28"/>
      <c r="D87" s="28"/>
    </row>
    <row r="88" spans="1:4" ht="12.75" customHeight="1" x14ac:dyDescent="0.35">
      <c r="A88" s="28"/>
      <c r="B88" s="28"/>
      <c r="C88" s="28"/>
      <c r="D88" s="28"/>
    </row>
    <row r="89" spans="1:4" ht="12.75" customHeight="1" x14ac:dyDescent="0.35">
      <c r="A89" s="28"/>
      <c r="B89" s="28"/>
      <c r="C89" s="28" t="s">
        <v>4295</v>
      </c>
      <c r="D89" s="28"/>
    </row>
    <row r="90" spans="1:4" ht="12.75" customHeight="1" x14ac:dyDescent="0.35">
      <c r="A90" s="28"/>
      <c r="B90" s="28"/>
      <c r="C90" s="28"/>
      <c r="D90" s="28"/>
    </row>
    <row r="91" spans="1:4" ht="12.75" customHeight="1" x14ac:dyDescent="0.35">
      <c r="A91" s="28"/>
      <c r="B91" s="28"/>
      <c r="C91"/>
      <c r="D91" s="28" t="s">
        <v>4296</v>
      </c>
    </row>
    <row r="92" spans="1:4" ht="12.75" customHeight="1" x14ac:dyDescent="0.35">
      <c r="A92" s="28"/>
      <c r="B92" s="28"/>
      <c r="C92" s="28"/>
      <c r="D92" s="28"/>
    </row>
    <row r="93" spans="1:4" ht="12.75" customHeight="1" x14ac:dyDescent="0.35">
      <c r="A93" s="28"/>
      <c r="B93" s="28"/>
      <c r="C93" s="28"/>
      <c r="D93"/>
    </row>
    <row r="94" spans="1:4" ht="12.75" customHeight="1" x14ac:dyDescent="0.35">
      <c r="A94" s="28"/>
      <c r="B94" s="28"/>
      <c r="C94" s="28"/>
      <c r="D94" s="28"/>
    </row>
    <row r="95" spans="1:4" ht="12.75" customHeight="1" x14ac:dyDescent="0.35">
      <c r="A95" s="28"/>
      <c r="B95" s="28"/>
      <c r="C95" s="28"/>
      <c r="D95" s="28"/>
    </row>
    <row r="96" spans="1:4" ht="12.75" customHeight="1" x14ac:dyDescent="0.35">
      <c r="A96" s="28"/>
      <c r="B96" s="28"/>
      <c r="C96" s="28"/>
      <c r="D96" s="28"/>
    </row>
    <row r="97" spans="1:4" ht="12.75" customHeight="1" x14ac:dyDescent="0.35">
      <c r="A97" s="28"/>
      <c r="B97" s="28"/>
      <c r="C97" s="28"/>
      <c r="D97" s="28"/>
    </row>
    <row r="98" spans="1:4" ht="12.75" customHeight="1" x14ac:dyDescent="0.35">
      <c r="A98" s="28"/>
      <c r="B98" s="28"/>
      <c r="C98" s="28"/>
      <c r="D98" s="28"/>
    </row>
    <row r="99" spans="1:4" ht="12.75" customHeight="1" x14ac:dyDescent="0.35">
      <c r="A99" s="28"/>
      <c r="B99" s="28"/>
      <c r="C99" s="28"/>
      <c r="D99" s="28"/>
    </row>
    <row r="100" spans="1:4" ht="12.75" customHeight="1" x14ac:dyDescent="0.35">
      <c r="A100" s="28"/>
      <c r="B100" s="28"/>
      <c r="C100" s="28"/>
      <c r="D100" s="28"/>
    </row>
    <row r="101" spans="1:4" ht="12.75" customHeight="1" x14ac:dyDescent="0.35">
      <c r="A101" s="28"/>
      <c r="B101" s="28"/>
      <c r="C101" s="28"/>
      <c r="D101" s="28"/>
    </row>
    <row r="102" spans="1:4" ht="12.75" customHeight="1" x14ac:dyDescent="0.35">
      <c r="A102" s="28"/>
      <c r="B102" s="28"/>
      <c r="C102" s="28"/>
      <c r="D102" s="28"/>
    </row>
    <row r="103" spans="1:4" ht="12.75" customHeight="1" x14ac:dyDescent="0.35">
      <c r="A103" s="28"/>
      <c r="B103" s="28"/>
      <c r="C103" s="28"/>
      <c r="D103" s="28"/>
    </row>
    <row r="104" spans="1:4" ht="12.75" customHeight="1" x14ac:dyDescent="0.35">
      <c r="A104" s="28"/>
      <c r="B104" s="28"/>
      <c r="C104" s="28"/>
      <c r="D104" s="28"/>
    </row>
    <row r="105" spans="1:4" ht="12.75" customHeight="1" x14ac:dyDescent="0.35">
      <c r="A105" s="28"/>
      <c r="B105" s="28"/>
      <c r="C105" s="28"/>
      <c r="D105" s="28"/>
    </row>
    <row r="106" spans="1:4" ht="12.75" customHeight="1" x14ac:dyDescent="0.35">
      <c r="A106" s="28"/>
      <c r="B106" s="28"/>
      <c r="C106" s="28"/>
      <c r="D106" s="28"/>
    </row>
    <row r="107" spans="1:4" ht="12.75" customHeight="1" x14ac:dyDescent="0.35">
      <c r="A107" s="28"/>
      <c r="B107" s="28"/>
      <c r="C107" s="28"/>
      <c r="D107" s="28"/>
    </row>
    <row r="108" spans="1:4" ht="12.75" customHeight="1" x14ac:dyDescent="0.35">
      <c r="A108" s="28"/>
      <c r="B108" s="28"/>
      <c r="C108" s="28"/>
      <c r="D108" s="28"/>
    </row>
    <row r="109" spans="1:4" ht="12.75" customHeight="1" x14ac:dyDescent="0.35">
      <c r="A109" s="28"/>
      <c r="B109" s="28"/>
      <c r="C109" s="28"/>
      <c r="D109" s="28"/>
    </row>
    <row r="110" spans="1:4" ht="12.75" customHeight="1" x14ac:dyDescent="0.35">
      <c r="A110" s="28"/>
      <c r="B110" s="28"/>
      <c r="C110" s="28"/>
      <c r="D110" s="28"/>
    </row>
    <row r="111" spans="1:4" ht="12.75" customHeight="1" x14ac:dyDescent="0.35">
      <c r="A111" s="28"/>
      <c r="B111" s="28"/>
      <c r="C111" s="28"/>
      <c r="D111" s="28"/>
    </row>
    <row r="112" spans="1:4" ht="12.75" customHeight="1" x14ac:dyDescent="0.35">
      <c r="A112" s="28"/>
      <c r="B112" s="28"/>
      <c r="C112" s="28"/>
      <c r="D112" s="28"/>
    </row>
    <row r="113" spans="1:4" ht="12.75" customHeight="1" x14ac:dyDescent="0.35">
      <c r="A113" s="28"/>
      <c r="B113" s="28"/>
      <c r="C113" s="28"/>
      <c r="D113" s="28"/>
    </row>
    <row r="114" spans="1:4" ht="12.75" customHeight="1" x14ac:dyDescent="0.35">
      <c r="A114" s="28"/>
      <c r="B114" s="28"/>
      <c r="C114" s="28"/>
      <c r="D114" s="28"/>
    </row>
    <row r="115" spans="1:4" ht="12.75" customHeight="1" x14ac:dyDescent="0.35">
      <c r="A115" s="28"/>
      <c r="B115" s="28"/>
      <c r="C115" s="28"/>
      <c r="D115" s="28"/>
    </row>
    <row r="116" spans="1:4" ht="12.75" customHeight="1" x14ac:dyDescent="0.35">
      <c r="A116" s="28"/>
      <c r="B116" s="28"/>
      <c r="C116" s="28"/>
      <c r="D116" s="28"/>
    </row>
    <row r="117" spans="1:4" ht="12.75" customHeight="1" x14ac:dyDescent="0.35">
      <c r="A117" s="28"/>
      <c r="B117" s="28"/>
      <c r="C117" s="28"/>
      <c r="D117" s="28"/>
    </row>
    <row r="118" spans="1:4" ht="12.75" customHeight="1" x14ac:dyDescent="0.35">
      <c r="A118" s="28"/>
      <c r="B118" s="28"/>
      <c r="C118" s="28"/>
      <c r="D118" s="28"/>
    </row>
    <row r="119" spans="1:4" ht="12.75" customHeight="1" x14ac:dyDescent="0.35">
      <c r="A119" s="28"/>
      <c r="B119" s="28"/>
      <c r="C119" s="28"/>
      <c r="D119" s="28"/>
    </row>
    <row r="120" spans="1:4" ht="12.75" customHeight="1" x14ac:dyDescent="0.35">
      <c r="A120" s="28"/>
      <c r="B120" s="28"/>
      <c r="C120" s="28"/>
      <c r="D120" s="28"/>
    </row>
    <row r="121" spans="1:4" ht="12.75" customHeight="1" x14ac:dyDescent="0.35">
      <c r="A121" s="28"/>
      <c r="B121" s="28"/>
      <c r="C121" s="28"/>
      <c r="D121" s="28"/>
    </row>
    <row r="122" spans="1:4" ht="12.75" customHeight="1" x14ac:dyDescent="0.35">
      <c r="A122" s="28"/>
      <c r="B122" s="28"/>
      <c r="C122" s="28"/>
      <c r="D122" s="28"/>
    </row>
    <row r="123" spans="1:4" ht="12.75" customHeight="1" x14ac:dyDescent="0.35">
      <c r="A123" s="28"/>
      <c r="B123" s="28"/>
      <c r="C123" s="28"/>
      <c r="D123" s="28"/>
    </row>
    <row r="124" spans="1:4" ht="12.75" customHeight="1" x14ac:dyDescent="0.35">
      <c r="A124" s="28"/>
      <c r="B124" s="28"/>
      <c r="C124" s="28"/>
      <c r="D124" s="28"/>
    </row>
    <row r="125" spans="1:4" ht="12.75" customHeight="1" x14ac:dyDescent="0.35">
      <c r="A125" s="28"/>
      <c r="B125" s="28"/>
      <c r="C125" s="28"/>
      <c r="D125" s="28"/>
    </row>
    <row r="126" spans="1:4" ht="12.75" customHeight="1" x14ac:dyDescent="0.35">
      <c r="A126" s="28"/>
      <c r="B126" s="28"/>
      <c r="C126"/>
      <c r="D126" s="28"/>
    </row>
    <row r="127" spans="1:4" ht="12.75" customHeight="1" x14ac:dyDescent="0.35">
      <c r="A127" s="28"/>
      <c r="B127" s="28"/>
      <c r="C127" s="28"/>
      <c r="D127" s="28"/>
    </row>
    <row r="128" spans="1:4" ht="12.75" customHeight="1" x14ac:dyDescent="0.35">
      <c r="A128" s="28"/>
      <c r="B128" s="28"/>
      <c r="C128" s="28"/>
      <c r="D128"/>
    </row>
    <row r="129" spans="1:4" ht="12.75" customHeight="1" x14ac:dyDescent="0.35">
      <c r="A129" s="28"/>
      <c r="B129" s="28"/>
      <c r="C129" s="28"/>
      <c r="D129" s="28"/>
    </row>
    <row r="130" spans="1:4" ht="12.75" customHeight="1" x14ac:dyDescent="0.35">
      <c r="A130" s="28"/>
      <c r="B130" s="28"/>
      <c r="C130" s="28"/>
      <c r="D130" s="28"/>
    </row>
    <row r="131" spans="1:4" ht="12.75" customHeight="1" x14ac:dyDescent="0.35">
      <c r="A131" s="28"/>
      <c r="B131" s="28"/>
      <c r="C131" s="28"/>
      <c r="D131" s="28"/>
    </row>
    <row r="132" spans="1:4" ht="12.75" customHeight="1" x14ac:dyDescent="0.35">
      <c r="A132" s="28"/>
      <c r="B132" s="28"/>
      <c r="C132" s="28"/>
      <c r="D132" s="28"/>
    </row>
    <row r="133" spans="1:4" ht="12.75" customHeight="1" x14ac:dyDescent="0.35">
      <c r="A133" s="28"/>
      <c r="B133" s="28"/>
      <c r="C133" s="28" t="s">
        <v>4297</v>
      </c>
      <c r="D133" s="28"/>
    </row>
    <row r="134" spans="1:4" ht="12.75" customHeight="1" x14ac:dyDescent="0.35">
      <c r="A134" s="28"/>
      <c r="B134" s="28"/>
      <c r="C134" s="28"/>
      <c r="D134" s="28"/>
    </row>
    <row r="135" spans="1:4" ht="12.75" customHeight="1" x14ac:dyDescent="0.35">
      <c r="A135" s="28"/>
      <c r="B135" s="28"/>
      <c r="C135" s="28"/>
      <c r="D135" s="28" t="s">
        <v>4298</v>
      </c>
    </row>
    <row r="136" spans="1:4" ht="12.75" customHeight="1" x14ac:dyDescent="0.35">
      <c r="A136" s="28"/>
      <c r="B136" s="28"/>
      <c r="C136" s="28"/>
      <c r="D136" s="28"/>
    </row>
    <row r="137" spans="1:4" ht="12.75" customHeight="1" x14ac:dyDescent="0.35">
      <c r="A137" s="28"/>
      <c r="B137" s="28"/>
      <c r="C137" s="28"/>
      <c r="D137" s="28"/>
    </row>
    <row r="138" spans="1:4" ht="12.75" customHeight="1" x14ac:dyDescent="0.35">
      <c r="A138" s="28"/>
      <c r="B138" s="28"/>
      <c r="C138" s="28"/>
      <c r="D138" s="28"/>
    </row>
    <row r="139" spans="1:4" ht="12.75" customHeight="1" x14ac:dyDescent="0.35">
      <c r="A139" s="28"/>
      <c r="B139" s="28"/>
      <c r="C139" s="28"/>
      <c r="D139" s="28"/>
    </row>
    <row r="140" spans="1:4" ht="12.75" customHeight="1" x14ac:dyDescent="0.35">
      <c r="A140" s="28"/>
      <c r="B140" s="28"/>
      <c r="C140" s="28"/>
      <c r="D140" s="28"/>
    </row>
    <row r="141" spans="1:4" ht="12.75" customHeight="1" x14ac:dyDescent="0.35">
      <c r="A141" s="28"/>
      <c r="B141" s="28"/>
      <c r="C141" s="28"/>
      <c r="D141" s="28"/>
    </row>
    <row r="142" spans="1:4" ht="12.75" customHeight="1" x14ac:dyDescent="0.35">
      <c r="A142" s="28"/>
      <c r="B142" s="28"/>
      <c r="C142" s="28"/>
      <c r="D142" s="28"/>
    </row>
    <row r="143" spans="1:4" ht="12.75" customHeight="1" x14ac:dyDescent="0.35">
      <c r="A143" s="28"/>
      <c r="B143" s="28"/>
      <c r="C143" s="28"/>
      <c r="D143" s="28"/>
    </row>
    <row r="144" spans="1:4" ht="12.75" customHeight="1" x14ac:dyDescent="0.35">
      <c r="A144" s="28"/>
      <c r="B144" s="28"/>
      <c r="C144" s="28"/>
      <c r="D144" s="28"/>
    </row>
    <row r="145" spans="1:4" ht="12.75" customHeight="1" x14ac:dyDescent="0.35">
      <c r="A145" s="28"/>
      <c r="B145" s="28"/>
      <c r="C145" s="28"/>
      <c r="D145" s="28"/>
    </row>
    <row r="146" spans="1:4" ht="12.75" customHeight="1" x14ac:dyDescent="0.35">
      <c r="A146" s="28"/>
      <c r="B146" s="28"/>
      <c r="C146" s="28"/>
      <c r="D146" s="28"/>
    </row>
    <row r="147" spans="1:4" ht="12.75" customHeight="1" x14ac:dyDescent="0.35">
      <c r="A147" s="28"/>
      <c r="B147" s="28"/>
      <c r="C147" s="28"/>
      <c r="D147" s="28"/>
    </row>
    <row r="148" spans="1:4" ht="12.75" customHeight="1" x14ac:dyDescent="0.35">
      <c r="A148" s="28"/>
      <c r="B148" s="28"/>
      <c r="C148" s="28"/>
      <c r="D148" s="28"/>
    </row>
    <row r="149" spans="1:4" ht="12.75" customHeight="1" x14ac:dyDescent="0.35">
      <c r="A149" s="28"/>
      <c r="B149" s="28"/>
      <c r="C149" s="28"/>
      <c r="D149" s="28"/>
    </row>
    <row r="150" spans="1:4" ht="12.75" customHeight="1" x14ac:dyDescent="0.35">
      <c r="A150" s="28"/>
      <c r="B150" s="28"/>
      <c r="C150" s="28"/>
      <c r="D150" s="28"/>
    </row>
    <row r="151" spans="1:4" ht="12.75" customHeight="1" x14ac:dyDescent="0.35">
      <c r="A151" s="28"/>
      <c r="B151" s="28"/>
      <c r="C151" s="28"/>
      <c r="D151" s="28"/>
    </row>
    <row r="152" spans="1:4" ht="12.75" customHeight="1" x14ac:dyDescent="0.35">
      <c r="A152" s="28"/>
      <c r="B152" s="28"/>
      <c r="C152" s="28"/>
      <c r="D152" s="28"/>
    </row>
    <row r="153" spans="1:4" ht="12.75" customHeight="1" x14ac:dyDescent="0.35">
      <c r="A153" s="28"/>
      <c r="B153" s="28"/>
      <c r="C153" s="28"/>
      <c r="D153" s="28"/>
    </row>
    <row r="154" spans="1:4" ht="12.75" customHeight="1" x14ac:dyDescent="0.35">
      <c r="A154" s="28"/>
      <c r="B154" s="28"/>
      <c r="C154" s="28"/>
      <c r="D154" s="28"/>
    </row>
    <row r="155" spans="1:4" ht="12.75" customHeight="1" x14ac:dyDescent="0.35">
      <c r="A155" s="28"/>
      <c r="B155" s="28"/>
      <c r="C155" s="28"/>
      <c r="D155" s="28"/>
    </row>
    <row r="156" spans="1:4" ht="12.75" customHeight="1" x14ac:dyDescent="0.35">
      <c r="A156" s="28"/>
      <c r="B156" s="28"/>
      <c r="C156" s="28"/>
      <c r="D156" s="28"/>
    </row>
    <row r="157" spans="1:4" ht="12.75" customHeight="1" x14ac:dyDescent="0.35">
      <c r="A157" s="28"/>
      <c r="B157" s="28"/>
      <c r="C157" s="28"/>
      <c r="D157" s="28"/>
    </row>
    <row r="158" spans="1:4" ht="12.75" customHeight="1" x14ac:dyDescent="0.35">
      <c r="A158" s="28"/>
      <c r="B158" s="28"/>
      <c r="C158" s="28"/>
      <c r="D158" s="28"/>
    </row>
    <row r="159" spans="1:4" ht="12.75" customHeight="1" x14ac:dyDescent="0.35">
      <c r="A159" s="28"/>
      <c r="B159" s="28"/>
      <c r="C159" s="28"/>
      <c r="D159" s="28"/>
    </row>
    <row r="160" spans="1:4" ht="12.75" customHeight="1" x14ac:dyDescent="0.35">
      <c r="A160" s="28"/>
      <c r="B160" s="28"/>
      <c r="C160" s="28"/>
      <c r="D160" s="28"/>
    </row>
    <row r="161" spans="1:4" ht="12.75" customHeight="1" x14ac:dyDescent="0.35">
      <c r="A161" s="28"/>
      <c r="B161" s="28"/>
      <c r="C161" s="28"/>
      <c r="D161" s="28"/>
    </row>
    <row r="162" spans="1:4" ht="12.75" customHeight="1" x14ac:dyDescent="0.35">
      <c r="A162" s="28"/>
      <c r="B162" s="28"/>
      <c r="C162" s="28"/>
      <c r="D162" s="28"/>
    </row>
    <row r="163" spans="1:4" ht="12.75" customHeight="1" x14ac:dyDescent="0.35">
      <c r="A163" s="28"/>
      <c r="B163" s="28"/>
      <c r="C163" s="28"/>
      <c r="D163" s="28"/>
    </row>
    <row r="164" spans="1:4" ht="12.75" customHeight="1" x14ac:dyDescent="0.35">
      <c r="A164" s="28"/>
      <c r="B164" s="28"/>
      <c r="C164"/>
      <c r="D164" s="28"/>
    </row>
    <row r="165" spans="1:4" ht="12.75" customHeight="1" x14ac:dyDescent="0.35">
      <c r="A165" s="28"/>
      <c r="B165" s="28"/>
      <c r="C165" s="28"/>
      <c r="D165" s="28"/>
    </row>
    <row r="166" spans="1:4" ht="12.75" customHeight="1" x14ac:dyDescent="0.35">
      <c r="A166" s="28"/>
      <c r="B166" s="28"/>
      <c r="C166" s="28"/>
      <c r="D166"/>
    </row>
    <row r="167" spans="1:4" ht="12.75" customHeight="1" x14ac:dyDescent="0.35">
      <c r="A167" s="28"/>
      <c r="B167" s="28"/>
      <c r="C167" s="28"/>
      <c r="D167" s="28"/>
    </row>
    <row r="168" spans="1:4" ht="12.75" customHeight="1" x14ac:dyDescent="0.35">
      <c r="A168" s="28"/>
      <c r="B168" s="28"/>
      <c r="C168" s="28"/>
      <c r="D168" s="28"/>
    </row>
    <row r="169" spans="1:4" ht="12.75" customHeight="1" x14ac:dyDescent="0.35">
      <c r="A169" s="28"/>
      <c r="B169" s="28"/>
      <c r="C169" s="28"/>
      <c r="D169" s="28"/>
    </row>
    <row r="170" spans="1:4" ht="12.75" customHeight="1" x14ac:dyDescent="0.35">
      <c r="A170" s="28"/>
      <c r="B170" s="28"/>
      <c r="C170" s="28"/>
      <c r="D170" s="28"/>
    </row>
    <row r="171" spans="1:4" ht="12.75" customHeight="1" x14ac:dyDescent="0.35">
      <c r="A171" s="28"/>
      <c r="B171" s="28"/>
      <c r="C171" s="28"/>
      <c r="D171" s="28"/>
    </row>
    <row r="172" spans="1:4" ht="12.75" customHeight="1" x14ac:dyDescent="0.35">
      <c r="A172" s="28"/>
      <c r="B172" s="28"/>
      <c r="C172" s="28"/>
      <c r="D172" s="28"/>
    </row>
    <row r="173" spans="1:4" ht="12.75" customHeight="1" x14ac:dyDescent="0.35">
      <c r="A173" s="28"/>
      <c r="B173" s="28"/>
      <c r="C173" s="28"/>
      <c r="D173" s="28"/>
    </row>
    <row r="174" spans="1:4" ht="12.75" customHeight="1" x14ac:dyDescent="0.35">
      <c r="A174" s="28"/>
      <c r="B174" s="28"/>
      <c r="C174" s="28"/>
      <c r="D174" s="28"/>
    </row>
    <row r="175" spans="1:4" ht="12.75" customHeight="1" x14ac:dyDescent="0.35">
      <c r="A175" s="28"/>
      <c r="B175" s="28"/>
      <c r="C175" s="28"/>
      <c r="D175" s="28"/>
    </row>
    <row r="176" spans="1:4" ht="12.75" customHeight="1" x14ac:dyDescent="0.35">
      <c r="A176" s="28"/>
      <c r="B176" s="28"/>
      <c r="C176" s="28"/>
      <c r="D176" s="28"/>
    </row>
    <row r="177" spans="1:4" ht="12.75" customHeight="1" x14ac:dyDescent="0.35">
      <c r="A177" s="28"/>
      <c r="B177" s="28"/>
      <c r="C177" s="28" t="s">
        <v>4299</v>
      </c>
      <c r="D177" s="28"/>
    </row>
    <row r="178" spans="1:4" ht="12.75" customHeight="1" x14ac:dyDescent="0.35">
      <c r="A178" s="28"/>
      <c r="B178" s="28"/>
      <c r="C178" s="28"/>
      <c r="D178" s="28"/>
    </row>
    <row r="179" spans="1:4" ht="12.75" customHeight="1" x14ac:dyDescent="0.35">
      <c r="A179" s="28"/>
      <c r="B179" s="28"/>
      <c r="C179" s="28"/>
      <c r="D179" s="28" t="s">
        <v>4300</v>
      </c>
    </row>
    <row r="180" spans="1:4" ht="12.75" customHeight="1" x14ac:dyDescent="0.35">
      <c r="A180" s="28"/>
      <c r="B180" s="28"/>
      <c r="C180" s="28"/>
      <c r="D180" s="28"/>
    </row>
    <row r="181" spans="1:4" ht="12.75" customHeight="1" x14ac:dyDescent="0.35">
      <c r="A181" s="28"/>
      <c r="B181" s="28"/>
      <c r="C181" s="28"/>
      <c r="D181" s="28"/>
    </row>
    <row r="182" spans="1:4" ht="12.75" customHeight="1" x14ac:dyDescent="0.35">
      <c r="A182" s="28"/>
      <c r="B182" s="28"/>
      <c r="C182" s="28"/>
      <c r="D182" s="28"/>
    </row>
    <row r="183" spans="1:4" ht="12.75" customHeight="1" x14ac:dyDescent="0.35">
      <c r="A183" s="28"/>
      <c r="B183" s="28"/>
      <c r="C183" s="28"/>
      <c r="D183" s="28"/>
    </row>
    <row r="184" spans="1:4" ht="12.75" customHeight="1" x14ac:dyDescent="0.35">
      <c r="A184" s="28"/>
      <c r="B184" s="28"/>
      <c r="C184" s="28"/>
      <c r="D184" s="28"/>
    </row>
    <row r="185" spans="1:4" ht="12.75" customHeight="1" x14ac:dyDescent="0.35">
      <c r="A185" s="28"/>
      <c r="B185" s="28"/>
      <c r="C185" s="28"/>
      <c r="D185" s="28"/>
    </row>
    <row r="186" spans="1:4" ht="12.75" customHeight="1" x14ac:dyDescent="0.35">
      <c r="A186" s="28"/>
      <c r="B186" s="28"/>
      <c r="C186" s="28"/>
      <c r="D186" s="28"/>
    </row>
    <row r="187" spans="1:4" ht="12.75" customHeight="1" x14ac:dyDescent="0.35">
      <c r="A187" s="28"/>
      <c r="B187" s="28"/>
      <c r="C187" s="28"/>
      <c r="D187" s="28"/>
    </row>
    <row r="188" spans="1:4" ht="12.75" customHeight="1" x14ac:dyDescent="0.35">
      <c r="A188" s="28"/>
      <c r="B188" s="28"/>
      <c r="C188" s="28"/>
      <c r="D188" s="28"/>
    </row>
    <row r="189" spans="1:4" ht="12.75" customHeight="1" x14ac:dyDescent="0.35">
      <c r="A189" s="28"/>
      <c r="B189" s="28"/>
      <c r="C189" s="28"/>
      <c r="D189" s="28"/>
    </row>
    <row r="190" spans="1:4" ht="12.75" customHeight="1" x14ac:dyDescent="0.35">
      <c r="A190" s="28"/>
      <c r="B190" s="28"/>
      <c r="C190" s="28"/>
      <c r="D190" s="28"/>
    </row>
    <row r="191" spans="1:4" ht="12.75" customHeight="1" x14ac:dyDescent="0.35">
      <c r="A191" s="28"/>
      <c r="B191" s="28"/>
      <c r="C191" s="28"/>
      <c r="D191" s="28"/>
    </row>
    <row r="192" spans="1:4" ht="12.75" customHeight="1" x14ac:dyDescent="0.35">
      <c r="A192" s="28"/>
      <c r="B192" s="28"/>
      <c r="C192" s="28"/>
      <c r="D192" s="28"/>
    </row>
    <row r="193" spans="1:4" ht="12.75" customHeight="1" x14ac:dyDescent="0.35">
      <c r="A193" s="28"/>
      <c r="B193" s="28"/>
      <c r="C193" s="28"/>
      <c r="D193" s="28"/>
    </row>
    <row r="194" spans="1:4" ht="12.75" customHeight="1" x14ac:dyDescent="0.35">
      <c r="A194" s="28"/>
      <c r="B194" s="28"/>
      <c r="C194" s="28"/>
      <c r="D194" s="28"/>
    </row>
    <row r="195" spans="1:4" ht="12.75" customHeight="1" x14ac:dyDescent="0.35">
      <c r="A195" s="28"/>
      <c r="B195" s="28"/>
      <c r="C195" s="28"/>
      <c r="D195" s="28"/>
    </row>
    <row r="196" spans="1:4" ht="12.75" customHeight="1" x14ac:dyDescent="0.35">
      <c r="A196" s="28"/>
      <c r="B196" s="28"/>
      <c r="C196" s="28"/>
      <c r="D196" s="28"/>
    </row>
    <row r="197" spans="1:4" ht="12.75" customHeight="1" x14ac:dyDescent="0.35">
      <c r="A197" s="28"/>
      <c r="B197" s="28"/>
      <c r="C197" s="28"/>
      <c r="D197" s="28"/>
    </row>
    <row r="198" spans="1:4" ht="12.75" customHeight="1" x14ac:dyDescent="0.35">
      <c r="A198" s="28"/>
      <c r="B198" s="28"/>
      <c r="C198" s="28"/>
      <c r="D198" s="28"/>
    </row>
    <row r="199" spans="1:4" ht="12.75" customHeight="1" x14ac:dyDescent="0.35">
      <c r="A199" s="28"/>
      <c r="B199" s="28"/>
      <c r="C199" s="28"/>
      <c r="D199" s="28"/>
    </row>
    <row r="200" spans="1:4" ht="12.75" customHeight="1" x14ac:dyDescent="0.35">
      <c r="A200" s="28"/>
      <c r="B200" s="28"/>
      <c r="C200" s="28"/>
      <c r="D200" s="28"/>
    </row>
    <row r="201" spans="1:4" ht="12.75" customHeight="1" x14ac:dyDescent="0.35">
      <c r="A201" s="28"/>
      <c r="B201" s="28"/>
      <c r="C201" s="28"/>
      <c r="D201" s="28"/>
    </row>
    <row r="202" spans="1:4" ht="12.75" customHeight="1" x14ac:dyDescent="0.35">
      <c r="A202" s="28"/>
      <c r="B202" s="28"/>
      <c r="C202" s="28"/>
      <c r="D202" s="28"/>
    </row>
    <row r="203" spans="1:4" ht="12.75" customHeight="1" x14ac:dyDescent="0.35">
      <c r="A203" s="28"/>
      <c r="B203" s="28"/>
      <c r="C203"/>
      <c r="D203" s="28"/>
    </row>
    <row r="204" spans="1:4" ht="12.75" customHeight="1" x14ac:dyDescent="0.35">
      <c r="A204" s="28"/>
      <c r="B204" s="28"/>
      <c r="C204" s="28"/>
      <c r="D204" s="28"/>
    </row>
    <row r="205" spans="1:4" ht="12.75" customHeight="1" x14ac:dyDescent="0.35">
      <c r="A205" s="28"/>
      <c r="B205" s="28"/>
      <c r="C205" s="28"/>
      <c r="D205"/>
    </row>
    <row r="206" spans="1:4" ht="12.75" customHeight="1" x14ac:dyDescent="0.35">
      <c r="A206" s="28"/>
      <c r="B206" s="28"/>
      <c r="C206" s="28"/>
      <c r="D206"/>
    </row>
    <row r="207" spans="1:4" ht="12.75" customHeight="1" x14ac:dyDescent="0.35">
      <c r="A207" s="28"/>
      <c r="B207" s="28"/>
      <c r="C207" s="28"/>
      <c r="D207"/>
    </row>
    <row r="208" spans="1:4" ht="12.75" customHeight="1" x14ac:dyDescent="0.35">
      <c r="A208"/>
      <c r="B208"/>
      <c r="C208"/>
      <c r="D208"/>
    </row>
    <row r="209" spans="1:4" ht="12.75" customHeight="1" x14ac:dyDescent="0.35">
      <c r="A209"/>
      <c r="B209"/>
      <c r="C209"/>
      <c r="D209"/>
    </row>
    <row r="210" spans="1:4" ht="12.75" customHeight="1" x14ac:dyDescent="0.35">
      <c r="A210"/>
      <c r="B210"/>
      <c r="C210"/>
      <c r="D210"/>
    </row>
    <row r="211" spans="1:4" ht="12.75" customHeight="1" x14ac:dyDescent="0.35">
      <c r="A211"/>
      <c r="B211"/>
      <c r="C211"/>
      <c r="D211"/>
    </row>
    <row r="212" spans="1:4" ht="12.75" customHeight="1" x14ac:dyDescent="0.35">
      <c r="A212"/>
      <c r="B212"/>
      <c r="C212"/>
      <c r="D212"/>
    </row>
    <row r="213" spans="1:4" ht="12.75" customHeight="1" x14ac:dyDescent="0.35">
      <c r="A213"/>
      <c r="B213"/>
      <c r="C213"/>
      <c r="D213"/>
    </row>
    <row r="214" spans="1:4" ht="12.75" customHeight="1" x14ac:dyDescent="0.35">
      <c r="A214"/>
      <c r="B214"/>
      <c r="C214"/>
      <c r="D214"/>
    </row>
    <row r="215" spans="1:4" ht="12.75" customHeight="1" x14ac:dyDescent="0.35">
      <c r="A215"/>
      <c r="B215"/>
      <c r="C215"/>
      <c r="D215"/>
    </row>
    <row r="216" spans="1:4" ht="12.75" customHeight="1" x14ac:dyDescent="0.35">
      <c r="A216"/>
      <c r="B216"/>
      <c r="C216"/>
      <c r="D216"/>
    </row>
    <row r="217" spans="1:4" ht="12.75" customHeight="1" x14ac:dyDescent="0.35">
      <c r="A217"/>
      <c r="B217"/>
      <c r="C217"/>
      <c r="D217"/>
    </row>
    <row r="218" spans="1:4" ht="12.75" customHeight="1" x14ac:dyDescent="0.35">
      <c r="A218"/>
      <c r="B218"/>
      <c r="C218"/>
      <c r="D218"/>
    </row>
    <row r="219" spans="1:4" ht="12.75" customHeight="1" x14ac:dyDescent="0.35">
      <c r="A219"/>
      <c r="B219"/>
      <c r="C219"/>
      <c r="D219"/>
    </row>
    <row r="220" spans="1:4" ht="12.75" customHeight="1" x14ac:dyDescent="0.35">
      <c r="A220"/>
      <c r="B220"/>
      <c r="C220"/>
      <c r="D220"/>
    </row>
    <row r="221" spans="1:4" ht="12.75" customHeight="1" x14ac:dyDescent="0.35">
      <c r="A221"/>
      <c r="B221"/>
      <c r="C221" s="28" t="s">
        <v>5203</v>
      </c>
      <c r="D221"/>
    </row>
    <row r="222" spans="1:4" ht="12.75" customHeight="1" x14ac:dyDescent="0.35">
      <c r="A222"/>
      <c r="B222"/>
      <c r="C222"/>
      <c r="D222"/>
    </row>
    <row r="223" spans="1:4" ht="12.75" customHeight="1" x14ac:dyDescent="0.35">
      <c r="A223"/>
      <c r="B223"/>
      <c r="C223"/>
      <c r="D223" s="28" t="s">
        <v>4301</v>
      </c>
    </row>
    <row r="224" spans="1:4" ht="12.75" customHeight="1" x14ac:dyDescent="0.35">
      <c r="A224"/>
      <c r="B224"/>
      <c r="C224"/>
      <c r="D224" s="28" t="s">
        <v>4302</v>
      </c>
    </row>
    <row r="225" spans="1:4" ht="12.75" customHeight="1" x14ac:dyDescent="0.35">
      <c r="A225"/>
      <c r="B225"/>
      <c r="C225"/>
      <c r="D225" s="28" t="s">
        <v>4303</v>
      </c>
    </row>
  </sheetData>
  <printOptions gridLines="1"/>
  <pageMargins left="0.75" right="0.75" top="1" bottom="1" header="0.5" footer="0.5"/>
  <pageSetup paperSize="9" orientation="portrait" r:id="rId1"/>
  <headerFooter>
    <oddHeader>&amp;C&amp;A</oddHeader>
    <oddFooter>&amp;CPage &amp;P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4">
    <pageSetUpPr autoPageBreaks="0"/>
  </sheetPr>
  <dimension ref="A1:D225"/>
  <sheetViews>
    <sheetView topLeftCell="A176" workbookViewId="0">
      <selection activeCell="C221" sqref="C221"/>
    </sheetView>
  </sheetViews>
  <sheetFormatPr defaultColWidth="9.1796875" defaultRowHeight="14.5" x14ac:dyDescent="0.35"/>
  <cols>
    <col min="1" max="16384" width="9.1796875" style="97"/>
  </cols>
  <sheetData>
    <row r="1" spans="1:4" ht="12.75" customHeight="1" x14ac:dyDescent="0.35">
      <c r="A1" s="28"/>
      <c r="B1" s="28"/>
      <c r="C1" s="28"/>
      <c r="D1" s="28"/>
    </row>
    <row r="2" spans="1:4" ht="12.75" customHeight="1" x14ac:dyDescent="0.35">
      <c r="A2" s="28"/>
      <c r="B2" s="28"/>
      <c r="C2" s="28"/>
      <c r="D2" s="28"/>
    </row>
    <row r="3" spans="1:4" ht="12.75" customHeight="1" x14ac:dyDescent="0.35">
      <c r="A3" s="28"/>
      <c r="B3" s="28"/>
      <c r="C3" s="28" t="s">
        <v>4304</v>
      </c>
      <c r="D3" s="28"/>
    </row>
    <row r="4" spans="1:4" ht="12.75" customHeight="1" x14ac:dyDescent="0.35">
      <c r="A4" s="28"/>
      <c r="B4" s="28"/>
      <c r="C4" s="28"/>
      <c r="D4" s="28"/>
    </row>
    <row r="5" spans="1:4" ht="12.75" customHeight="1" x14ac:dyDescent="0.35">
      <c r="A5" s="28"/>
      <c r="B5" s="28"/>
      <c r="C5" s="28"/>
      <c r="D5" s="28" t="s">
        <v>4305</v>
      </c>
    </row>
    <row r="6" spans="1:4" ht="12.75" customHeight="1" x14ac:dyDescent="0.35">
      <c r="A6" s="28"/>
      <c r="B6" s="28"/>
      <c r="C6" s="28"/>
      <c r="D6" s="28" t="s">
        <v>4306</v>
      </c>
    </row>
    <row r="7" spans="1:4" ht="12.75" customHeight="1" x14ac:dyDescent="0.35">
      <c r="A7" s="28"/>
      <c r="B7" s="28"/>
      <c r="C7" s="28"/>
      <c r="D7" s="105" t="s">
        <v>4307</v>
      </c>
    </row>
    <row r="8" spans="1:4" ht="12.75" customHeight="1" x14ac:dyDescent="0.35">
      <c r="A8" s="28"/>
      <c r="B8" s="28"/>
      <c r="C8" s="28"/>
      <c r="D8" s="28"/>
    </row>
    <row r="9" spans="1:4" ht="12.75" customHeight="1" x14ac:dyDescent="0.35">
      <c r="A9" s="28"/>
      <c r="B9" s="28"/>
      <c r="C9" s="28"/>
      <c r="D9" s="28"/>
    </row>
    <row r="10" spans="1:4" ht="12.75" customHeight="1" x14ac:dyDescent="0.35">
      <c r="A10" s="28"/>
      <c r="B10" s="28"/>
      <c r="C10" s="28"/>
      <c r="D10" s="28"/>
    </row>
    <row r="11" spans="1:4" ht="12.75" customHeight="1" x14ac:dyDescent="0.35">
      <c r="A11" s="28"/>
      <c r="B11" s="28"/>
      <c r="C11" s="28"/>
      <c r="D11" s="28"/>
    </row>
    <row r="12" spans="1:4" ht="12.75" customHeight="1" x14ac:dyDescent="0.35">
      <c r="A12" s="28"/>
      <c r="B12" s="28"/>
      <c r="C12" s="28"/>
      <c r="D12" s="28"/>
    </row>
    <row r="13" spans="1:4" ht="12.75" customHeight="1" x14ac:dyDescent="0.35">
      <c r="A13" s="28"/>
      <c r="B13" s="28"/>
      <c r="C13" s="28"/>
      <c r="D13" s="28"/>
    </row>
    <row r="14" spans="1:4" ht="12.75" customHeight="1" x14ac:dyDescent="0.35">
      <c r="A14" s="28"/>
      <c r="B14" s="28"/>
      <c r="C14" s="28"/>
      <c r="D14" s="28"/>
    </row>
    <row r="15" spans="1:4" ht="12.75" customHeight="1" x14ac:dyDescent="0.35">
      <c r="A15" s="28"/>
      <c r="B15" s="28"/>
      <c r="C15" s="28"/>
      <c r="D15" s="28"/>
    </row>
    <row r="16" spans="1:4" ht="12.75" customHeight="1" x14ac:dyDescent="0.35">
      <c r="A16" s="28"/>
      <c r="B16" s="28"/>
      <c r="C16" s="28"/>
      <c r="D16" s="28"/>
    </row>
    <row r="17" spans="1:4" ht="12.75" customHeight="1" x14ac:dyDescent="0.35">
      <c r="A17" s="28"/>
      <c r="B17" s="28"/>
      <c r="C17" s="28"/>
      <c r="D17" s="28"/>
    </row>
    <row r="18" spans="1:4" ht="12.75" customHeight="1" x14ac:dyDescent="0.35">
      <c r="A18" s="28"/>
      <c r="B18" s="28"/>
      <c r="C18" s="28"/>
      <c r="D18" s="28"/>
    </row>
    <row r="19" spans="1:4" ht="12.75" customHeight="1" x14ac:dyDescent="0.35">
      <c r="A19" s="28"/>
      <c r="B19" s="28"/>
      <c r="C19" s="28"/>
      <c r="D19" s="28"/>
    </row>
    <row r="20" spans="1:4" ht="12.75" customHeight="1" x14ac:dyDescent="0.35">
      <c r="A20" s="28"/>
      <c r="B20" s="28"/>
      <c r="C20" s="28"/>
      <c r="D20" s="28"/>
    </row>
    <row r="21" spans="1:4" ht="12.75" customHeight="1" x14ac:dyDescent="0.35">
      <c r="A21" s="28"/>
      <c r="B21" s="28"/>
      <c r="C21" s="28"/>
      <c r="D21" s="28"/>
    </row>
    <row r="22" spans="1:4" ht="12.75" customHeight="1" x14ac:dyDescent="0.35">
      <c r="A22" s="28"/>
      <c r="B22" s="28"/>
      <c r="C22" s="28"/>
      <c r="D22" s="28"/>
    </row>
    <row r="23" spans="1:4" ht="12.75" customHeight="1" x14ac:dyDescent="0.35">
      <c r="A23" s="28"/>
      <c r="B23" s="28"/>
      <c r="C23" s="28"/>
      <c r="D23" s="28"/>
    </row>
    <row r="24" spans="1:4" ht="12.75" customHeight="1" x14ac:dyDescent="0.35">
      <c r="A24" s="28"/>
      <c r="B24" s="28"/>
      <c r="C24" s="28"/>
      <c r="D24" s="28"/>
    </row>
    <row r="25" spans="1:4" ht="12.75" customHeight="1" x14ac:dyDescent="0.35">
      <c r="A25" s="28"/>
      <c r="B25" s="28"/>
      <c r="C25" s="28"/>
      <c r="D25" s="28"/>
    </row>
    <row r="26" spans="1:4" ht="12.75" customHeight="1" x14ac:dyDescent="0.35">
      <c r="A26" s="28"/>
      <c r="B26" s="28"/>
      <c r="C26" s="28"/>
      <c r="D26" s="28"/>
    </row>
    <row r="27" spans="1:4" ht="12.75" customHeight="1" x14ac:dyDescent="0.35">
      <c r="A27" s="28"/>
      <c r="B27" s="28"/>
      <c r="C27" s="28"/>
      <c r="D27" s="28"/>
    </row>
    <row r="28" spans="1:4" ht="12.75" customHeight="1" x14ac:dyDescent="0.35">
      <c r="A28" s="28"/>
      <c r="B28" s="28"/>
      <c r="C28" s="28"/>
      <c r="D28" s="28"/>
    </row>
    <row r="29" spans="1:4" ht="12.75" customHeight="1" x14ac:dyDescent="0.35">
      <c r="A29" s="28"/>
      <c r="B29" s="28"/>
      <c r="C29" s="28"/>
      <c r="D29" s="28"/>
    </row>
    <row r="30" spans="1:4" ht="12.75" customHeight="1" x14ac:dyDescent="0.35">
      <c r="A30" s="28"/>
      <c r="B30" s="28"/>
      <c r="C30" s="28"/>
      <c r="D30" s="28"/>
    </row>
    <row r="31" spans="1:4" ht="12.75" customHeight="1" x14ac:dyDescent="0.35">
      <c r="A31" s="28"/>
      <c r="B31" s="28"/>
      <c r="C31" s="28"/>
      <c r="D31" s="28"/>
    </row>
    <row r="32" spans="1:4" ht="12.75" customHeight="1" x14ac:dyDescent="0.35">
      <c r="A32" s="28"/>
      <c r="B32" s="28"/>
      <c r="C32" s="28"/>
      <c r="D32" s="28"/>
    </row>
    <row r="33" spans="1:4" ht="12.75" customHeight="1" x14ac:dyDescent="0.35">
      <c r="A33" s="28"/>
      <c r="B33" s="28"/>
      <c r="C33" s="28"/>
      <c r="D33" s="28"/>
    </row>
    <row r="34" spans="1:4" ht="12.75" customHeight="1" x14ac:dyDescent="0.35">
      <c r="A34" s="28"/>
      <c r="B34" s="28"/>
      <c r="C34" s="28"/>
      <c r="D34" s="28"/>
    </row>
    <row r="35" spans="1:4" ht="12.75" customHeight="1" x14ac:dyDescent="0.35">
      <c r="A35" s="28"/>
      <c r="B35" s="28"/>
      <c r="C35" s="28"/>
      <c r="D35" s="28"/>
    </row>
    <row r="36" spans="1:4" ht="12.75" customHeight="1" x14ac:dyDescent="0.35">
      <c r="A36" s="28"/>
      <c r="B36" s="28"/>
      <c r="C36" s="28"/>
      <c r="D36" s="28"/>
    </row>
    <row r="37" spans="1:4" ht="12.75" customHeight="1" x14ac:dyDescent="0.35">
      <c r="A37" s="28"/>
      <c r="B37" s="28"/>
      <c r="C37" s="28"/>
      <c r="D37" s="28"/>
    </row>
    <row r="38" spans="1:4" ht="12.75" customHeight="1" x14ac:dyDescent="0.35">
      <c r="A38" s="28"/>
      <c r="B38" s="28"/>
      <c r="C38" s="28"/>
      <c r="D38" s="28"/>
    </row>
    <row r="39" spans="1:4" ht="12.75" customHeight="1" x14ac:dyDescent="0.35">
      <c r="A39" s="28"/>
      <c r="B39" s="28"/>
      <c r="C39" s="28"/>
      <c r="D39" s="28"/>
    </row>
    <row r="40" spans="1:4" ht="12.75" customHeight="1" x14ac:dyDescent="0.35">
      <c r="A40" s="28"/>
      <c r="B40" s="28"/>
      <c r="C40" s="28"/>
      <c r="D40" s="28"/>
    </row>
    <row r="41" spans="1:4" ht="12.75" customHeight="1" x14ac:dyDescent="0.35">
      <c r="A41" s="28"/>
      <c r="B41" s="28"/>
      <c r="C41"/>
      <c r="D41" s="28"/>
    </row>
    <row r="42" spans="1:4" ht="12.75" customHeight="1" x14ac:dyDescent="0.35">
      <c r="A42" s="28"/>
      <c r="B42" s="28"/>
      <c r="C42"/>
      <c r="D42" s="28"/>
    </row>
    <row r="43" spans="1:4" ht="12.75" customHeight="1" x14ac:dyDescent="0.35">
      <c r="A43" s="28"/>
      <c r="B43" s="28"/>
      <c r="C43"/>
      <c r="D43" s="28"/>
    </row>
    <row r="44" spans="1:4" ht="12.75" customHeight="1" x14ac:dyDescent="0.35">
      <c r="A44" s="28"/>
      <c r="B44" s="28"/>
      <c r="C44" s="28" t="s">
        <v>4308</v>
      </c>
      <c r="D44" s="28"/>
    </row>
    <row r="45" spans="1:4" ht="12.75" customHeight="1" x14ac:dyDescent="0.35">
      <c r="A45" s="28"/>
      <c r="B45" s="28"/>
      <c r="C45" s="28"/>
      <c r="D45"/>
    </row>
    <row r="46" spans="1:4" ht="12.75" customHeight="1" x14ac:dyDescent="0.35">
      <c r="A46" s="28"/>
      <c r="B46" s="28"/>
      <c r="C46" s="28"/>
      <c r="D46" s="28" t="str">
        <f>" Totalinvestering, "&amp;IF(Figures&gt;1,Figures&amp;" ","")&amp;Currency</f>
        <v xml:space="preserve"> Totalinvestering, Euro</v>
      </c>
    </row>
    <row r="47" spans="1:4" ht="12.75" customHeight="1" x14ac:dyDescent="0.35">
      <c r="A47" s="28"/>
      <c r="B47" s="28"/>
      <c r="C47" s="28"/>
      <c r="D47" s="28"/>
    </row>
    <row r="48" spans="1:4" ht="12.75" customHeight="1" x14ac:dyDescent="0.35">
      <c r="A48" s="28"/>
      <c r="B48" s="28"/>
      <c r="C48" s="28"/>
      <c r="D48" s="28"/>
    </row>
    <row r="49" spans="1:4" ht="12.75" customHeight="1" x14ac:dyDescent="0.35">
      <c r="A49" s="28"/>
      <c r="B49" s="28"/>
      <c r="C49" s="28"/>
      <c r="D49" s="28"/>
    </row>
    <row r="50" spans="1:4" ht="12.75" customHeight="1" x14ac:dyDescent="0.35">
      <c r="A50" s="28"/>
      <c r="B50" s="28"/>
      <c r="C50" s="28"/>
      <c r="D50" s="28"/>
    </row>
    <row r="51" spans="1:4" ht="12.75" customHeight="1" x14ac:dyDescent="0.35">
      <c r="A51" s="28"/>
      <c r="B51" s="28"/>
      <c r="C51" s="28"/>
      <c r="D51" s="28"/>
    </row>
    <row r="52" spans="1:4" ht="12.75" customHeight="1" x14ac:dyDescent="0.35">
      <c r="A52" s="28"/>
      <c r="B52" s="28"/>
      <c r="C52" s="28"/>
      <c r="D52" s="28"/>
    </row>
    <row r="53" spans="1:4" ht="12.75" customHeight="1" x14ac:dyDescent="0.35">
      <c r="A53" s="28"/>
      <c r="B53" s="28"/>
      <c r="C53" s="28"/>
      <c r="D53" s="28"/>
    </row>
    <row r="54" spans="1:4" ht="12.75" customHeight="1" x14ac:dyDescent="0.35">
      <c r="A54" s="28"/>
      <c r="B54" s="28"/>
      <c r="C54" s="28"/>
      <c r="D54" s="28"/>
    </row>
    <row r="55" spans="1:4" ht="12.75" customHeight="1" x14ac:dyDescent="0.35">
      <c r="A55" s="28"/>
      <c r="B55" s="28"/>
      <c r="C55" s="28"/>
      <c r="D55" s="28"/>
    </row>
    <row r="56" spans="1:4" ht="12.75" customHeight="1" x14ac:dyDescent="0.35">
      <c r="A56" s="28"/>
      <c r="B56" s="28"/>
      <c r="C56" s="28"/>
      <c r="D56" s="28"/>
    </row>
    <row r="57" spans="1:4" ht="12.75" customHeight="1" x14ac:dyDescent="0.35">
      <c r="A57" s="28"/>
      <c r="B57" s="28"/>
      <c r="C57" s="28"/>
      <c r="D57" s="28"/>
    </row>
    <row r="58" spans="1:4" ht="12.75" customHeight="1" x14ac:dyDescent="0.35">
      <c r="A58" s="28"/>
      <c r="B58" s="28"/>
      <c r="C58" s="28"/>
      <c r="D58" s="28"/>
    </row>
    <row r="59" spans="1:4" ht="12.75" customHeight="1" x14ac:dyDescent="0.35">
      <c r="A59" s="28"/>
      <c r="B59" s="28"/>
      <c r="C59" s="28"/>
      <c r="D59" s="28"/>
    </row>
    <row r="60" spans="1:4" ht="12.75" customHeight="1" x14ac:dyDescent="0.35">
      <c r="A60" s="28"/>
      <c r="B60" s="28"/>
      <c r="C60" s="28"/>
      <c r="D60" s="28"/>
    </row>
    <row r="61" spans="1:4" ht="12.75" customHeight="1" x14ac:dyDescent="0.35">
      <c r="A61" s="28"/>
      <c r="B61" s="28"/>
      <c r="C61" s="28"/>
      <c r="D61" s="28"/>
    </row>
    <row r="62" spans="1:4" ht="12.75" customHeight="1" x14ac:dyDescent="0.35">
      <c r="A62" s="28"/>
      <c r="B62" s="28"/>
      <c r="C62" s="28"/>
      <c r="D62" s="28"/>
    </row>
    <row r="63" spans="1:4" ht="12.75" customHeight="1" x14ac:dyDescent="0.35">
      <c r="A63" s="28"/>
      <c r="B63" s="28"/>
      <c r="C63" s="28"/>
      <c r="D63" s="28"/>
    </row>
    <row r="64" spans="1:4" ht="12.75" customHeight="1" x14ac:dyDescent="0.35">
      <c r="A64" s="28"/>
      <c r="B64" s="28"/>
      <c r="C64" s="28"/>
      <c r="D64" s="28"/>
    </row>
    <row r="65" spans="1:4" ht="12.75" customHeight="1" x14ac:dyDescent="0.35">
      <c r="A65" s="28"/>
      <c r="B65" s="28"/>
      <c r="C65" s="28"/>
      <c r="D65" s="28"/>
    </row>
    <row r="66" spans="1:4" ht="12.75" customHeight="1" x14ac:dyDescent="0.35">
      <c r="A66" s="28"/>
      <c r="B66" s="28"/>
      <c r="C66" s="28"/>
      <c r="D66" s="28"/>
    </row>
    <row r="67" spans="1:4" ht="12.75" customHeight="1" x14ac:dyDescent="0.35">
      <c r="A67" s="28"/>
      <c r="B67" s="28"/>
      <c r="C67" s="28"/>
      <c r="D67" s="28"/>
    </row>
    <row r="68" spans="1:4" ht="12.75" customHeight="1" x14ac:dyDescent="0.35">
      <c r="A68" s="28"/>
      <c r="B68" s="28"/>
      <c r="C68" s="28"/>
      <c r="D68" s="28"/>
    </row>
    <row r="69" spans="1:4" ht="12.75" customHeight="1" x14ac:dyDescent="0.35">
      <c r="A69" s="28"/>
      <c r="B69" s="28"/>
      <c r="C69" s="28"/>
      <c r="D69" s="28"/>
    </row>
    <row r="70" spans="1:4" ht="12.75" customHeight="1" x14ac:dyDescent="0.35">
      <c r="A70" s="28"/>
      <c r="B70" s="28"/>
      <c r="C70" s="28"/>
      <c r="D70" s="28"/>
    </row>
    <row r="71" spans="1:4" ht="12.75" customHeight="1" x14ac:dyDescent="0.35">
      <c r="A71" s="28"/>
      <c r="B71" s="28"/>
      <c r="C71" s="28"/>
      <c r="D71" s="28"/>
    </row>
    <row r="72" spans="1:4" ht="12.75" customHeight="1" x14ac:dyDescent="0.35">
      <c r="A72" s="28"/>
      <c r="B72" s="28"/>
      <c r="C72" s="28"/>
      <c r="D72"/>
    </row>
    <row r="73" spans="1:4" ht="12.75" customHeight="1" x14ac:dyDescent="0.35">
      <c r="A73" s="28"/>
      <c r="B73" s="28"/>
      <c r="C73" s="28"/>
      <c r="D73" s="28"/>
    </row>
    <row r="74" spans="1:4" ht="12.75" customHeight="1" x14ac:dyDescent="0.35">
      <c r="A74" s="28"/>
      <c r="B74" s="28"/>
      <c r="C74" s="28"/>
      <c r="D74" s="28"/>
    </row>
    <row r="75" spans="1:4" ht="12.75" customHeight="1" x14ac:dyDescent="0.35">
      <c r="A75" s="28"/>
      <c r="B75" s="28"/>
      <c r="C75" s="28"/>
      <c r="D75" s="28"/>
    </row>
    <row r="76" spans="1:4" ht="12.75" customHeight="1" x14ac:dyDescent="0.35">
      <c r="A76" s="28"/>
      <c r="B76" s="28"/>
      <c r="C76" s="28"/>
      <c r="D76" s="28"/>
    </row>
    <row r="77" spans="1:4" ht="12.75" customHeight="1" x14ac:dyDescent="0.35">
      <c r="A77" s="28"/>
      <c r="B77" s="28"/>
      <c r="C77" s="28"/>
      <c r="D77" s="28"/>
    </row>
    <row r="78" spans="1:4" ht="12.75" customHeight="1" x14ac:dyDescent="0.35">
      <c r="A78" s="28"/>
      <c r="B78" s="28"/>
      <c r="C78" s="28"/>
      <c r="D78" s="28" t="s">
        <v>4309</v>
      </c>
    </row>
    <row r="79" spans="1:4" ht="12.75" customHeight="1" x14ac:dyDescent="0.35">
      <c r="A79" s="28"/>
      <c r="B79" s="28"/>
      <c r="C79" s="28"/>
      <c r="D79" s="28"/>
    </row>
    <row r="80" spans="1:4" ht="12.75" customHeight="1" x14ac:dyDescent="0.35">
      <c r="A80" s="28"/>
      <c r="B80" s="28"/>
      <c r="C80" s="28"/>
      <c r="D80" s="28"/>
    </row>
    <row r="81" spans="1:4" ht="12.75" customHeight="1" x14ac:dyDescent="0.35">
      <c r="A81" s="28"/>
      <c r="B81" s="28"/>
      <c r="C81" s="28"/>
      <c r="D81" s="28"/>
    </row>
    <row r="82" spans="1:4" ht="12.75" customHeight="1" x14ac:dyDescent="0.35">
      <c r="A82" s="28"/>
      <c r="B82" s="28"/>
      <c r="C82" s="28"/>
      <c r="D82" s="28"/>
    </row>
    <row r="83" spans="1:4" ht="12.75" customHeight="1" x14ac:dyDescent="0.35">
      <c r="A83" s="28"/>
      <c r="B83" s="28"/>
      <c r="C83" s="28"/>
      <c r="D83" s="28"/>
    </row>
    <row r="84" spans="1:4" ht="12.75" customHeight="1" x14ac:dyDescent="0.35">
      <c r="A84" s="28"/>
      <c r="B84" s="28"/>
      <c r="C84" s="28"/>
      <c r="D84" s="28"/>
    </row>
    <row r="85" spans="1:4" ht="12.75" customHeight="1" x14ac:dyDescent="0.35">
      <c r="A85" s="28"/>
      <c r="B85" s="28"/>
      <c r="C85" s="28"/>
      <c r="D85" s="28"/>
    </row>
    <row r="86" spans="1:4" ht="12.75" customHeight="1" x14ac:dyDescent="0.35">
      <c r="A86" s="28"/>
      <c r="B86" s="28"/>
      <c r="C86" s="28"/>
      <c r="D86" s="28"/>
    </row>
    <row r="87" spans="1:4" ht="12.75" customHeight="1" x14ac:dyDescent="0.35">
      <c r="A87" s="28"/>
      <c r="B87" s="28"/>
      <c r="C87" s="28"/>
      <c r="D87" s="28"/>
    </row>
    <row r="88" spans="1:4" ht="12.75" customHeight="1" x14ac:dyDescent="0.35">
      <c r="A88" s="28"/>
      <c r="B88" s="28"/>
      <c r="C88" s="28"/>
      <c r="D88" s="28"/>
    </row>
    <row r="89" spans="1:4" ht="12.75" customHeight="1" x14ac:dyDescent="0.35">
      <c r="A89" s="28"/>
      <c r="B89" s="28"/>
      <c r="C89" s="28" t="s">
        <v>4310</v>
      </c>
      <c r="D89" s="28"/>
    </row>
    <row r="90" spans="1:4" ht="12.75" customHeight="1" x14ac:dyDescent="0.35">
      <c r="A90" s="28"/>
      <c r="B90" s="28"/>
      <c r="C90" s="28"/>
      <c r="D90" s="28"/>
    </row>
    <row r="91" spans="1:4" ht="12.75" customHeight="1" x14ac:dyDescent="0.35">
      <c r="A91" s="28"/>
      <c r="B91" s="28"/>
      <c r="C91" s="28"/>
      <c r="D91" s="28" t="s">
        <v>4311</v>
      </c>
    </row>
    <row r="92" spans="1:4" ht="12.75" customHeight="1" x14ac:dyDescent="0.35">
      <c r="A92" s="28"/>
      <c r="B92" s="28"/>
      <c r="C92" s="28"/>
      <c r="D92" s="28"/>
    </row>
    <row r="93" spans="1:4" ht="12.75" customHeight="1" x14ac:dyDescent="0.35">
      <c r="A93" s="28"/>
      <c r="B93" s="28"/>
      <c r="C93" s="28"/>
      <c r="D93" s="28"/>
    </row>
    <row r="94" spans="1:4" ht="12.75" customHeight="1" x14ac:dyDescent="0.35">
      <c r="A94" s="28"/>
      <c r="B94" s="28"/>
      <c r="C94" s="28"/>
      <c r="D94" s="28"/>
    </row>
    <row r="95" spans="1:4" ht="12.75" customHeight="1" x14ac:dyDescent="0.35">
      <c r="A95" s="28"/>
      <c r="B95" s="28"/>
      <c r="C95" s="28"/>
      <c r="D95" s="28"/>
    </row>
    <row r="96" spans="1:4" ht="12.75" customHeight="1" x14ac:dyDescent="0.35">
      <c r="A96" s="28"/>
      <c r="B96" s="28"/>
      <c r="C96" s="28"/>
      <c r="D96" s="28"/>
    </row>
    <row r="97" spans="1:4" ht="12.75" customHeight="1" x14ac:dyDescent="0.35">
      <c r="A97" s="28"/>
      <c r="B97" s="28"/>
      <c r="C97" s="28"/>
      <c r="D97" s="28"/>
    </row>
    <row r="98" spans="1:4" ht="12.75" customHeight="1" x14ac:dyDescent="0.35">
      <c r="A98" s="28"/>
      <c r="B98" s="28"/>
      <c r="C98" s="28"/>
      <c r="D98" s="28"/>
    </row>
    <row r="99" spans="1:4" ht="12.75" customHeight="1" x14ac:dyDescent="0.35">
      <c r="A99" s="28"/>
      <c r="B99" s="28"/>
      <c r="C99" s="28"/>
      <c r="D99" s="28"/>
    </row>
    <row r="100" spans="1:4" ht="12.75" customHeight="1" x14ac:dyDescent="0.35">
      <c r="A100" s="28"/>
      <c r="B100" s="28"/>
      <c r="C100" s="28"/>
      <c r="D100" s="28"/>
    </row>
    <row r="101" spans="1:4" ht="12.75" customHeight="1" x14ac:dyDescent="0.35">
      <c r="A101" s="28"/>
      <c r="B101" s="28"/>
      <c r="C101" s="28"/>
      <c r="D101" s="28"/>
    </row>
    <row r="102" spans="1:4" ht="12.75" customHeight="1" x14ac:dyDescent="0.35">
      <c r="A102" s="28"/>
      <c r="B102" s="28"/>
      <c r="C102" s="28"/>
      <c r="D102" s="28"/>
    </row>
    <row r="103" spans="1:4" ht="12.75" customHeight="1" x14ac:dyDescent="0.35">
      <c r="A103" s="28"/>
      <c r="B103" s="28"/>
      <c r="C103" s="28"/>
      <c r="D103" s="28"/>
    </row>
    <row r="104" spans="1:4" ht="12.75" customHeight="1" x14ac:dyDescent="0.35">
      <c r="A104" s="28"/>
      <c r="B104" s="28"/>
      <c r="C104" s="28"/>
      <c r="D104" s="28"/>
    </row>
    <row r="105" spans="1:4" ht="12.75" customHeight="1" x14ac:dyDescent="0.35">
      <c r="A105" s="28"/>
      <c r="B105" s="28"/>
      <c r="C105" s="28"/>
      <c r="D105" s="28"/>
    </row>
    <row r="106" spans="1:4" ht="12.75" customHeight="1" x14ac:dyDescent="0.35">
      <c r="A106" s="28"/>
      <c r="B106" s="28"/>
      <c r="C106" s="28"/>
      <c r="D106" s="28"/>
    </row>
    <row r="107" spans="1:4" ht="12.75" customHeight="1" x14ac:dyDescent="0.35">
      <c r="A107" s="28"/>
      <c r="B107" s="28"/>
      <c r="C107" s="28"/>
      <c r="D107" s="28"/>
    </row>
    <row r="108" spans="1:4" ht="12.75" customHeight="1" x14ac:dyDescent="0.35">
      <c r="A108" s="28"/>
      <c r="B108" s="28"/>
      <c r="C108" s="28"/>
      <c r="D108" s="28"/>
    </row>
    <row r="109" spans="1:4" ht="12.75" customHeight="1" x14ac:dyDescent="0.35">
      <c r="A109" s="28"/>
      <c r="B109" s="28"/>
      <c r="C109" s="28"/>
      <c r="D109" s="28"/>
    </row>
    <row r="110" spans="1:4" ht="12.75" customHeight="1" x14ac:dyDescent="0.35">
      <c r="A110" s="28"/>
      <c r="B110" s="28"/>
      <c r="C110" s="28"/>
      <c r="D110" s="28"/>
    </row>
    <row r="111" spans="1:4" ht="12.75" customHeight="1" x14ac:dyDescent="0.35">
      <c r="A111" s="28"/>
      <c r="B111" s="28"/>
      <c r="C111" s="28"/>
      <c r="D111" s="28"/>
    </row>
    <row r="112" spans="1:4" ht="12.75" customHeight="1" x14ac:dyDescent="0.35">
      <c r="A112" s="28"/>
      <c r="B112" s="28"/>
      <c r="C112" s="28"/>
      <c r="D112" s="28"/>
    </row>
    <row r="113" spans="1:4" ht="12.75" customHeight="1" x14ac:dyDescent="0.35">
      <c r="A113" s="28"/>
      <c r="B113" s="28"/>
      <c r="C113" s="28"/>
      <c r="D113" s="28"/>
    </row>
    <row r="114" spans="1:4" ht="12.75" customHeight="1" x14ac:dyDescent="0.35">
      <c r="A114" s="28"/>
      <c r="B114" s="28"/>
      <c r="C114" s="28"/>
      <c r="D114" s="28"/>
    </row>
    <row r="115" spans="1:4" ht="12.75" customHeight="1" x14ac:dyDescent="0.35">
      <c r="A115" s="28"/>
      <c r="B115" s="28"/>
      <c r="C115" s="28"/>
      <c r="D115" s="28"/>
    </row>
    <row r="116" spans="1:4" ht="12.75" customHeight="1" x14ac:dyDescent="0.35">
      <c r="A116" s="28"/>
      <c r="B116" s="28"/>
      <c r="C116" s="28"/>
      <c r="D116" s="28"/>
    </row>
    <row r="117" spans="1:4" ht="12.75" customHeight="1" x14ac:dyDescent="0.35">
      <c r="A117" s="28"/>
      <c r="B117" s="28"/>
      <c r="C117" s="28"/>
      <c r="D117" s="28"/>
    </row>
    <row r="118" spans="1:4" ht="12.75" customHeight="1" x14ac:dyDescent="0.35">
      <c r="A118" s="28"/>
      <c r="B118" s="28"/>
      <c r="C118" s="28"/>
      <c r="D118" s="28"/>
    </row>
    <row r="119" spans="1:4" ht="12.75" customHeight="1" x14ac:dyDescent="0.35">
      <c r="A119" s="28"/>
      <c r="B119" s="28"/>
      <c r="C119" s="28"/>
      <c r="D119" s="28"/>
    </row>
    <row r="120" spans="1:4" ht="12.75" customHeight="1" x14ac:dyDescent="0.35">
      <c r="A120" s="28"/>
      <c r="B120" s="28"/>
      <c r="C120" s="28"/>
      <c r="D120" s="28"/>
    </row>
    <row r="121" spans="1:4" ht="12.75" customHeight="1" x14ac:dyDescent="0.35">
      <c r="A121" s="28"/>
      <c r="B121" s="28"/>
      <c r="C121" s="28"/>
      <c r="D121" s="28"/>
    </row>
    <row r="122" spans="1:4" ht="12.75" customHeight="1" x14ac:dyDescent="0.35">
      <c r="A122" s="28"/>
      <c r="B122" s="28"/>
      <c r="C122" s="28"/>
      <c r="D122" s="28"/>
    </row>
    <row r="123" spans="1:4" ht="12.75" customHeight="1" x14ac:dyDescent="0.35">
      <c r="A123" s="28"/>
      <c r="B123" s="28"/>
      <c r="C123" s="28"/>
      <c r="D123" s="28"/>
    </row>
    <row r="124" spans="1:4" ht="12.75" customHeight="1" x14ac:dyDescent="0.35">
      <c r="A124" s="28"/>
      <c r="B124" s="28"/>
      <c r="C124" s="28"/>
      <c r="D124" s="28"/>
    </row>
    <row r="125" spans="1:4" ht="12.75" customHeight="1" x14ac:dyDescent="0.35">
      <c r="A125" s="28"/>
      <c r="B125" s="28"/>
      <c r="C125" s="28"/>
      <c r="D125" s="28"/>
    </row>
    <row r="126" spans="1:4" ht="12.75" customHeight="1" x14ac:dyDescent="0.35">
      <c r="A126" s="28"/>
      <c r="B126" s="28"/>
      <c r="C126"/>
      <c r="D126" s="28"/>
    </row>
    <row r="127" spans="1:4" ht="12.75" customHeight="1" x14ac:dyDescent="0.35">
      <c r="A127" s="28"/>
      <c r="B127" s="28"/>
      <c r="C127" s="28"/>
      <c r="D127" s="28"/>
    </row>
    <row r="128" spans="1:4" ht="12.75" customHeight="1" x14ac:dyDescent="0.35">
      <c r="A128" s="28"/>
      <c r="B128" s="28"/>
      <c r="C128" s="28"/>
      <c r="D128"/>
    </row>
    <row r="129" spans="1:4" ht="12.75" customHeight="1" x14ac:dyDescent="0.35">
      <c r="A129" s="28"/>
      <c r="B129" s="28"/>
      <c r="C129" s="28"/>
      <c r="D129" s="28"/>
    </row>
    <row r="130" spans="1:4" ht="12.75" customHeight="1" x14ac:dyDescent="0.35">
      <c r="A130" s="28"/>
      <c r="B130" s="28"/>
      <c r="C130" s="28"/>
      <c r="D130" s="28"/>
    </row>
    <row r="131" spans="1:4" ht="12.75" customHeight="1" x14ac:dyDescent="0.35">
      <c r="A131" s="28"/>
      <c r="B131" s="28"/>
      <c r="C131" s="28"/>
      <c r="D131" s="28"/>
    </row>
    <row r="132" spans="1:4" ht="12.75" customHeight="1" x14ac:dyDescent="0.35">
      <c r="A132" s="28"/>
      <c r="B132" s="28"/>
      <c r="C132" s="28"/>
      <c r="D132" s="28"/>
    </row>
    <row r="133" spans="1:4" ht="12.75" customHeight="1" x14ac:dyDescent="0.35">
      <c r="A133" s="28"/>
      <c r="B133" s="28"/>
      <c r="C133" s="28" t="s">
        <v>4312</v>
      </c>
      <c r="D133" s="28"/>
    </row>
    <row r="134" spans="1:4" ht="12.75" customHeight="1" x14ac:dyDescent="0.35">
      <c r="A134" s="28"/>
      <c r="B134" s="28"/>
      <c r="C134" s="28"/>
      <c r="D134" s="28"/>
    </row>
    <row r="135" spans="1:4" ht="12.75" customHeight="1" x14ac:dyDescent="0.35">
      <c r="A135" s="28"/>
      <c r="B135" s="28"/>
      <c r="C135" s="28"/>
      <c r="D135" s="28" t="s">
        <v>4313</v>
      </c>
    </row>
    <row r="136" spans="1:4" ht="12.75" customHeight="1" x14ac:dyDescent="0.35">
      <c r="A136" s="28"/>
      <c r="B136" s="28"/>
      <c r="C136" s="28"/>
      <c r="D136" s="28"/>
    </row>
    <row r="137" spans="1:4" ht="12.75" customHeight="1" x14ac:dyDescent="0.35">
      <c r="A137" s="28"/>
      <c r="B137" s="28"/>
      <c r="C137" s="28"/>
      <c r="D137" s="28"/>
    </row>
    <row r="138" spans="1:4" ht="12.75" customHeight="1" x14ac:dyDescent="0.35">
      <c r="A138" s="28"/>
      <c r="B138" s="28"/>
      <c r="C138" s="28"/>
      <c r="D138" s="28"/>
    </row>
    <row r="139" spans="1:4" ht="12.75" customHeight="1" x14ac:dyDescent="0.35">
      <c r="A139" s="28"/>
      <c r="B139" s="28"/>
      <c r="C139" s="28"/>
      <c r="D139" s="28"/>
    </row>
    <row r="140" spans="1:4" ht="12.75" customHeight="1" x14ac:dyDescent="0.35">
      <c r="A140" s="28"/>
      <c r="B140" s="28"/>
      <c r="C140" s="28"/>
      <c r="D140" s="28"/>
    </row>
    <row r="141" spans="1:4" ht="12.75" customHeight="1" x14ac:dyDescent="0.35">
      <c r="A141" s="28"/>
      <c r="B141" s="28"/>
      <c r="C141" s="28"/>
      <c r="D141" s="28"/>
    </row>
    <row r="142" spans="1:4" ht="12.75" customHeight="1" x14ac:dyDescent="0.35">
      <c r="A142" s="28"/>
      <c r="B142" s="28"/>
      <c r="C142" s="28"/>
      <c r="D142" s="28"/>
    </row>
    <row r="143" spans="1:4" ht="12.75" customHeight="1" x14ac:dyDescent="0.35">
      <c r="A143" s="28"/>
      <c r="B143" s="28"/>
      <c r="C143" s="28"/>
      <c r="D143" s="28"/>
    </row>
    <row r="144" spans="1:4" ht="12.75" customHeight="1" x14ac:dyDescent="0.35">
      <c r="A144" s="28"/>
      <c r="B144" s="28"/>
      <c r="C144" s="28"/>
      <c r="D144" s="28"/>
    </row>
    <row r="145" spans="1:4" ht="12.75" customHeight="1" x14ac:dyDescent="0.35">
      <c r="A145" s="28"/>
      <c r="B145" s="28"/>
      <c r="C145" s="28"/>
      <c r="D145" s="28"/>
    </row>
    <row r="146" spans="1:4" ht="12.75" customHeight="1" x14ac:dyDescent="0.35">
      <c r="A146" s="28"/>
      <c r="B146" s="28"/>
      <c r="C146" s="28"/>
      <c r="D146" s="28"/>
    </row>
    <row r="147" spans="1:4" ht="12.75" customHeight="1" x14ac:dyDescent="0.35">
      <c r="A147" s="28"/>
      <c r="B147" s="28"/>
      <c r="C147" s="28"/>
      <c r="D147" s="28"/>
    </row>
    <row r="148" spans="1:4" ht="12.75" customHeight="1" x14ac:dyDescent="0.35">
      <c r="A148" s="28"/>
      <c r="B148" s="28"/>
      <c r="C148" s="28"/>
      <c r="D148" s="28"/>
    </row>
    <row r="149" spans="1:4" ht="12.75" customHeight="1" x14ac:dyDescent="0.35">
      <c r="A149" s="28"/>
      <c r="B149" s="28"/>
      <c r="C149" s="28"/>
      <c r="D149" s="28"/>
    </row>
    <row r="150" spans="1:4" ht="12.75" customHeight="1" x14ac:dyDescent="0.35">
      <c r="A150" s="28"/>
      <c r="B150" s="28"/>
      <c r="C150" s="28"/>
      <c r="D150" s="28"/>
    </row>
    <row r="151" spans="1:4" ht="12.75" customHeight="1" x14ac:dyDescent="0.35">
      <c r="A151" s="28"/>
      <c r="B151" s="28"/>
      <c r="C151" s="28"/>
      <c r="D151" s="28"/>
    </row>
    <row r="152" spans="1:4" ht="12.75" customHeight="1" x14ac:dyDescent="0.35">
      <c r="A152" s="28"/>
      <c r="B152" s="28"/>
      <c r="C152" s="28"/>
      <c r="D152" s="28"/>
    </row>
    <row r="153" spans="1:4" ht="12.75" customHeight="1" x14ac:dyDescent="0.35">
      <c r="A153" s="28"/>
      <c r="B153" s="28"/>
      <c r="C153" s="28"/>
      <c r="D153" s="28"/>
    </row>
    <row r="154" spans="1:4" ht="12.75" customHeight="1" x14ac:dyDescent="0.35">
      <c r="A154" s="28"/>
      <c r="B154" s="28"/>
      <c r="C154" s="28"/>
      <c r="D154" s="28"/>
    </row>
    <row r="155" spans="1:4" ht="12.75" customHeight="1" x14ac:dyDescent="0.35">
      <c r="A155" s="28"/>
      <c r="B155" s="28"/>
      <c r="C155" s="28"/>
      <c r="D155" s="28"/>
    </row>
    <row r="156" spans="1:4" ht="12.75" customHeight="1" x14ac:dyDescent="0.35">
      <c r="A156" s="28"/>
      <c r="B156" s="28"/>
      <c r="C156" s="28"/>
      <c r="D156" s="28"/>
    </row>
    <row r="157" spans="1:4" ht="12.75" customHeight="1" x14ac:dyDescent="0.35">
      <c r="A157" s="28"/>
      <c r="B157" s="28"/>
      <c r="C157" s="28"/>
      <c r="D157" s="28"/>
    </row>
    <row r="158" spans="1:4" ht="12.75" customHeight="1" x14ac:dyDescent="0.35">
      <c r="A158" s="28"/>
      <c r="B158" s="28"/>
      <c r="C158" s="28"/>
      <c r="D158" s="28"/>
    </row>
    <row r="159" spans="1:4" ht="12.75" customHeight="1" x14ac:dyDescent="0.35">
      <c r="A159" s="28"/>
      <c r="B159" s="28"/>
      <c r="C159" s="28"/>
      <c r="D159" s="28"/>
    </row>
    <row r="160" spans="1:4" ht="12.75" customHeight="1" x14ac:dyDescent="0.35">
      <c r="A160" s="28"/>
      <c r="B160" s="28"/>
      <c r="C160" s="28"/>
      <c r="D160" s="28"/>
    </row>
    <row r="161" spans="1:4" ht="12.75" customHeight="1" x14ac:dyDescent="0.35">
      <c r="A161" s="28"/>
      <c r="B161" s="28"/>
      <c r="C161" s="28"/>
      <c r="D161" s="28"/>
    </row>
    <row r="162" spans="1:4" ht="12.75" customHeight="1" x14ac:dyDescent="0.35">
      <c r="A162" s="28"/>
      <c r="B162" s="28"/>
      <c r="C162" s="28"/>
      <c r="D162" s="28"/>
    </row>
    <row r="163" spans="1:4" ht="12.75" customHeight="1" x14ac:dyDescent="0.35">
      <c r="A163" s="28"/>
      <c r="B163" s="28"/>
      <c r="C163" s="28"/>
      <c r="D163" s="28"/>
    </row>
    <row r="164" spans="1:4" ht="12.75" customHeight="1" x14ac:dyDescent="0.35">
      <c r="A164" s="28"/>
      <c r="B164" s="28"/>
      <c r="C164"/>
      <c r="D164" s="28"/>
    </row>
    <row r="165" spans="1:4" ht="12.75" customHeight="1" x14ac:dyDescent="0.35">
      <c r="A165" s="28"/>
      <c r="B165" s="28"/>
      <c r="C165" s="28"/>
      <c r="D165" s="28"/>
    </row>
    <row r="166" spans="1:4" ht="12.75" customHeight="1" x14ac:dyDescent="0.35">
      <c r="A166" s="28"/>
      <c r="B166" s="28"/>
      <c r="C166" s="28"/>
      <c r="D166"/>
    </row>
    <row r="167" spans="1:4" ht="12.75" customHeight="1" x14ac:dyDescent="0.35">
      <c r="A167" s="28"/>
      <c r="B167" s="28"/>
      <c r="C167" s="28"/>
      <c r="D167" s="28"/>
    </row>
    <row r="168" spans="1:4" ht="12.75" customHeight="1" x14ac:dyDescent="0.35">
      <c r="A168" s="28"/>
      <c r="B168" s="28"/>
      <c r="C168" s="28"/>
      <c r="D168" s="28"/>
    </row>
    <row r="169" spans="1:4" ht="12.75" customHeight="1" x14ac:dyDescent="0.35">
      <c r="A169" s="28"/>
      <c r="B169" s="28"/>
      <c r="C169" s="28"/>
      <c r="D169" s="28"/>
    </row>
    <row r="170" spans="1:4" ht="12.75" customHeight="1" x14ac:dyDescent="0.35">
      <c r="A170" s="28"/>
      <c r="B170" s="28"/>
      <c r="C170" s="28"/>
      <c r="D170" s="28"/>
    </row>
    <row r="171" spans="1:4" ht="12.75" customHeight="1" x14ac:dyDescent="0.35">
      <c r="A171" s="28"/>
      <c r="B171" s="28"/>
      <c r="C171" s="28"/>
      <c r="D171" s="28"/>
    </row>
    <row r="172" spans="1:4" ht="12.75" customHeight="1" x14ac:dyDescent="0.35">
      <c r="A172" s="28"/>
      <c r="B172" s="28"/>
      <c r="C172" s="28"/>
      <c r="D172" s="28"/>
    </row>
    <row r="173" spans="1:4" ht="12.75" customHeight="1" x14ac:dyDescent="0.35">
      <c r="A173" s="28"/>
      <c r="B173" s="28"/>
      <c r="C173" s="28"/>
      <c r="D173" s="28"/>
    </row>
    <row r="174" spans="1:4" ht="12.75" customHeight="1" x14ac:dyDescent="0.35">
      <c r="A174" s="28"/>
      <c r="B174" s="28"/>
      <c r="C174" s="28"/>
      <c r="D174" s="28"/>
    </row>
    <row r="175" spans="1:4" ht="12.75" customHeight="1" x14ac:dyDescent="0.35">
      <c r="A175" s="28"/>
      <c r="B175" s="28"/>
      <c r="C175" s="28"/>
      <c r="D175" s="28"/>
    </row>
    <row r="176" spans="1:4" ht="12.75" customHeight="1" x14ac:dyDescent="0.35">
      <c r="A176" s="28"/>
      <c r="B176" s="28"/>
      <c r="C176" s="28"/>
      <c r="D176" s="28"/>
    </row>
    <row r="177" spans="1:4" ht="12.75" customHeight="1" x14ac:dyDescent="0.35">
      <c r="A177" s="28"/>
      <c r="B177" s="28"/>
      <c r="C177" s="28" t="s">
        <v>4314</v>
      </c>
      <c r="D177" s="28"/>
    </row>
    <row r="178" spans="1:4" ht="12.75" customHeight="1" x14ac:dyDescent="0.35">
      <c r="A178" s="28"/>
      <c r="B178" s="28"/>
      <c r="C178" s="28"/>
      <c r="D178" s="28"/>
    </row>
    <row r="179" spans="1:4" ht="12.75" customHeight="1" x14ac:dyDescent="0.35">
      <c r="A179" s="28"/>
      <c r="B179" s="28"/>
      <c r="C179" s="28"/>
      <c r="D179" s="28" t="s">
        <v>4315</v>
      </c>
    </row>
    <row r="180" spans="1:4" ht="12.75" customHeight="1" x14ac:dyDescent="0.35">
      <c r="A180" s="28"/>
      <c r="B180" s="28"/>
      <c r="C180" s="28"/>
      <c r="D180" s="28"/>
    </row>
    <row r="181" spans="1:4" ht="12.75" customHeight="1" x14ac:dyDescent="0.35">
      <c r="A181" s="28"/>
      <c r="B181" s="28"/>
      <c r="C181" s="28"/>
      <c r="D181" s="28"/>
    </row>
    <row r="182" spans="1:4" ht="12.75" customHeight="1" x14ac:dyDescent="0.35">
      <c r="A182" s="28"/>
      <c r="B182" s="28"/>
      <c r="C182" s="28"/>
      <c r="D182" s="28"/>
    </row>
    <row r="183" spans="1:4" ht="12.75" customHeight="1" x14ac:dyDescent="0.35">
      <c r="A183" s="28"/>
      <c r="B183" s="28"/>
      <c r="C183" s="28"/>
      <c r="D183" s="28"/>
    </row>
    <row r="184" spans="1:4" ht="12.75" customHeight="1" x14ac:dyDescent="0.35">
      <c r="A184" s="28"/>
      <c r="B184" s="28"/>
      <c r="C184" s="28"/>
      <c r="D184" s="28"/>
    </row>
    <row r="185" spans="1:4" ht="12.75" customHeight="1" x14ac:dyDescent="0.35">
      <c r="A185" s="28"/>
      <c r="B185" s="28"/>
      <c r="C185" s="28"/>
      <c r="D185" s="28"/>
    </row>
    <row r="186" spans="1:4" ht="12.75" customHeight="1" x14ac:dyDescent="0.35">
      <c r="A186" s="28"/>
      <c r="B186" s="28"/>
      <c r="C186" s="28"/>
      <c r="D186" s="28"/>
    </row>
    <row r="187" spans="1:4" ht="12.75" customHeight="1" x14ac:dyDescent="0.35">
      <c r="A187" s="28"/>
      <c r="B187" s="28"/>
      <c r="C187" s="28"/>
      <c r="D187" s="28"/>
    </row>
    <row r="188" spans="1:4" ht="12.75" customHeight="1" x14ac:dyDescent="0.35">
      <c r="A188" s="28"/>
      <c r="B188" s="28"/>
      <c r="C188" s="28"/>
      <c r="D188" s="28"/>
    </row>
    <row r="189" spans="1:4" ht="12.75" customHeight="1" x14ac:dyDescent="0.35">
      <c r="A189" s="28"/>
      <c r="B189" s="28"/>
      <c r="C189" s="28"/>
      <c r="D189" s="28"/>
    </row>
    <row r="190" spans="1:4" ht="12.75" customHeight="1" x14ac:dyDescent="0.35">
      <c r="A190" s="28"/>
      <c r="B190" s="28"/>
      <c r="C190" s="28"/>
      <c r="D190" s="28"/>
    </row>
    <row r="191" spans="1:4" ht="12.75" customHeight="1" x14ac:dyDescent="0.35">
      <c r="A191" s="28"/>
      <c r="B191" s="28"/>
      <c r="C191" s="28"/>
      <c r="D191" s="28"/>
    </row>
    <row r="192" spans="1:4" ht="12.75" customHeight="1" x14ac:dyDescent="0.35">
      <c r="A192" s="28"/>
      <c r="B192" s="28"/>
      <c r="C192" s="28"/>
      <c r="D192" s="28"/>
    </row>
    <row r="193" spans="1:4" ht="12.75" customHeight="1" x14ac:dyDescent="0.35">
      <c r="A193" s="28"/>
      <c r="B193" s="28"/>
      <c r="C193" s="28"/>
      <c r="D193" s="28"/>
    </row>
    <row r="194" spans="1:4" ht="12.75" customHeight="1" x14ac:dyDescent="0.35">
      <c r="A194" s="28"/>
      <c r="B194" s="28"/>
      <c r="C194" s="28"/>
      <c r="D194" s="28"/>
    </row>
    <row r="195" spans="1:4" ht="12.75" customHeight="1" x14ac:dyDescent="0.35">
      <c r="A195" s="28"/>
      <c r="B195" s="28"/>
      <c r="C195" s="28"/>
      <c r="D195" s="28"/>
    </row>
    <row r="196" spans="1:4" ht="12.75" customHeight="1" x14ac:dyDescent="0.35">
      <c r="A196" s="28"/>
      <c r="B196" s="28"/>
      <c r="C196" s="28"/>
      <c r="D196" s="28"/>
    </row>
    <row r="197" spans="1:4" ht="12.75" customHeight="1" x14ac:dyDescent="0.35">
      <c r="A197" s="28"/>
      <c r="B197" s="28"/>
      <c r="C197" s="28"/>
      <c r="D197" s="28"/>
    </row>
    <row r="198" spans="1:4" ht="12.75" customHeight="1" x14ac:dyDescent="0.35">
      <c r="A198" s="28"/>
      <c r="B198" s="28"/>
      <c r="C198" s="28"/>
      <c r="D198" s="28"/>
    </row>
    <row r="199" spans="1:4" ht="12.75" customHeight="1" x14ac:dyDescent="0.35">
      <c r="A199" s="28"/>
      <c r="B199" s="28"/>
      <c r="C199" s="28"/>
      <c r="D199" s="28"/>
    </row>
    <row r="200" spans="1:4" ht="12.75" customHeight="1" x14ac:dyDescent="0.35">
      <c r="A200" s="28"/>
      <c r="B200" s="28"/>
      <c r="C200" s="28"/>
      <c r="D200" s="28"/>
    </row>
    <row r="201" spans="1:4" ht="12.75" customHeight="1" x14ac:dyDescent="0.35">
      <c r="A201" s="28"/>
      <c r="B201" s="28"/>
      <c r="C201" s="28"/>
      <c r="D201" s="28"/>
    </row>
    <row r="202" spans="1:4" ht="12.75" customHeight="1" x14ac:dyDescent="0.35">
      <c r="A202" s="28"/>
      <c r="B202" s="28"/>
      <c r="C202" s="28"/>
      <c r="D202" s="28"/>
    </row>
    <row r="203" spans="1:4" ht="12.75" customHeight="1" x14ac:dyDescent="0.35">
      <c r="A203" s="28"/>
      <c r="B203" s="28"/>
      <c r="C203"/>
      <c r="D203" s="28"/>
    </row>
    <row r="204" spans="1:4" ht="12.75" customHeight="1" x14ac:dyDescent="0.35">
      <c r="A204" s="28"/>
      <c r="B204" s="28"/>
      <c r="C204" s="28"/>
      <c r="D204" s="28"/>
    </row>
    <row r="205" spans="1:4" ht="12.75" customHeight="1" x14ac:dyDescent="0.35">
      <c r="A205" s="28"/>
      <c r="B205" s="28"/>
      <c r="C205" s="28"/>
      <c r="D205"/>
    </row>
    <row r="206" spans="1:4" ht="12.75" customHeight="1" x14ac:dyDescent="0.35">
      <c r="A206" s="28"/>
      <c r="B206" s="28"/>
      <c r="C206" s="28"/>
      <c r="D206"/>
    </row>
    <row r="207" spans="1:4" ht="12.75" customHeight="1" x14ac:dyDescent="0.35">
      <c r="A207" s="28"/>
      <c r="B207" s="28"/>
      <c r="C207" s="28"/>
      <c r="D207"/>
    </row>
    <row r="208" spans="1:4" ht="12.75" customHeight="1" x14ac:dyDescent="0.35">
      <c r="A208"/>
      <c r="B208"/>
      <c r="C208"/>
      <c r="D208"/>
    </row>
    <row r="209" spans="1:4" ht="12.75" customHeight="1" x14ac:dyDescent="0.35">
      <c r="A209"/>
      <c r="B209"/>
      <c r="C209"/>
      <c r="D209"/>
    </row>
    <row r="210" spans="1:4" ht="12.75" customHeight="1" x14ac:dyDescent="0.35">
      <c r="A210"/>
      <c r="B210"/>
      <c r="C210"/>
      <c r="D210"/>
    </row>
    <row r="211" spans="1:4" ht="12.75" customHeight="1" x14ac:dyDescent="0.35">
      <c r="A211"/>
      <c r="B211"/>
      <c r="C211"/>
      <c r="D211"/>
    </row>
    <row r="212" spans="1:4" ht="12.75" customHeight="1" x14ac:dyDescent="0.35">
      <c r="A212"/>
      <c r="B212"/>
      <c r="C212"/>
      <c r="D212"/>
    </row>
    <row r="213" spans="1:4" ht="12.75" customHeight="1" x14ac:dyDescent="0.35">
      <c r="A213"/>
      <c r="B213"/>
      <c r="C213"/>
      <c r="D213"/>
    </row>
    <row r="214" spans="1:4" ht="12.75" customHeight="1" x14ac:dyDescent="0.35">
      <c r="A214"/>
      <c r="B214"/>
      <c r="C214"/>
      <c r="D214"/>
    </row>
    <row r="215" spans="1:4" ht="12.75" customHeight="1" x14ac:dyDescent="0.35">
      <c r="A215"/>
      <c r="B215"/>
      <c r="C215"/>
      <c r="D215"/>
    </row>
    <row r="216" spans="1:4" ht="12.75" customHeight="1" x14ac:dyDescent="0.35">
      <c r="A216"/>
      <c r="B216"/>
      <c r="C216"/>
      <c r="D216"/>
    </row>
    <row r="217" spans="1:4" ht="12.75" customHeight="1" x14ac:dyDescent="0.35">
      <c r="A217"/>
      <c r="B217"/>
      <c r="C217"/>
      <c r="D217"/>
    </row>
    <row r="218" spans="1:4" ht="12.75" customHeight="1" x14ac:dyDescent="0.35">
      <c r="A218"/>
      <c r="B218"/>
      <c r="C218"/>
      <c r="D218"/>
    </row>
    <row r="219" spans="1:4" ht="12.75" customHeight="1" x14ac:dyDescent="0.35">
      <c r="A219"/>
      <c r="B219"/>
      <c r="C219"/>
      <c r="D219"/>
    </row>
    <row r="220" spans="1:4" ht="12.75" customHeight="1" x14ac:dyDescent="0.35">
      <c r="A220"/>
      <c r="B220"/>
      <c r="C220"/>
      <c r="D220"/>
    </row>
    <row r="221" spans="1:4" ht="12.75" customHeight="1" x14ac:dyDescent="0.35">
      <c r="A221"/>
      <c r="B221"/>
      <c r="C221" s="28" t="s">
        <v>5204</v>
      </c>
      <c r="D221"/>
    </row>
    <row r="222" spans="1:4" ht="12.75" customHeight="1" x14ac:dyDescent="0.35">
      <c r="A222"/>
      <c r="B222"/>
      <c r="C222"/>
      <c r="D222"/>
    </row>
    <row r="223" spans="1:4" ht="12.75" customHeight="1" x14ac:dyDescent="0.35">
      <c r="A223"/>
      <c r="B223"/>
      <c r="C223"/>
      <c r="D223" s="28" t="s">
        <v>4316</v>
      </c>
    </row>
    <row r="224" spans="1:4" ht="12.75" customHeight="1" x14ac:dyDescent="0.35">
      <c r="A224"/>
      <c r="B224"/>
      <c r="C224"/>
      <c r="D224" s="28" t="s">
        <v>4317</v>
      </c>
    </row>
    <row r="225" spans="1:4" ht="12.75" customHeight="1" x14ac:dyDescent="0.35">
      <c r="A225"/>
      <c r="B225"/>
      <c r="C225"/>
      <c r="D225" s="28" t="s">
        <v>4318</v>
      </c>
    </row>
  </sheetData>
  <printOptions gridLines="1"/>
  <pageMargins left="0.75" right="0.75" top="1" bottom="1" header="0.5" footer="0.5"/>
  <pageSetup paperSize="9" orientation="portrait" r:id="rId1"/>
  <headerFooter>
    <oddHeader>&amp;C&amp;A</oddHeader>
    <oddFooter>&amp;CPage &amp;P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5">
    <pageSetUpPr autoPageBreaks="0"/>
  </sheetPr>
  <dimension ref="A1:D225"/>
  <sheetViews>
    <sheetView topLeftCell="A221" workbookViewId="0">
      <selection activeCell="C221" sqref="C221"/>
    </sheetView>
  </sheetViews>
  <sheetFormatPr defaultColWidth="9.1796875" defaultRowHeight="14.5" x14ac:dyDescent="0.35"/>
  <cols>
    <col min="1" max="16384" width="9.1796875" style="97"/>
  </cols>
  <sheetData>
    <row r="1" spans="1:4" ht="12.75" customHeight="1" x14ac:dyDescent="0.35">
      <c r="A1" s="28"/>
      <c r="B1" s="28"/>
      <c r="C1" s="28"/>
      <c r="D1" s="28"/>
    </row>
    <row r="2" spans="1:4" ht="12.75" customHeight="1" x14ac:dyDescent="0.35">
      <c r="A2" s="28"/>
      <c r="B2" s="28"/>
      <c r="C2" s="28"/>
      <c r="D2" s="28"/>
    </row>
    <row r="3" spans="1:4" ht="12.75" customHeight="1" x14ac:dyDescent="0.35">
      <c r="A3" s="28"/>
      <c r="B3" s="28"/>
      <c r="C3" s="28" t="s">
        <v>4852</v>
      </c>
      <c r="D3" s="28"/>
    </row>
    <row r="4" spans="1:4" ht="12.75" customHeight="1" x14ac:dyDescent="0.35">
      <c r="A4" s="28"/>
      <c r="B4" s="28"/>
      <c r="C4" s="28"/>
      <c r="D4" s="28"/>
    </row>
    <row r="5" spans="1:4" ht="12.75" customHeight="1" x14ac:dyDescent="0.35">
      <c r="A5" s="28"/>
      <c r="B5" s="28"/>
      <c r="C5" s="28"/>
      <c r="D5" s="28" t="s">
        <v>4319</v>
      </c>
    </row>
    <row r="6" spans="1:4" ht="12.75" customHeight="1" x14ac:dyDescent="0.35">
      <c r="A6" s="28"/>
      <c r="B6" s="28"/>
      <c r="C6" s="28"/>
      <c r="D6" s="28" t="s">
        <v>4320</v>
      </c>
    </row>
    <row r="7" spans="1:4" ht="12.75" customHeight="1" x14ac:dyDescent="0.35">
      <c r="A7" s="28"/>
      <c r="B7" s="28"/>
      <c r="C7" s="28"/>
      <c r="D7" s="105" t="s">
        <v>4321</v>
      </c>
    </row>
    <row r="8" spans="1:4" ht="12.75" customHeight="1" x14ac:dyDescent="0.35">
      <c r="A8" s="28"/>
      <c r="B8" s="28"/>
      <c r="C8" s="28"/>
      <c r="D8" s="28"/>
    </row>
    <row r="9" spans="1:4" ht="12.75" customHeight="1" x14ac:dyDescent="0.35">
      <c r="A9" s="28"/>
      <c r="B9" s="28"/>
      <c r="C9" s="28"/>
      <c r="D9" s="28"/>
    </row>
    <row r="10" spans="1:4" ht="12.75" customHeight="1" x14ac:dyDescent="0.35">
      <c r="A10" s="28"/>
      <c r="B10" s="28"/>
      <c r="C10" s="28"/>
      <c r="D10" s="28"/>
    </row>
    <row r="11" spans="1:4" ht="12.75" customHeight="1" x14ac:dyDescent="0.35">
      <c r="A11" s="28"/>
      <c r="B11" s="28"/>
      <c r="C11" s="28"/>
      <c r="D11" s="28"/>
    </row>
    <row r="12" spans="1:4" ht="12.75" customHeight="1" x14ac:dyDescent="0.35">
      <c r="A12" s="28"/>
      <c r="B12" s="28"/>
      <c r="C12" s="28"/>
      <c r="D12" s="28"/>
    </row>
    <row r="13" spans="1:4" ht="12.75" customHeight="1" x14ac:dyDescent="0.35">
      <c r="A13" s="28"/>
      <c r="B13" s="28"/>
      <c r="C13" s="28"/>
      <c r="D13" s="28"/>
    </row>
    <row r="14" spans="1:4" ht="12.75" customHeight="1" x14ac:dyDescent="0.35">
      <c r="A14" s="28"/>
      <c r="B14" s="28"/>
      <c r="C14" s="28"/>
      <c r="D14" s="28"/>
    </row>
    <row r="15" spans="1:4" ht="12.75" customHeight="1" x14ac:dyDescent="0.35">
      <c r="A15" s="28"/>
      <c r="B15" s="28"/>
      <c r="C15" s="28"/>
      <c r="D15" s="28"/>
    </row>
    <row r="16" spans="1:4" ht="12.75" customHeight="1" x14ac:dyDescent="0.35">
      <c r="A16" s="28"/>
      <c r="B16" s="28"/>
      <c r="C16" s="28"/>
      <c r="D16" s="28"/>
    </row>
    <row r="17" spans="1:4" ht="12.75" customHeight="1" x14ac:dyDescent="0.35">
      <c r="A17" s="28"/>
      <c r="B17" s="28"/>
      <c r="C17" s="28"/>
      <c r="D17" s="28"/>
    </row>
    <row r="18" spans="1:4" ht="12.75" customHeight="1" x14ac:dyDescent="0.35">
      <c r="A18" s="28"/>
      <c r="B18" s="28"/>
      <c r="C18" s="28"/>
      <c r="D18" s="28"/>
    </row>
    <row r="19" spans="1:4" ht="12.75" customHeight="1" x14ac:dyDescent="0.35">
      <c r="A19" s="28"/>
      <c r="B19" s="28"/>
      <c r="C19" s="28"/>
      <c r="D19" s="28"/>
    </row>
    <row r="20" spans="1:4" ht="12.75" customHeight="1" x14ac:dyDescent="0.35">
      <c r="A20" s="28"/>
      <c r="B20" s="28"/>
      <c r="C20" s="28"/>
      <c r="D20" s="28"/>
    </row>
    <row r="21" spans="1:4" ht="12.75" customHeight="1" x14ac:dyDescent="0.35">
      <c r="A21" s="28"/>
      <c r="B21" s="28"/>
      <c r="C21" s="28"/>
      <c r="D21" s="28"/>
    </row>
    <row r="22" spans="1:4" ht="12.75" customHeight="1" x14ac:dyDescent="0.35">
      <c r="A22" s="28"/>
      <c r="B22" s="28"/>
      <c r="C22" s="28"/>
      <c r="D22" s="28"/>
    </row>
    <row r="23" spans="1:4" ht="12.75" customHeight="1" x14ac:dyDescent="0.35">
      <c r="A23" s="28"/>
      <c r="B23" s="28"/>
      <c r="C23" s="28"/>
      <c r="D23" s="28"/>
    </row>
    <row r="24" spans="1:4" ht="12.75" customHeight="1" x14ac:dyDescent="0.35">
      <c r="A24" s="28"/>
      <c r="B24" s="28"/>
      <c r="C24" s="28"/>
      <c r="D24" s="28"/>
    </row>
    <row r="25" spans="1:4" ht="12.75" customHeight="1" x14ac:dyDescent="0.35">
      <c r="A25" s="28"/>
      <c r="B25" s="28"/>
      <c r="C25" s="28"/>
      <c r="D25" s="28"/>
    </row>
    <row r="26" spans="1:4" ht="12.75" customHeight="1" x14ac:dyDescent="0.35">
      <c r="A26" s="28"/>
      <c r="B26" s="28"/>
      <c r="C26" s="28"/>
      <c r="D26" s="28"/>
    </row>
    <row r="27" spans="1:4" ht="12.75" customHeight="1" x14ac:dyDescent="0.35">
      <c r="A27" s="28"/>
      <c r="B27" s="28"/>
      <c r="C27" s="28"/>
      <c r="D27" s="28"/>
    </row>
    <row r="28" spans="1:4" ht="12.75" customHeight="1" x14ac:dyDescent="0.35">
      <c r="A28" s="28"/>
      <c r="B28" s="28"/>
      <c r="C28" s="28"/>
      <c r="D28" s="28"/>
    </row>
    <row r="29" spans="1:4" ht="12.75" customHeight="1" x14ac:dyDescent="0.35">
      <c r="A29" s="28"/>
      <c r="B29" s="28"/>
      <c r="C29" s="28"/>
      <c r="D29" s="28"/>
    </row>
    <row r="30" spans="1:4" ht="12.75" customHeight="1" x14ac:dyDescent="0.35">
      <c r="A30" s="28"/>
      <c r="B30" s="28"/>
      <c r="C30" s="28"/>
      <c r="D30" s="28"/>
    </row>
    <row r="31" spans="1:4" ht="12.75" customHeight="1" x14ac:dyDescent="0.35">
      <c r="A31" s="28"/>
      <c r="B31" s="28"/>
      <c r="C31" s="28"/>
      <c r="D31" s="28"/>
    </row>
    <row r="32" spans="1:4" ht="12.75" customHeight="1" x14ac:dyDescent="0.35">
      <c r="A32" s="28"/>
      <c r="B32" s="28"/>
      <c r="C32" s="28"/>
      <c r="D32" s="28"/>
    </row>
    <row r="33" spans="1:4" ht="12.75" customHeight="1" x14ac:dyDescent="0.35">
      <c r="A33" s="28"/>
      <c r="B33" s="28"/>
      <c r="C33" s="28"/>
      <c r="D33" s="28"/>
    </row>
    <row r="34" spans="1:4" ht="12.75" customHeight="1" x14ac:dyDescent="0.35">
      <c r="A34" s="28"/>
      <c r="B34" s="28"/>
      <c r="C34" s="28"/>
      <c r="D34" s="28"/>
    </row>
    <row r="35" spans="1:4" ht="12.75" customHeight="1" x14ac:dyDescent="0.35">
      <c r="A35" s="28"/>
      <c r="B35" s="28"/>
      <c r="C35" s="28"/>
      <c r="D35" s="28"/>
    </row>
    <row r="36" spans="1:4" ht="12.75" customHeight="1" x14ac:dyDescent="0.35">
      <c r="A36" s="28"/>
      <c r="B36" s="28"/>
      <c r="C36" s="28"/>
      <c r="D36" s="28"/>
    </row>
    <row r="37" spans="1:4" ht="12.75" customHeight="1" x14ac:dyDescent="0.35">
      <c r="A37" s="28"/>
      <c r="B37" s="28"/>
      <c r="C37" s="28"/>
      <c r="D37" s="28"/>
    </row>
    <row r="38" spans="1:4" ht="12.75" customHeight="1" x14ac:dyDescent="0.35">
      <c r="A38" s="28"/>
      <c r="B38" s="28"/>
      <c r="C38" s="28"/>
      <c r="D38" s="28"/>
    </row>
    <row r="39" spans="1:4" ht="12.75" customHeight="1" x14ac:dyDescent="0.35">
      <c r="A39" s="28"/>
      <c r="B39" s="28"/>
      <c r="C39" s="28"/>
      <c r="D39" s="28"/>
    </row>
    <row r="40" spans="1:4" ht="12.75" customHeight="1" x14ac:dyDescent="0.35">
      <c r="A40" s="28"/>
      <c r="B40" s="28"/>
      <c r="C40" s="28"/>
      <c r="D40" s="28"/>
    </row>
    <row r="41" spans="1:4" ht="12.75" customHeight="1" x14ac:dyDescent="0.35">
      <c r="A41" s="28"/>
      <c r="B41" s="28"/>
      <c r="C41"/>
      <c r="D41" s="28"/>
    </row>
    <row r="42" spans="1:4" ht="12.75" customHeight="1" x14ac:dyDescent="0.35">
      <c r="A42" s="28"/>
      <c r="B42" s="28"/>
      <c r="C42"/>
      <c r="D42" s="28"/>
    </row>
    <row r="43" spans="1:4" ht="12.75" customHeight="1" x14ac:dyDescent="0.35">
      <c r="A43" s="28"/>
      <c r="B43" s="28"/>
      <c r="C43"/>
      <c r="D43" s="28"/>
    </row>
    <row r="44" spans="1:4" ht="12.75" customHeight="1" x14ac:dyDescent="0.35">
      <c r="A44" s="28"/>
      <c r="B44" s="28"/>
      <c r="C44" s="132" t="s">
        <v>4891</v>
      </c>
      <c r="D44" s="28"/>
    </row>
    <row r="45" spans="1:4" ht="12.75" customHeight="1" x14ac:dyDescent="0.35">
      <c r="A45" s="28"/>
      <c r="B45" s="28"/>
      <c r="C45" s="28"/>
      <c r="D45"/>
    </row>
    <row r="46" spans="1:4" ht="12.75" customHeight="1" x14ac:dyDescent="0.35">
      <c r="A46" s="28"/>
      <c r="B46" s="28"/>
      <c r="C46" s="28"/>
      <c r="D46" s="28" t="s">
        <v>4322</v>
      </c>
    </row>
    <row r="47" spans="1:4" ht="12.75" customHeight="1" x14ac:dyDescent="0.35">
      <c r="A47" s="28"/>
      <c r="B47" s="28"/>
      <c r="C47" s="28"/>
      <c r="D47" s="28"/>
    </row>
    <row r="48" spans="1:4" ht="12.75" customHeight="1" x14ac:dyDescent="0.35">
      <c r="A48" s="28"/>
      <c r="B48" s="28"/>
      <c r="C48" s="28"/>
      <c r="D48" s="28"/>
    </row>
    <row r="49" spans="1:4" ht="12.75" customHeight="1" x14ac:dyDescent="0.35">
      <c r="A49" s="28"/>
      <c r="B49" s="28"/>
      <c r="C49" s="28"/>
      <c r="D49" s="28"/>
    </row>
    <row r="50" spans="1:4" ht="12.75" customHeight="1" x14ac:dyDescent="0.35">
      <c r="A50" s="28"/>
      <c r="B50" s="28"/>
      <c r="C50" s="28"/>
      <c r="D50" s="28"/>
    </row>
    <row r="51" spans="1:4" ht="12.75" customHeight="1" x14ac:dyDescent="0.35">
      <c r="A51" s="28"/>
      <c r="B51" s="28"/>
      <c r="C51" s="28"/>
      <c r="D51" s="28"/>
    </row>
    <row r="52" spans="1:4" ht="12.75" customHeight="1" x14ac:dyDescent="0.35">
      <c r="A52" s="28"/>
      <c r="B52" s="28"/>
      <c r="C52" s="28"/>
      <c r="D52" s="28"/>
    </row>
    <row r="53" spans="1:4" ht="12.75" customHeight="1" x14ac:dyDescent="0.35">
      <c r="A53" s="28"/>
      <c r="B53" s="28"/>
      <c r="C53" s="28"/>
      <c r="D53" s="28"/>
    </row>
    <row r="54" spans="1:4" ht="12.75" customHeight="1" x14ac:dyDescent="0.35">
      <c r="A54" s="28"/>
      <c r="B54" s="28"/>
      <c r="C54" s="28"/>
      <c r="D54" s="28"/>
    </row>
    <row r="55" spans="1:4" ht="12.75" customHeight="1" x14ac:dyDescent="0.35">
      <c r="A55" s="28"/>
      <c r="B55" s="28"/>
      <c r="C55" s="28"/>
      <c r="D55" s="28"/>
    </row>
    <row r="56" spans="1:4" ht="12.75" customHeight="1" x14ac:dyDescent="0.35">
      <c r="A56" s="28"/>
      <c r="B56" s="28"/>
      <c r="C56" s="28"/>
      <c r="D56" s="28"/>
    </row>
    <row r="57" spans="1:4" ht="12.75" customHeight="1" x14ac:dyDescent="0.35">
      <c r="A57" s="28"/>
      <c r="B57" s="28"/>
      <c r="C57" s="28"/>
      <c r="D57" s="28"/>
    </row>
    <row r="58" spans="1:4" ht="12.75" customHeight="1" x14ac:dyDescent="0.35">
      <c r="A58" s="28"/>
      <c r="B58" s="28"/>
      <c r="C58" s="28"/>
      <c r="D58" s="28"/>
    </row>
    <row r="59" spans="1:4" ht="12.75" customHeight="1" x14ac:dyDescent="0.35">
      <c r="A59" s="28"/>
      <c r="B59" s="28"/>
      <c r="C59" s="28"/>
      <c r="D59" s="28"/>
    </row>
    <row r="60" spans="1:4" ht="12.75" customHeight="1" x14ac:dyDescent="0.35">
      <c r="A60" s="28"/>
      <c r="B60" s="28"/>
      <c r="C60" s="28"/>
      <c r="D60" s="28"/>
    </row>
    <row r="61" spans="1:4" ht="12.75" customHeight="1" x14ac:dyDescent="0.35">
      <c r="A61" s="28"/>
      <c r="B61" s="28"/>
      <c r="C61" s="28"/>
      <c r="D61" s="28"/>
    </row>
    <row r="62" spans="1:4" ht="12.75" customHeight="1" x14ac:dyDescent="0.35">
      <c r="A62" s="28"/>
      <c r="B62" s="28"/>
      <c r="C62" s="28"/>
      <c r="D62" s="28"/>
    </row>
    <row r="63" spans="1:4" ht="12.75" customHeight="1" x14ac:dyDescent="0.35">
      <c r="A63" s="28"/>
      <c r="B63" s="28"/>
      <c r="C63" s="28"/>
      <c r="D63" s="28"/>
    </row>
    <row r="64" spans="1:4" ht="12.75" customHeight="1" x14ac:dyDescent="0.35">
      <c r="A64" s="28"/>
      <c r="B64" s="28"/>
      <c r="C64" s="28"/>
      <c r="D64" s="28"/>
    </row>
    <row r="65" spans="1:4" ht="12.75" customHeight="1" x14ac:dyDescent="0.35">
      <c r="A65" s="28"/>
      <c r="B65" s="28"/>
      <c r="C65" s="28"/>
      <c r="D65" s="28"/>
    </row>
    <row r="66" spans="1:4" ht="12.75" customHeight="1" x14ac:dyDescent="0.35">
      <c r="A66" s="28"/>
      <c r="B66" s="28"/>
      <c r="C66" s="28"/>
      <c r="D66" s="28"/>
    </row>
    <row r="67" spans="1:4" ht="12.75" customHeight="1" x14ac:dyDescent="0.35">
      <c r="A67" s="28"/>
      <c r="B67" s="28"/>
      <c r="C67" s="28"/>
      <c r="D67" s="28"/>
    </row>
    <row r="68" spans="1:4" ht="12.75" customHeight="1" x14ac:dyDescent="0.35">
      <c r="A68" s="28"/>
      <c r="B68" s="28"/>
      <c r="C68" s="28"/>
      <c r="D68" s="28"/>
    </row>
    <row r="69" spans="1:4" ht="12.75" customHeight="1" x14ac:dyDescent="0.35">
      <c r="A69" s="28"/>
      <c r="B69" s="28"/>
      <c r="C69" s="28"/>
      <c r="D69" s="28"/>
    </row>
    <row r="70" spans="1:4" ht="12.75" customHeight="1" x14ac:dyDescent="0.35">
      <c r="A70" s="28"/>
      <c r="B70" s="28"/>
      <c r="C70" s="28"/>
      <c r="D70" s="28"/>
    </row>
    <row r="71" spans="1:4" ht="12.75" customHeight="1" x14ac:dyDescent="0.35">
      <c r="A71" s="28"/>
      <c r="B71" s="28"/>
      <c r="C71" s="28"/>
      <c r="D71" s="28"/>
    </row>
    <row r="72" spans="1:4" ht="12.75" customHeight="1" x14ac:dyDescent="0.35">
      <c r="A72" s="28"/>
      <c r="B72" s="28"/>
      <c r="C72" s="28"/>
      <c r="D72"/>
    </row>
    <row r="73" spans="1:4" ht="12.75" customHeight="1" x14ac:dyDescent="0.35">
      <c r="A73" s="28"/>
      <c r="B73" s="28"/>
      <c r="C73" s="28"/>
      <c r="D73" s="28"/>
    </row>
    <row r="74" spans="1:4" ht="12.75" customHeight="1" x14ac:dyDescent="0.35">
      <c r="A74" s="28"/>
      <c r="B74" s="28"/>
      <c r="C74" s="28"/>
      <c r="D74" s="28"/>
    </row>
    <row r="75" spans="1:4" ht="12.75" customHeight="1" x14ac:dyDescent="0.35">
      <c r="A75" s="28"/>
      <c r="B75" s="28"/>
      <c r="C75" s="28"/>
      <c r="D75" s="28"/>
    </row>
    <row r="76" spans="1:4" ht="12.75" customHeight="1" x14ac:dyDescent="0.35">
      <c r="A76" s="28"/>
      <c r="B76" s="28"/>
      <c r="C76" s="28"/>
      <c r="D76" s="28"/>
    </row>
    <row r="77" spans="1:4" ht="12.75" customHeight="1" x14ac:dyDescent="0.35">
      <c r="A77" s="28"/>
      <c r="B77" s="28"/>
      <c r="C77" s="28"/>
      <c r="D77" s="28"/>
    </row>
    <row r="78" spans="1:4" ht="12.75" customHeight="1" x14ac:dyDescent="0.35">
      <c r="A78" s="28"/>
      <c r="B78" s="28"/>
      <c r="C78" s="28"/>
      <c r="D78" s="28" t="s">
        <v>4323</v>
      </c>
    </row>
    <row r="79" spans="1:4" ht="12.75" customHeight="1" x14ac:dyDescent="0.35">
      <c r="A79" s="28"/>
      <c r="B79" s="28"/>
      <c r="C79" s="28"/>
      <c r="D79" s="28"/>
    </row>
    <row r="80" spans="1:4" ht="12.75" customHeight="1" x14ac:dyDescent="0.35">
      <c r="A80" s="28"/>
      <c r="B80" s="28"/>
      <c r="C80" s="28"/>
      <c r="D80" s="28"/>
    </row>
    <row r="81" spans="1:4" ht="12.75" customHeight="1" x14ac:dyDescent="0.35">
      <c r="A81" s="28"/>
      <c r="B81" s="28"/>
      <c r="C81" s="28"/>
      <c r="D81" s="28"/>
    </row>
    <row r="82" spans="1:4" ht="12.75" customHeight="1" x14ac:dyDescent="0.35">
      <c r="A82" s="28"/>
      <c r="B82" s="28"/>
      <c r="C82" s="28"/>
      <c r="D82" s="28"/>
    </row>
    <row r="83" spans="1:4" ht="12.75" customHeight="1" x14ac:dyDescent="0.35">
      <c r="A83" s="28"/>
      <c r="B83" s="28"/>
      <c r="C83" s="28"/>
      <c r="D83" s="28"/>
    </row>
    <row r="84" spans="1:4" ht="12.75" customHeight="1" x14ac:dyDescent="0.35">
      <c r="A84" s="28"/>
      <c r="B84" s="28"/>
      <c r="C84" s="28"/>
      <c r="D84" s="28"/>
    </row>
    <row r="85" spans="1:4" ht="12.75" customHeight="1" x14ac:dyDescent="0.35">
      <c r="A85" s="28"/>
      <c r="B85" s="28"/>
      <c r="C85" s="28"/>
      <c r="D85" s="28"/>
    </row>
    <row r="86" spans="1:4" ht="12.75" customHeight="1" x14ac:dyDescent="0.35">
      <c r="A86" s="28"/>
      <c r="B86" s="28"/>
      <c r="C86" s="28"/>
      <c r="D86" s="28"/>
    </row>
    <row r="87" spans="1:4" ht="12.75" customHeight="1" x14ac:dyDescent="0.35">
      <c r="A87" s="28"/>
      <c r="B87" s="28"/>
      <c r="C87" s="28"/>
      <c r="D87" s="28"/>
    </row>
    <row r="88" spans="1:4" ht="12.75" customHeight="1" x14ac:dyDescent="0.35">
      <c r="A88" s="28"/>
      <c r="B88" s="28"/>
      <c r="C88" s="28"/>
      <c r="D88" s="28"/>
    </row>
    <row r="89" spans="1:4" ht="12.75" customHeight="1" x14ac:dyDescent="0.35">
      <c r="A89" s="28"/>
      <c r="B89" s="28"/>
      <c r="C89" s="132" t="s">
        <v>4892</v>
      </c>
      <c r="D89" s="28"/>
    </row>
    <row r="90" spans="1:4" ht="12.75" customHeight="1" x14ac:dyDescent="0.35">
      <c r="A90" s="28"/>
      <c r="B90" s="28"/>
      <c r="C90" s="28"/>
      <c r="D90" s="28"/>
    </row>
    <row r="91" spans="1:4" ht="12.75" customHeight="1" x14ac:dyDescent="0.35">
      <c r="A91" s="28"/>
      <c r="B91" s="28"/>
      <c r="C91" s="28"/>
      <c r="D91" s="28" t="s">
        <v>4324</v>
      </c>
    </row>
    <row r="92" spans="1:4" ht="12.75" customHeight="1" x14ac:dyDescent="0.35">
      <c r="A92" s="28"/>
      <c r="B92" s="28"/>
      <c r="C92" s="28"/>
      <c r="D92" s="28"/>
    </row>
    <row r="93" spans="1:4" ht="12.75" customHeight="1" x14ac:dyDescent="0.35">
      <c r="A93" s="28"/>
      <c r="B93" s="28"/>
      <c r="C93" s="28"/>
      <c r="D93" s="28"/>
    </row>
    <row r="94" spans="1:4" ht="12.75" customHeight="1" x14ac:dyDescent="0.35">
      <c r="A94" s="28"/>
      <c r="B94" s="28"/>
      <c r="C94" s="28"/>
      <c r="D94" s="28"/>
    </row>
    <row r="95" spans="1:4" ht="12.75" customHeight="1" x14ac:dyDescent="0.35">
      <c r="A95" s="28"/>
      <c r="B95" s="28"/>
      <c r="C95" s="28"/>
      <c r="D95" s="28"/>
    </row>
    <row r="96" spans="1:4" ht="12.75" customHeight="1" x14ac:dyDescent="0.35">
      <c r="A96" s="28"/>
      <c r="B96" s="28"/>
      <c r="C96" s="28"/>
      <c r="D96" s="28"/>
    </row>
    <row r="97" spans="1:4" ht="12.75" customHeight="1" x14ac:dyDescent="0.35">
      <c r="A97" s="28"/>
      <c r="B97" s="28"/>
      <c r="C97" s="28"/>
      <c r="D97" s="28"/>
    </row>
    <row r="98" spans="1:4" ht="12.75" customHeight="1" x14ac:dyDescent="0.35">
      <c r="A98" s="28"/>
      <c r="B98" s="28"/>
      <c r="C98" s="28"/>
      <c r="D98" s="28"/>
    </row>
    <row r="99" spans="1:4" ht="12.75" customHeight="1" x14ac:dyDescent="0.35">
      <c r="A99" s="28"/>
      <c r="B99" s="28"/>
      <c r="C99" s="28"/>
      <c r="D99" s="28"/>
    </row>
    <row r="100" spans="1:4" ht="12.75" customHeight="1" x14ac:dyDescent="0.35">
      <c r="A100" s="28"/>
      <c r="B100" s="28"/>
      <c r="C100" s="28"/>
      <c r="D100" s="28"/>
    </row>
    <row r="101" spans="1:4" ht="12.75" customHeight="1" x14ac:dyDescent="0.35">
      <c r="A101" s="28"/>
      <c r="B101" s="28"/>
      <c r="C101" s="28"/>
      <c r="D101" s="28"/>
    </row>
    <row r="102" spans="1:4" ht="12.75" customHeight="1" x14ac:dyDescent="0.35">
      <c r="A102" s="28"/>
      <c r="B102" s="28"/>
      <c r="C102" s="28"/>
      <c r="D102" s="28"/>
    </row>
    <row r="103" spans="1:4" ht="12.75" customHeight="1" x14ac:dyDescent="0.35">
      <c r="A103" s="28"/>
      <c r="B103" s="28"/>
      <c r="C103" s="28"/>
      <c r="D103" s="28"/>
    </row>
    <row r="104" spans="1:4" ht="12.75" customHeight="1" x14ac:dyDescent="0.35">
      <c r="A104" s="28"/>
      <c r="B104" s="28"/>
      <c r="C104" s="28"/>
      <c r="D104" s="28"/>
    </row>
    <row r="105" spans="1:4" ht="12.75" customHeight="1" x14ac:dyDescent="0.35">
      <c r="A105" s="28"/>
      <c r="B105" s="28"/>
      <c r="C105" s="28"/>
      <c r="D105" s="28"/>
    </row>
    <row r="106" spans="1:4" ht="12.75" customHeight="1" x14ac:dyDescent="0.35">
      <c r="A106" s="28"/>
      <c r="B106" s="28"/>
      <c r="C106" s="28"/>
      <c r="D106" s="28"/>
    </row>
    <row r="107" spans="1:4" ht="12.75" customHeight="1" x14ac:dyDescent="0.35">
      <c r="A107" s="28"/>
      <c r="B107" s="28"/>
      <c r="C107" s="28"/>
      <c r="D107" s="28"/>
    </row>
    <row r="108" spans="1:4" ht="12.75" customHeight="1" x14ac:dyDescent="0.35">
      <c r="A108" s="28"/>
      <c r="B108" s="28"/>
      <c r="C108" s="28"/>
      <c r="D108" s="28"/>
    </row>
    <row r="109" spans="1:4" ht="12.75" customHeight="1" x14ac:dyDescent="0.35">
      <c r="A109" s="28"/>
      <c r="B109" s="28"/>
      <c r="C109" s="28"/>
      <c r="D109" s="28"/>
    </row>
    <row r="110" spans="1:4" ht="12.75" customHeight="1" x14ac:dyDescent="0.35">
      <c r="A110" s="28"/>
      <c r="B110" s="28"/>
      <c r="C110" s="28"/>
      <c r="D110" s="28"/>
    </row>
    <row r="111" spans="1:4" ht="12.75" customHeight="1" x14ac:dyDescent="0.35">
      <c r="A111" s="28"/>
      <c r="B111" s="28"/>
      <c r="C111" s="28"/>
      <c r="D111" s="28"/>
    </row>
    <row r="112" spans="1:4" ht="12.75" customHeight="1" x14ac:dyDescent="0.35">
      <c r="A112" s="28"/>
      <c r="B112" s="28"/>
      <c r="C112" s="28"/>
      <c r="D112" s="28"/>
    </row>
    <row r="113" spans="1:4" ht="12.75" customHeight="1" x14ac:dyDescent="0.35">
      <c r="A113" s="28"/>
      <c r="B113" s="28"/>
      <c r="C113" s="28"/>
      <c r="D113" s="28"/>
    </row>
    <row r="114" spans="1:4" ht="12.75" customHeight="1" x14ac:dyDescent="0.35">
      <c r="A114" s="28"/>
      <c r="B114" s="28"/>
      <c r="C114" s="28"/>
      <c r="D114" s="28"/>
    </row>
    <row r="115" spans="1:4" ht="12.75" customHeight="1" x14ac:dyDescent="0.35">
      <c r="A115" s="28"/>
      <c r="B115" s="28"/>
      <c r="C115" s="28"/>
      <c r="D115" s="28"/>
    </row>
    <row r="116" spans="1:4" ht="12.75" customHeight="1" x14ac:dyDescent="0.35">
      <c r="A116" s="28"/>
      <c r="B116" s="28"/>
      <c r="C116" s="28"/>
      <c r="D116" s="28"/>
    </row>
    <row r="117" spans="1:4" ht="12.75" customHeight="1" x14ac:dyDescent="0.35">
      <c r="A117" s="28"/>
      <c r="B117" s="28"/>
      <c r="C117" s="28"/>
      <c r="D117" s="28"/>
    </row>
    <row r="118" spans="1:4" ht="12.75" customHeight="1" x14ac:dyDescent="0.35">
      <c r="A118" s="28"/>
      <c r="B118" s="28"/>
      <c r="C118" s="28"/>
      <c r="D118" s="28"/>
    </row>
    <row r="119" spans="1:4" ht="12.75" customHeight="1" x14ac:dyDescent="0.35">
      <c r="A119" s="28"/>
      <c r="B119" s="28"/>
      <c r="C119" s="28"/>
      <c r="D119" s="28"/>
    </row>
    <row r="120" spans="1:4" ht="12.75" customHeight="1" x14ac:dyDescent="0.35">
      <c r="A120" s="28"/>
      <c r="B120" s="28"/>
      <c r="C120" s="28"/>
      <c r="D120" s="28"/>
    </row>
    <row r="121" spans="1:4" ht="12.75" customHeight="1" x14ac:dyDescent="0.35">
      <c r="A121" s="28"/>
      <c r="B121" s="28"/>
      <c r="C121" s="28"/>
      <c r="D121" s="28"/>
    </row>
    <row r="122" spans="1:4" ht="12.75" customHeight="1" x14ac:dyDescent="0.35">
      <c r="A122" s="28"/>
      <c r="B122" s="28"/>
      <c r="C122" s="28"/>
      <c r="D122" s="28"/>
    </row>
    <row r="123" spans="1:4" ht="12.75" customHeight="1" x14ac:dyDescent="0.35">
      <c r="A123" s="28"/>
      <c r="B123" s="28"/>
      <c r="C123" s="28"/>
      <c r="D123" s="28"/>
    </row>
    <row r="124" spans="1:4" ht="12.75" customHeight="1" x14ac:dyDescent="0.35">
      <c r="A124" s="28"/>
      <c r="B124" s="28"/>
      <c r="C124" s="28"/>
      <c r="D124" s="28"/>
    </row>
    <row r="125" spans="1:4" ht="12.75" customHeight="1" x14ac:dyDescent="0.35">
      <c r="A125" s="28"/>
      <c r="B125" s="28"/>
      <c r="C125" s="28"/>
      <c r="D125" s="28"/>
    </row>
    <row r="126" spans="1:4" ht="12.75" customHeight="1" x14ac:dyDescent="0.35">
      <c r="A126" s="28"/>
      <c r="B126" s="28"/>
      <c r="C126"/>
      <c r="D126" s="28"/>
    </row>
    <row r="127" spans="1:4" ht="12.75" customHeight="1" x14ac:dyDescent="0.35">
      <c r="A127" s="28"/>
      <c r="B127" s="28"/>
      <c r="C127" s="28"/>
      <c r="D127" s="28"/>
    </row>
    <row r="128" spans="1:4" ht="12.75" customHeight="1" x14ac:dyDescent="0.35">
      <c r="A128" s="28"/>
      <c r="B128" s="28"/>
      <c r="C128" s="28"/>
      <c r="D128"/>
    </row>
    <row r="129" spans="1:4" ht="12.75" customHeight="1" x14ac:dyDescent="0.35">
      <c r="A129" s="28"/>
      <c r="B129" s="28"/>
      <c r="C129" s="28"/>
      <c r="D129" s="28"/>
    </row>
    <row r="130" spans="1:4" ht="12.75" customHeight="1" x14ac:dyDescent="0.35">
      <c r="A130" s="28"/>
      <c r="B130" s="28"/>
      <c r="C130" s="28"/>
      <c r="D130" s="28"/>
    </row>
    <row r="131" spans="1:4" ht="12.75" customHeight="1" x14ac:dyDescent="0.35">
      <c r="A131" s="28"/>
      <c r="B131" s="28"/>
      <c r="C131" s="28"/>
      <c r="D131" s="28"/>
    </row>
    <row r="132" spans="1:4" ht="12.75" customHeight="1" x14ac:dyDescent="0.35">
      <c r="A132" s="28"/>
      <c r="B132" s="28"/>
      <c r="C132" s="28"/>
      <c r="D132" s="28"/>
    </row>
    <row r="133" spans="1:4" ht="12.75" customHeight="1" x14ac:dyDescent="0.35">
      <c r="A133" s="28"/>
      <c r="B133" s="28"/>
      <c r="C133" s="132" t="s">
        <v>4893</v>
      </c>
      <c r="D133" s="28"/>
    </row>
    <row r="134" spans="1:4" ht="12.75" customHeight="1" x14ac:dyDescent="0.35">
      <c r="A134" s="28"/>
      <c r="B134" s="28"/>
      <c r="C134" s="28"/>
      <c r="D134" s="28"/>
    </row>
    <row r="135" spans="1:4" ht="12.75" customHeight="1" x14ac:dyDescent="0.35">
      <c r="A135" s="28"/>
      <c r="B135" s="28"/>
      <c r="C135" s="28"/>
      <c r="D135" s="28" t="s">
        <v>4325</v>
      </c>
    </row>
    <row r="136" spans="1:4" ht="12.75" customHeight="1" x14ac:dyDescent="0.35">
      <c r="A136" s="28"/>
      <c r="B136" s="28"/>
      <c r="C136" s="28"/>
      <c r="D136" s="28"/>
    </row>
    <row r="137" spans="1:4" ht="12.75" customHeight="1" x14ac:dyDescent="0.35">
      <c r="A137" s="28"/>
      <c r="B137" s="28"/>
      <c r="C137" s="28"/>
      <c r="D137" s="28"/>
    </row>
    <row r="138" spans="1:4" ht="12.75" customHeight="1" x14ac:dyDescent="0.35">
      <c r="A138" s="28"/>
      <c r="B138" s="28"/>
      <c r="C138" s="28"/>
      <c r="D138" s="28"/>
    </row>
    <row r="139" spans="1:4" ht="12.75" customHeight="1" x14ac:dyDescent="0.35">
      <c r="A139" s="28"/>
      <c r="B139" s="28"/>
      <c r="C139" s="28"/>
      <c r="D139" s="28"/>
    </row>
    <row r="140" spans="1:4" ht="12.75" customHeight="1" x14ac:dyDescent="0.35">
      <c r="A140" s="28"/>
      <c r="B140" s="28"/>
      <c r="C140" s="28"/>
      <c r="D140" s="28"/>
    </row>
    <row r="141" spans="1:4" ht="12.75" customHeight="1" x14ac:dyDescent="0.35">
      <c r="A141" s="28"/>
      <c r="B141" s="28"/>
      <c r="C141" s="28"/>
      <c r="D141" s="28"/>
    </row>
    <row r="142" spans="1:4" ht="12.75" customHeight="1" x14ac:dyDescent="0.35">
      <c r="A142" s="28"/>
      <c r="B142" s="28"/>
      <c r="C142" s="28"/>
      <c r="D142" s="28"/>
    </row>
    <row r="143" spans="1:4" ht="12.75" customHeight="1" x14ac:dyDescent="0.35">
      <c r="A143" s="28"/>
      <c r="B143" s="28"/>
      <c r="C143" s="28"/>
      <c r="D143" s="28"/>
    </row>
    <row r="144" spans="1:4" ht="12.75" customHeight="1" x14ac:dyDescent="0.35">
      <c r="A144" s="28"/>
      <c r="B144" s="28"/>
      <c r="C144" s="28"/>
      <c r="D144" s="28"/>
    </row>
    <row r="145" spans="1:4" ht="12.75" customHeight="1" x14ac:dyDescent="0.35">
      <c r="A145" s="28"/>
      <c r="B145" s="28"/>
      <c r="C145" s="28"/>
      <c r="D145" s="28"/>
    </row>
    <row r="146" spans="1:4" ht="12.75" customHeight="1" x14ac:dyDescent="0.35">
      <c r="A146" s="28"/>
      <c r="B146" s="28"/>
      <c r="C146" s="28"/>
      <c r="D146" s="28"/>
    </row>
    <row r="147" spans="1:4" ht="12.75" customHeight="1" x14ac:dyDescent="0.35">
      <c r="A147" s="28"/>
      <c r="B147" s="28"/>
      <c r="C147" s="28"/>
      <c r="D147" s="28"/>
    </row>
    <row r="148" spans="1:4" ht="12.75" customHeight="1" x14ac:dyDescent="0.35">
      <c r="A148" s="28"/>
      <c r="B148" s="28"/>
      <c r="C148" s="28"/>
      <c r="D148" s="28"/>
    </row>
    <row r="149" spans="1:4" ht="12.75" customHeight="1" x14ac:dyDescent="0.35">
      <c r="A149" s="28"/>
      <c r="B149" s="28"/>
      <c r="C149" s="28"/>
      <c r="D149" s="28"/>
    </row>
    <row r="150" spans="1:4" ht="12.75" customHeight="1" x14ac:dyDescent="0.35">
      <c r="A150" s="28"/>
      <c r="B150" s="28"/>
      <c r="C150" s="28"/>
      <c r="D150" s="28"/>
    </row>
    <row r="151" spans="1:4" ht="12.75" customHeight="1" x14ac:dyDescent="0.35">
      <c r="A151" s="28"/>
      <c r="B151" s="28"/>
      <c r="C151" s="28"/>
      <c r="D151" s="28"/>
    </row>
    <row r="152" spans="1:4" ht="12.75" customHeight="1" x14ac:dyDescent="0.35">
      <c r="A152" s="28"/>
      <c r="B152" s="28"/>
      <c r="C152" s="28"/>
      <c r="D152" s="28"/>
    </row>
    <row r="153" spans="1:4" ht="12.75" customHeight="1" x14ac:dyDescent="0.35">
      <c r="A153" s="28"/>
      <c r="B153" s="28"/>
      <c r="C153" s="28"/>
      <c r="D153" s="28"/>
    </row>
    <row r="154" spans="1:4" ht="12.75" customHeight="1" x14ac:dyDescent="0.35">
      <c r="A154" s="28"/>
      <c r="B154" s="28"/>
      <c r="C154" s="28"/>
      <c r="D154" s="28"/>
    </row>
    <row r="155" spans="1:4" ht="12.75" customHeight="1" x14ac:dyDescent="0.35">
      <c r="A155" s="28"/>
      <c r="B155" s="28"/>
      <c r="C155" s="28"/>
      <c r="D155" s="28"/>
    </row>
    <row r="156" spans="1:4" ht="12.75" customHeight="1" x14ac:dyDescent="0.35">
      <c r="A156" s="28"/>
      <c r="B156" s="28"/>
      <c r="C156" s="28"/>
      <c r="D156" s="28"/>
    </row>
    <row r="157" spans="1:4" ht="12.75" customHeight="1" x14ac:dyDescent="0.35">
      <c r="A157" s="28"/>
      <c r="B157" s="28"/>
      <c r="C157" s="28"/>
      <c r="D157" s="28"/>
    </row>
    <row r="158" spans="1:4" ht="12.75" customHeight="1" x14ac:dyDescent="0.35">
      <c r="A158" s="28"/>
      <c r="B158" s="28"/>
      <c r="C158" s="28"/>
      <c r="D158" s="28"/>
    </row>
    <row r="159" spans="1:4" ht="12.75" customHeight="1" x14ac:dyDescent="0.35">
      <c r="A159" s="28"/>
      <c r="B159" s="28"/>
      <c r="C159" s="28"/>
      <c r="D159" s="28"/>
    </row>
    <row r="160" spans="1:4" ht="12.75" customHeight="1" x14ac:dyDescent="0.35">
      <c r="A160" s="28"/>
      <c r="B160" s="28"/>
      <c r="C160" s="28"/>
      <c r="D160" s="28"/>
    </row>
    <row r="161" spans="1:4" ht="12.75" customHeight="1" x14ac:dyDescent="0.35">
      <c r="A161" s="28"/>
      <c r="B161" s="28"/>
      <c r="C161" s="28"/>
      <c r="D161" s="28"/>
    </row>
    <row r="162" spans="1:4" ht="12.75" customHeight="1" x14ac:dyDescent="0.35">
      <c r="A162" s="28"/>
      <c r="B162" s="28"/>
      <c r="C162" s="28"/>
      <c r="D162" s="28"/>
    </row>
    <row r="163" spans="1:4" ht="12.75" customHeight="1" x14ac:dyDescent="0.35">
      <c r="A163" s="28"/>
      <c r="B163" s="28"/>
      <c r="C163" s="28"/>
      <c r="D163" s="28"/>
    </row>
    <row r="164" spans="1:4" ht="12.75" customHeight="1" x14ac:dyDescent="0.35">
      <c r="A164" s="28"/>
      <c r="B164" s="28"/>
      <c r="C164"/>
      <c r="D164" s="28"/>
    </row>
    <row r="165" spans="1:4" ht="12.75" customHeight="1" x14ac:dyDescent="0.35">
      <c r="A165" s="28"/>
      <c r="B165" s="28"/>
      <c r="C165" s="28"/>
      <c r="D165" s="28"/>
    </row>
    <row r="166" spans="1:4" ht="12.75" customHeight="1" x14ac:dyDescent="0.35">
      <c r="A166" s="28"/>
      <c r="B166" s="28"/>
      <c r="C166" s="28"/>
      <c r="D166"/>
    </row>
    <row r="167" spans="1:4" ht="12.75" customHeight="1" x14ac:dyDescent="0.35">
      <c r="A167" s="28"/>
      <c r="B167" s="28"/>
      <c r="C167" s="28"/>
      <c r="D167" s="28"/>
    </row>
    <row r="168" spans="1:4" ht="12.75" customHeight="1" x14ac:dyDescent="0.35">
      <c r="A168" s="28"/>
      <c r="B168" s="28"/>
      <c r="C168" s="28"/>
      <c r="D168" s="28"/>
    </row>
    <row r="169" spans="1:4" ht="12.75" customHeight="1" x14ac:dyDescent="0.35">
      <c r="A169" s="28"/>
      <c r="B169" s="28"/>
      <c r="C169" s="28"/>
      <c r="D169" s="28"/>
    </row>
    <row r="170" spans="1:4" ht="12.75" customHeight="1" x14ac:dyDescent="0.35">
      <c r="A170" s="28"/>
      <c r="B170" s="28"/>
      <c r="C170" s="28"/>
      <c r="D170" s="28"/>
    </row>
    <row r="171" spans="1:4" ht="12.75" customHeight="1" x14ac:dyDescent="0.35">
      <c r="A171" s="28"/>
      <c r="B171" s="28"/>
      <c r="C171" s="28"/>
      <c r="D171" s="28"/>
    </row>
    <row r="172" spans="1:4" ht="12.75" customHeight="1" x14ac:dyDescent="0.35">
      <c r="A172" s="28"/>
      <c r="B172" s="28"/>
      <c r="C172" s="28"/>
      <c r="D172" s="28"/>
    </row>
    <row r="173" spans="1:4" ht="12.75" customHeight="1" x14ac:dyDescent="0.35">
      <c r="A173" s="28"/>
      <c r="B173" s="28"/>
      <c r="C173" s="28"/>
      <c r="D173" s="28"/>
    </row>
    <row r="174" spans="1:4" ht="12.75" customHeight="1" x14ac:dyDescent="0.35">
      <c r="A174" s="28"/>
      <c r="B174" s="28"/>
      <c r="C174" s="28"/>
      <c r="D174" s="28"/>
    </row>
    <row r="175" spans="1:4" ht="12.75" customHeight="1" x14ac:dyDescent="0.35">
      <c r="A175" s="28"/>
      <c r="B175" s="28"/>
      <c r="C175" s="28"/>
      <c r="D175" s="28"/>
    </row>
    <row r="176" spans="1:4" ht="12.75" customHeight="1" x14ac:dyDescent="0.35">
      <c r="A176" s="28"/>
      <c r="B176" s="28"/>
      <c r="C176" s="28"/>
      <c r="D176" s="28"/>
    </row>
    <row r="177" spans="1:4" ht="12.75" customHeight="1" x14ac:dyDescent="0.35">
      <c r="A177" s="28"/>
      <c r="B177" s="28"/>
      <c r="C177" s="28" t="s">
        <v>4894</v>
      </c>
      <c r="D177" s="28"/>
    </row>
    <row r="178" spans="1:4" ht="12.75" customHeight="1" x14ac:dyDescent="0.35">
      <c r="A178" s="28"/>
      <c r="B178" s="28"/>
      <c r="C178" s="28"/>
      <c r="D178" s="28"/>
    </row>
    <row r="179" spans="1:4" ht="12.75" customHeight="1" x14ac:dyDescent="0.35">
      <c r="A179" s="28"/>
      <c r="B179" s="28"/>
      <c r="C179" s="28"/>
      <c r="D179" s="28" t="s">
        <v>4326</v>
      </c>
    </row>
    <row r="180" spans="1:4" ht="12.75" customHeight="1" x14ac:dyDescent="0.35">
      <c r="A180" s="28"/>
      <c r="B180" s="28"/>
      <c r="C180" s="28"/>
      <c r="D180" s="28"/>
    </row>
    <row r="181" spans="1:4" ht="12.75" customHeight="1" x14ac:dyDescent="0.35">
      <c r="A181" s="28"/>
      <c r="B181" s="28"/>
      <c r="C181" s="28"/>
      <c r="D181" s="28"/>
    </row>
    <row r="182" spans="1:4" ht="12.75" customHeight="1" x14ac:dyDescent="0.35">
      <c r="A182" s="28"/>
      <c r="B182" s="28"/>
      <c r="C182" s="28"/>
      <c r="D182" s="28"/>
    </row>
    <row r="183" spans="1:4" ht="12.75" customHeight="1" x14ac:dyDescent="0.35">
      <c r="A183" s="28"/>
      <c r="B183" s="28"/>
      <c r="C183" s="28"/>
      <c r="D183" s="28"/>
    </row>
    <row r="184" spans="1:4" ht="12.75" customHeight="1" x14ac:dyDescent="0.35">
      <c r="A184" s="28"/>
      <c r="B184" s="28"/>
      <c r="C184" s="28"/>
      <c r="D184" s="28"/>
    </row>
    <row r="185" spans="1:4" ht="12.75" customHeight="1" x14ac:dyDescent="0.35">
      <c r="A185" s="28"/>
      <c r="B185" s="28"/>
      <c r="C185" s="28"/>
      <c r="D185" s="28"/>
    </row>
    <row r="186" spans="1:4" ht="12.75" customHeight="1" x14ac:dyDescent="0.35">
      <c r="A186" s="28"/>
      <c r="B186" s="28"/>
      <c r="C186" s="28"/>
      <c r="D186" s="28"/>
    </row>
    <row r="187" spans="1:4" ht="12.75" customHeight="1" x14ac:dyDescent="0.35">
      <c r="A187" s="28"/>
      <c r="B187" s="28"/>
      <c r="C187" s="28"/>
      <c r="D187" s="28"/>
    </row>
    <row r="188" spans="1:4" ht="12.75" customHeight="1" x14ac:dyDescent="0.35">
      <c r="A188" s="28"/>
      <c r="B188" s="28"/>
      <c r="C188" s="28"/>
      <c r="D188" s="28"/>
    </row>
    <row r="189" spans="1:4" ht="12.75" customHeight="1" x14ac:dyDescent="0.35">
      <c r="A189" s="28"/>
      <c r="B189" s="28"/>
      <c r="C189" s="28"/>
      <c r="D189" s="28"/>
    </row>
    <row r="190" spans="1:4" ht="12.75" customHeight="1" x14ac:dyDescent="0.35">
      <c r="A190" s="28"/>
      <c r="B190" s="28"/>
      <c r="C190" s="28"/>
      <c r="D190" s="28"/>
    </row>
    <row r="191" spans="1:4" ht="12.75" customHeight="1" x14ac:dyDescent="0.35">
      <c r="A191" s="28"/>
      <c r="B191" s="28"/>
      <c r="C191" s="28"/>
      <c r="D191" s="28"/>
    </row>
    <row r="192" spans="1:4" ht="12.75" customHeight="1" x14ac:dyDescent="0.35">
      <c r="A192" s="28"/>
      <c r="B192" s="28"/>
      <c r="C192" s="28"/>
      <c r="D192" s="28"/>
    </row>
    <row r="193" spans="1:4" ht="12.75" customHeight="1" x14ac:dyDescent="0.35">
      <c r="A193" s="28"/>
      <c r="B193" s="28"/>
      <c r="C193" s="28"/>
      <c r="D193" s="28"/>
    </row>
    <row r="194" spans="1:4" ht="12.75" customHeight="1" x14ac:dyDescent="0.35">
      <c r="A194" s="28"/>
      <c r="B194" s="28"/>
      <c r="C194" s="28"/>
      <c r="D194" s="28"/>
    </row>
    <row r="195" spans="1:4" ht="12.75" customHeight="1" x14ac:dyDescent="0.35">
      <c r="A195" s="28"/>
      <c r="B195" s="28"/>
      <c r="C195" s="28"/>
      <c r="D195" s="28"/>
    </row>
    <row r="196" spans="1:4" ht="12.75" customHeight="1" x14ac:dyDescent="0.35">
      <c r="A196" s="28"/>
      <c r="B196" s="28"/>
      <c r="C196" s="28"/>
      <c r="D196" s="28"/>
    </row>
    <row r="197" spans="1:4" ht="12.75" customHeight="1" x14ac:dyDescent="0.35">
      <c r="A197" s="28"/>
      <c r="B197" s="28"/>
      <c r="C197" s="28"/>
      <c r="D197" s="28"/>
    </row>
    <row r="198" spans="1:4" ht="12.75" customHeight="1" x14ac:dyDescent="0.35">
      <c r="A198" s="28"/>
      <c r="B198" s="28"/>
      <c r="C198" s="28"/>
      <c r="D198" s="28"/>
    </row>
    <row r="199" spans="1:4" ht="12.75" customHeight="1" x14ac:dyDescent="0.35">
      <c r="A199" s="28"/>
      <c r="B199" s="28"/>
      <c r="C199" s="28"/>
      <c r="D199" s="28"/>
    </row>
    <row r="200" spans="1:4" ht="12.75" customHeight="1" x14ac:dyDescent="0.35">
      <c r="A200" s="28"/>
      <c r="B200" s="28"/>
      <c r="C200" s="28"/>
      <c r="D200" s="28"/>
    </row>
    <row r="201" spans="1:4" ht="12.75" customHeight="1" x14ac:dyDescent="0.35">
      <c r="A201" s="28"/>
      <c r="B201" s="28"/>
      <c r="C201" s="28"/>
      <c r="D201" s="28"/>
    </row>
    <row r="202" spans="1:4" ht="12.75" customHeight="1" x14ac:dyDescent="0.35">
      <c r="A202" s="28"/>
      <c r="B202" s="28"/>
      <c r="C202" s="28"/>
      <c r="D202" s="28"/>
    </row>
    <row r="203" spans="1:4" ht="12.75" customHeight="1" x14ac:dyDescent="0.35">
      <c r="A203" s="28"/>
      <c r="B203" s="28"/>
      <c r="C203"/>
      <c r="D203" s="28"/>
    </row>
    <row r="204" spans="1:4" ht="12.75" customHeight="1" x14ac:dyDescent="0.35">
      <c r="A204" s="28"/>
      <c r="B204" s="28"/>
      <c r="C204" s="28"/>
      <c r="D204" s="28"/>
    </row>
    <row r="205" spans="1:4" ht="12.75" customHeight="1" x14ac:dyDescent="0.35">
      <c r="A205" s="28"/>
      <c r="B205" s="28"/>
      <c r="C205" s="28"/>
      <c r="D205"/>
    </row>
    <row r="206" spans="1:4" ht="12.75" customHeight="1" x14ac:dyDescent="0.35">
      <c r="A206" s="28"/>
      <c r="B206" s="28"/>
      <c r="C206" s="28"/>
      <c r="D206"/>
    </row>
    <row r="207" spans="1:4" ht="12.75" customHeight="1" x14ac:dyDescent="0.35">
      <c r="A207" s="28"/>
      <c r="B207" s="28"/>
      <c r="C207" s="28"/>
      <c r="D207"/>
    </row>
    <row r="208" spans="1:4" ht="12.75" customHeight="1" x14ac:dyDescent="0.35">
      <c r="A208"/>
      <c r="B208"/>
      <c r="C208"/>
      <c r="D208"/>
    </row>
    <row r="209" spans="1:4" ht="12.75" customHeight="1" x14ac:dyDescent="0.35">
      <c r="A209"/>
      <c r="B209"/>
      <c r="C209"/>
      <c r="D209"/>
    </row>
    <row r="210" spans="1:4" ht="12.75" customHeight="1" x14ac:dyDescent="0.35">
      <c r="A210"/>
      <c r="B210"/>
      <c r="C210"/>
      <c r="D210"/>
    </row>
    <row r="211" spans="1:4" ht="12.75" customHeight="1" x14ac:dyDescent="0.35">
      <c r="A211"/>
      <c r="B211"/>
      <c r="C211"/>
      <c r="D211"/>
    </row>
    <row r="212" spans="1:4" ht="12.75" customHeight="1" x14ac:dyDescent="0.35">
      <c r="A212"/>
      <c r="B212"/>
      <c r="C212"/>
      <c r="D212"/>
    </row>
    <row r="213" spans="1:4" ht="12.75" customHeight="1" x14ac:dyDescent="0.35">
      <c r="A213"/>
      <c r="B213"/>
      <c r="C213"/>
      <c r="D213"/>
    </row>
    <row r="214" spans="1:4" ht="12.75" customHeight="1" x14ac:dyDescent="0.35">
      <c r="A214"/>
      <c r="B214"/>
      <c r="C214"/>
      <c r="D214"/>
    </row>
    <row r="215" spans="1:4" ht="12.75" customHeight="1" x14ac:dyDescent="0.35">
      <c r="A215"/>
      <c r="B215"/>
      <c r="C215"/>
      <c r="D215"/>
    </row>
    <row r="216" spans="1:4" ht="12.75" customHeight="1" x14ac:dyDescent="0.35">
      <c r="A216"/>
      <c r="B216"/>
      <c r="C216"/>
      <c r="D216"/>
    </row>
    <row r="217" spans="1:4" ht="12.75" customHeight="1" x14ac:dyDescent="0.35">
      <c r="A217"/>
      <c r="B217"/>
      <c r="C217"/>
      <c r="D217"/>
    </row>
    <row r="218" spans="1:4" ht="12.75" customHeight="1" x14ac:dyDescent="0.35">
      <c r="A218"/>
      <c r="B218"/>
      <c r="C218"/>
      <c r="D218"/>
    </row>
    <row r="219" spans="1:4" ht="12.75" customHeight="1" x14ac:dyDescent="0.35">
      <c r="A219"/>
      <c r="B219"/>
      <c r="C219"/>
      <c r="D219"/>
    </row>
    <row r="220" spans="1:4" ht="12.75" customHeight="1" x14ac:dyDescent="0.35">
      <c r="A220"/>
      <c r="B220"/>
      <c r="C220"/>
      <c r="D220"/>
    </row>
    <row r="221" spans="1:4" ht="12.75" customHeight="1" x14ac:dyDescent="0.35">
      <c r="A221"/>
      <c r="B221"/>
      <c r="C221" s="132" t="s">
        <v>5205</v>
      </c>
      <c r="D221"/>
    </row>
    <row r="222" spans="1:4" ht="12.75" customHeight="1" x14ac:dyDescent="0.35">
      <c r="A222"/>
      <c r="B222"/>
      <c r="C222"/>
      <c r="D222"/>
    </row>
    <row r="223" spans="1:4" ht="12.75" customHeight="1" x14ac:dyDescent="0.35">
      <c r="A223"/>
      <c r="B223"/>
      <c r="C223"/>
      <c r="D223" s="28" t="s">
        <v>4327</v>
      </c>
    </row>
    <row r="224" spans="1:4" ht="12.75" customHeight="1" x14ac:dyDescent="0.35">
      <c r="A224"/>
      <c r="B224"/>
      <c r="C224"/>
      <c r="D224" s="28" t="s">
        <v>4328</v>
      </c>
    </row>
    <row r="225" spans="1:4" ht="12.75" customHeight="1" x14ac:dyDescent="0.35">
      <c r="A225"/>
      <c r="B225"/>
      <c r="C225"/>
      <c r="D225" s="28" t="s">
        <v>4329</v>
      </c>
    </row>
  </sheetData>
  <printOptions gridLines="1"/>
  <pageMargins left="0.75" right="0.75" top="1" bottom="1" header="0.51181102300000003" footer="0.51181102300000003"/>
  <pageSetup paperSize="9" orientation="portrait" r:id="rId1"/>
  <headerFooter>
    <oddHeader>&amp;C&amp;A</oddHeader>
    <oddFooter>&amp;CSeite &amp;P</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6">
    <pageSetUpPr autoPageBreaks="0"/>
  </sheetPr>
  <dimension ref="C1:D225"/>
  <sheetViews>
    <sheetView topLeftCell="A197" workbookViewId="0">
      <selection activeCell="C221" sqref="C221"/>
    </sheetView>
  </sheetViews>
  <sheetFormatPr defaultColWidth="9.1796875" defaultRowHeight="14.5" x14ac:dyDescent="0.35"/>
  <cols>
    <col min="1" max="16384" width="9.1796875" style="97"/>
  </cols>
  <sheetData>
    <row r="1" spans="3:4" ht="12.75" customHeight="1" x14ac:dyDescent="0.35"/>
    <row r="2" spans="3:4" ht="12.75" customHeight="1" x14ac:dyDescent="0.35"/>
    <row r="3" spans="3:4" ht="12.75" customHeight="1" x14ac:dyDescent="0.35">
      <c r="C3" s="97" t="s">
        <v>4330</v>
      </c>
    </row>
    <row r="4" spans="3:4" ht="12.75" customHeight="1" x14ac:dyDescent="0.35"/>
    <row r="5" spans="3:4" ht="12.75" customHeight="1" x14ac:dyDescent="0.35">
      <c r="D5" s="97" t="s">
        <v>4331</v>
      </c>
    </row>
    <row r="6" spans="3:4" ht="12.75" customHeight="1" x14ac:dyDescent="0.35">
      <c r="D6" s="97" t="s">
        <v>4332</v>
      </c>
    </row>
    <row r="7" spans="3:4" ht="12.75" customHeight="1" x14ac:dyDescent="0.35">
      <c r="D7" s="101" t="s">
        <v>4333</v>
      </c>
    </row>
    <row r="8" spans="3:4" ht="12.75" customHeight="1" x14ac:dyDescent="0.35"/>
    <row r="9" spans="3:4" ht="12.75" customHeight="1" x14ac:dyDescent="0.35"/>
    <row r="10" spans="3:4" ht="12.75" customHeight="1" x14ac:dyDescent="0.35"/>
    <row r="11" spans="3:4" ht="12.75" customHeight="1" x14ac:dyDescent="0.35"/>
    <row r="12" spans="3:4" ht="12.75" customHeight="1" x14ac:dyDescent="0.35"/>
    <row r="13" spans="3:4" ht="12.75" customHeight="1" x14ac:dyDescent="0.35"/>
    <row r="14" spans="3:4" ht="12.75" customHeight="1" x14ac:dyDescent="0.35"/>
    <row r="15" spans="3:4" ht="12.75" customHeight="1" x14ac:dyDescent="0.35"/>
    <row r="16" spans="3:4" ht="12.75" customHeight="1" x14ac:dyDescent="0.35"/>
    <row r="17" ht="12.75" customHeight="1" x14ac:dyDescent="0.35"/>
    <row r="18" ht="12.75" customHeight="1" x14ac:dyDescent="0.35"/>
    <row r="19" ht="12.75" customHeight="1" x14ac:dyDescent="0.35"/>
    <row r="20" ht="12.75" customHeight="1" x14ac:dyDescent="0.35"/>
    <row r="21" ht="12.75" customHeight="1" x14ac:dyDescent="0.35"/>
    <row r="22" ht="12.75" customHeight="1" x14ac:dyDescent="0.35"/>
    <row r="23" ht="12.75" customHeight="1" x14ac:dyDescent="0.35"/>
    <row r="24" ht="12.75" customHeight="1" x14ac:dyDescent="0.35"/>
    <row r="25" ht="12.75" customHeight="1" x14ac:dyDescent="0.35"/>
    <row r="26" ht="12.75" customHeight="1" x14ac:dyDescent="0.35"/>
    <row r="27" ht="12.75" customHeight="1" x14ac:dyDescent="0.35"/>
    <row r="28" ht="12.75" customHeight="1" x14ac:dyDescent="0.35"/>
    <row r="29" ht="12.75" customHeight="1" x14ac:dyDescent="0.35"/>
    <row r="30" ht="12.75" customHeight="1" x14ac:dyDescent="0.35"/>
    <row r="31" ht="12.75" customHeight="1" x14ac:dyDescent="0.35"/>
    <row r="32" ht="12.75" customHeight="1" x14ac:dyDescent="0.35"/>
    <row r="33" spans="3:4" ht="12.75" customHeight="1" x14ac:dyDescent="0.35"/>
    <row r="34" spans="3:4" ht="12.75" customHeight="1" x14ac:dyDescent="0.35"/>
    <row r="35" spans="3:4" ht="12.75" customHeight="1" x14ac:dyDescent="0.35"/>
    <row r="36" spans="3:4" ht="12.75" customHeight="1" x14ac:dyDescent="0.35"/>
    <row r="37" spans="3:4" ht="12.75" customHeight="1" x14ac:dyDescent="0.35"/>
    <row r="38" spans="3:4" ht="12.75" customHeight="1" x14ac:dyDescent="0.35"/>
    <row r="39" spans="3:4" ht="12.75" customHeight="1" x14ac:dyDescent="0.35"/>
    <row r="40" spans="3:4" ht="12.75" customHeight="1" x14ac:dyDescent="0.35"/>
    <row r="41" spans="3:4" ht="12.75" customHeight="1" x14ac:dyDescent="0.35"/>
    <row r="42" spans="3:4" ht="12.75" customHeight="1" x14ac:dyDescent="0.35"/>
    <row r="43" spans="3:4" ht="12.75" customHeight="1" x14ac:dyDescent="0.35"/>
    <row r="44" spans="3:4" ht="12.75" customHeight="1" x14ac:dyDescent="0.35">
      <c r="C44" s="97" t="s">
        <v>4334</v>
      </c>
    </row>
    <row r="45" spans="3:4" ht="12.75" customHeight="1" x14ac:dyDescent="0.35"/>
    <row r="46" spans="3:4" ht="12.75" customHeight="1" x14ac:dyDescent="0.35">
      <c r="D46" s="97" t="str">
        <f>" Inwestycje ogółem, "&amp;IF(Figures&gt;1,Figures&amp;" ","")&amp;Currency</f>
        <v xml:space="preserve"> Inwestycje ogółem, Euro</v>
      </c>
    </row>
    <row r="47" spans="3:4" ht="12.75" customHeight="1" x14ac:dyDescent="0.35"/>
    <row r="48" spans="3:4" ht="12.75" customHeight="1" x14ac:dyDescent="0.35"/>
    <row r="49" ht="12.75" customHeight="1" x14ac:dyDescent="0.35"/>
    <row r="50" ht="12.75" customHeight="1" x14ac:dyDescent="0.35"/>
    <row r="51" ht="12.75" customHeight="1" x14ac:dyDescent="0.35"/>
    <row r="52" ht="12.75" customHeight="1" x14ac:dyDescent="0.35"/>
    <row r="53" ht="12.75" customHeight="1" x14ac:dyDescent="0.35"/>
    <row r="54" ht="12.75" customHeight="1" x14ac:dyDescent="0.35"/>
    <row r="55" ht="12.75" customHeight="1" x14ac:dyDescent="0.35"/>
    <row r="56" ht="12.75" customHeight="1" x14ac:dyDescent="0.35"/>
    <row r="57" ht="12.75" customHeight="1" x14ac:dyDescent="0.35"/>
    <row r="58" ht="12.75" customHeight="1" x14ac:dyDescent="0.35"/>
    <row r="59" ht="12.75" customHeight="1" x14ac:dyDescent="0.35"/>
    <row r="60" ht="12.75" customHeight="1" x14ac:dyDescent="0.35"/>
    <row r="61" ht="12.75" customHeight="1" x14ac:dyDescent="0.35"/>
    <row r="62" ht="12.75" customHeight="1" x14ac:dyDescent="0.35"/>
    <row r="63" ht="12.75" customHeight="1" x14ac:dyDescent="0.35"/>
    <row r="64" ht="12.75" customHeight="1" x14ac:dyDescent="0.35"/>
    <row r="65" spans="4:4" ht="12.75" customHeight="1" x14ac:dyDescent="0.35"/>
    <row r="66" spans="4:4" ht="12.75" customHeight="1" x14ac:dyDescent="0.35"/>
    <row r="67" spans="4:4" ht="12.75" customHeight="1" x14ac:dyDescent="0.35"/>
    <row r="68" spans="4:4" ht="12.75" customHeight="1" x14ac:dyDescent="0.35"/>
    <row r="69" spans="4:4" ht="12.75" customHeight="1" x14ac:dyDescent="0.35"/>
    <row r="70" spans="4:4" ht="12.75" customHeight="1" x14ac:dyDescent="0.35"/>
    <row r="71" spans="4:4" ht="12.75" customHeight="1" x14ac:dyDescent="0.35"/>
    <row r="72" spans="4:4" ht="12.75" customHeight="1" x14ac:dyDescent="0.35"/>
    <row r="73" spans="4:4" ht="12.75" customHeight="1" x14ac:dyDescent="0.35"/>
    <row r="74" spans="4:4" ht="12.75" customHeight="1" x14ac:dyDescent="0.35"/>
    <row r="75" spans="4:4" ht="12.75" customHeight="1" x14ac:dyDescent="0.35"/>
    <row r="76" spans="4:4" ht="12.75" customHeight="1" x14ac:dyDescent="0.35"/>
    <row r="77" spans="4:4" ht="12.75" customHeight="1" x14ac:dyDescent="0.35"/>
    <row r="78" spans="4:4" ht="12.75" customHeight="1" x14ac:dyDescent="0.35">
      <c r="D78" s="97" t="s">
        <v>4335</v>
      </c>
    </row>
    <row r="79" spans="4:4" ht="12.75" customHeight="1" x14ac:dyDescent="0.35"/>
    <row r="80" spans="4:4" ht="12.75" customHeight="1" x14ac:dyDescent="0.35"/>
    <row r="81" spans="3:4" ht="12.75" customHeight="1" x14ac:dyDescent="0.35"/>
    <row r="82" spans="3:4" ht="12.75" customHeight="1" x14ac:dyDescent="0.35"/>
    <row r="83" spans="3:4" ht="12.75" customHeight="1" x14ac:dyDescent="0.35"/>
    <row r="84" spans="3:4" ht="12.75" customHeight="1" x14ac:dyDescent="0.35"/>
    <row r="85" spans="3:4" ht="12.75" customHeight="1" x14ac:dyDescent="0.35"/>
    <row r="86" spans="3:4" ht="12.75" customHeight="1" x14ac:dyDescent="0.35"/>
    <row r="87" spans="3:4" ht="12.75" customHeight="1" x14ac:dyDescent="0.35"/>
    <row r="88" spans="3:4" ht="12.75" customHeight="1" x14ac:dyDescent="0.35"/>
    <row r="89" spans="3:4" ht="12.75" customHeight="1" x14ac:dyDescent="0.35">
      <c r="C89" s="97" t="s">
        <v>4336</v>
      </c>
    </row>
    <row r="90" spans="3:4" ht="12.75" customHeight="1" x14ac:dyDescent="0.35"/>
    <row r="91" spans="3:4" ht="12.75" customHeight="1" x14ac:dyDescent="0.35">
      <c r="D91" s="97" t="s">
        <v>4337</v>
      </c>
    </row>
    <row r="92" spans="3:4" ht="12.75" customHeight="1" x14ac:dyDescent="0.35"/>
    <row r="93" spans="3:4" ht="12.75" customHeight="1" x14ac:dyDescent="0.35"/>
    <row r="94" spans="3:4" ht="12.75" customHeight="1" x14ac:dyDescent="0.35"/>
    <row r="95" spans="3:4" ht="12.75" customHeight="1" x14ac:dyDescent="0.35"/>
    <row r="96" spans="3:4" ht="12.75" customHeight="1" x14ac:dyDescent="0.35"/>
    <row r="97" ht="12.75" customHeight="1" x14ac:dyDescent="0.35"/>
    <row r="98" ht="12.75" customHeight="1" x14ac:dyDescent="0.35"/>
    <row r="99" ht="12.75" customHeight="1" x14ac:dyDescent="0.35"/>
    <row r="100" ht="12.75" customHeight="1" x14ac:dyDescent="0.35"/>
    <row r="101" ht="12.75" customHeight="1" x14ac:dyDescent="0.35"/>
    <row r="102" ht="12.75" customHeight="1" x14ac:dyDescent="0.35"/>
    <row r="103" ht="12.75" customHeight="1" x14ac:dyDescent="0.35"/>
    <row r="104" ht="12.75" customHeight="1" x14ac:dyDescent="0.35"/>
    <row r="105" ht="12.75" customHeight="1" x14ac:dyDescent="0.35"/>
    <row r="106" ht="12.75" customHeight="1" x14ac:dyDescent="0.35"/>
    <row r="107" ht="12.75" customHeight="1" x14ac:dyDescent="0.35"/>
    <row r="108" ht="12.75" customHeight="1" x14ac:dyDescent="0.35"/>
    <row r="109" ht="12.75" customHeight="1" x14ac:dyDescent="0.35"/>
    <row r="110" ht="12.75" customHeight="1" x14ac:dyDescent="0.35"/>
    <row r="111" ht="12.75" customHeight="1" x14ac:dyDescent="0.35"/>
    <row r="112" ht="12.75" customHeight="1" x14ac:dyDescent="0.35"/>
    <row r="113" ht="12.75" customHeight="1" x14ac:dyDescent="0.35"/>
    <row r="114" ht="12.75" customHeight="1" x14ac:dyDescent="0.35"/>
    <row r="115" ht="12.75" customHeight="1" x14ac:dyDescent="0.35"/>
    <row r="116" ht="12.75" customHeight="1" x14ac:dyDescent="0.35"/>
    <row r="117" ht="12.75" customHeight="1" x14ac:dyDescent="0.35"/>
    <row r="118" ht="12.75" customHeight="1" x14ac:dyDescent="0.35"/>
    <row r="119" ht="12.75" customHeight="1" x14ac:dyDescent="0.35"/>
    <row r="120" ht="12.75" customHeight="1" x14ac:dyDescent="0.35"/>
    <row r="121" ht="12.75" customHeight="1" x14ac:dyDescent="0.35"/>
    <row r="122" ht="12.75" customHeight="1" x14ac:dyDescent="0.35"/>
    <row r="123" ht="12.75" customHeight="1" x14ac:dyDescent="0.35"/>
    <row r="124" ht="12.75" customHeight="1" x14ac:dyDescent="0.35"/>
    <row r="125" ht="12.75" customHeight="1" x14ac:dyDescent="0.35"/>
    <row r="126" ht="12.75" customHeight="1" x14ac:dyDescent="0.35"/>
    <row r="127" ht="12.75" customHeight="1" x14ac:dyDescent="0.35"/>
    <row r="128" ht="12.75" customHeight="1" x14ac:dyDescent="0.35"/>
    <row r="129" spans="3:4" ht="12.75" customHeight="1" x14ac:dyDescent="0.35"/>
    <row r="130" spans="3:4" ht="12.75" customHeight="1" x14ac:dyDescent="0.35"/>
    <row r="131" spans="3:4" ht="12.75" customHeight="1" x14ac:dyDescent="0.35"/>
    <row r="132" spans="3:4" ht="12.75" customHeight="1" x14ac:dyDescent="0.35"/>
    <row r="133" spans="3:4" ht="12.75" customHeight="1" x14ac:dyDescent="0.35">
      <c r="C133" s="97" t="s">
        <v>4338</v>
      </c>
    </row>
    <row r="134" spans="3:4" ht="12.75" customHeight="1" x14ac:dyDescent="0.35"/>
    <row r="135" spans="3:4" ht="12.75" customHeight="1" x14ac:dyDescent="0.35">
      <c r="D135" s="97" t="s">
        <v>4339</v>
      </c>
    </row>
    <row r="136" spans="3:4" ht="12.75" customHeight="1" x14ac:dyDescent="0.35"/>
    <row r="137" spans="3:4" ht="12.75" customHeight="1" x14ac:dyDescent="0.35"/>
    <row r="138" spans="3:4" ht="12.75" customHeight="1" x14ac:dyDescent="0.35"/>
    <row r="139" spans="3:4" ht="12.75" customHeight="1" x14ac:dyDescent="0.35"/>
    <row r="140" spans="3:4" ht="12.75" customHeight="1" x14ac:dyDescent="0.35"/>
    <row r="141" spans="3:4" ht="12.75" customHeight="1" x14ac:dyDescent="0.35"/>
    <row r="142" spans="3:4" ht="12.75" customHeight="1" x14ac:dyDescent="0.35"/>
    <row r="143" spans="3:4" ht="12.75" customHeight="1" x14ac:dyDescent="0.35"/>
    <row r="144" spans="3:4" ht="12.75" customHeight="1" x14ac:dyDescent="0.35"/>
    <row r="145" ht="12.75" customHeight="1" x14ac:dyDescent="0.35"/>
    <row r="146" ht="12.75" customHeight="1" x14ac:dyDescent="0.35"/>
    <row r="147" ht="12.75" customHeight="1" x14ac:dyDescent="0.35"/>
    <row r="148" ht="12.75" customHeight="1" x14ac:dyDescent="0.35"/>
    <row r="149" ht="12.75" customHeight="1" x14ac:dyDescent="0.35"/>
    <row r="150" ht="12.75" customHeight="1" x14ac:dyDescent="0.35"/>
    <row r="151" ht="12.75" customHeight="1" x14ac:dyDescent="0.35"/>
    <row r="152" ht="12.75" customHeight="1" x14ac:dyDescent="0.35"/>
    <row r="153" ht="12.75" customHeight="1" x14ac:dyDescent="0.35"/>
    <row r="154" ht="12.75" customHeight="1" x14ac:dyDescent="0.35"/>
    <row r="155" ht="12.75" customHeight="1" x14ac:dyDescent="0.35"/>
    <row r="156" ht="12.75" customHeight="1" x14ac:dyDescent="0.35"/>
    <row r="157" ht="12.75" customHeight="1" x14ac:dyDescent="0.35"/>
    <row r="158" ht="12.75" customHeight="1" x14ac:dyDescent="0.35"/>
    <row r="159" ht="12.75" customHeight="1" x14ac:dyDescent="0.35"/>
    <row r="160" ht="12.75" customHeight="1" x14ac:dyDescent="0.35"/>
    <row r="161" ht="12.75" customHeight="1" x14ac:dyDescent="0.35"/>
    <row r="162" ht="12.75" customHeight="1" x14ac:dyDescent="0.35"/>
    <row r="163" ht="12.75" customHeight="1" x14ac:dyDescent="0.35"/>
    <row r="164" ht="12.75" customHeight="1" x14ac:dyDescent="0.35"/>
    <row r="165" ht="12.75" customHeight="1" x14ac:dyDescent="0.35"/>
    <row r="166" ht="12.75" customHeight="1" x14ac:dyDescent="0.35"/>
    <row r="167" ht="12.75" customHeight="1" x14ac:dyDescent="0.35"/>
    <row r="168" ht="12.75" customHeight="1" x14ac:dyDescent="0.35"/>
    <row r="169" ht="12.75" customHeight="1" x14ac:dyDescent="0.35"/>
    <row r="170" ht="12.75" customHeight="1" x14ac:dyDescent="0.35"/>
    <row r="171" ht="12.75" customHeight="1" x14ac:dyDescent="0.35"/>
    <row r="172" ht="12.75" customHeight="1" x14ac:dyDescent="0.35"/>
    <row r="173" ht="12.75" customHeight="1" x14ac:dyDescent="0.35"/>
    <row r="174" ht="12.75" customHeight="1" x14ac:dyDescent="0.35"/>
    <row r="175" ht="12.75" customHeight="1" x14ac:dyDescent="0.35"/>
    <row r="176" ht="12.75" customHeight="1" x14ac:dyDescent="0.35"/>
    <row r="177" spans="3:4" ht="12.75" customHeight="1" x14ac:dyDescent="0.35">
      <c r="C177" s="97" t="s">
        <v>4340</v>
      </c>
    </row>
    <row r="178" spans="3:4" ht="12.75" customHeight="1" x14ac:dyDescent="0.35"/>
    <row r="179" spans="3:4" ht="12.75" customHeight="1" x14ac:dyDescent="0.35">
      <c r="D179" s="97" t="s">
        <v>4341</v>
      </c>
    </row>
    <row r="180" spans="3:4" ht="12.75" customHeight="1" x14ac:dyDescent="0.35"/>
    <row r="181" spans="3:4" ht="12.75" customHeight="1" x14ac:dyDescent="0.35"/>
    <row r="182" spans="3:4" ht="12.75" customHeight="1" x14ac:dyDescent="0.35"/>
    <row r="183" spans="3:4" ht="12.75" customHeight="1" x14ac:dyDescent="0.35"/>
    <row r="184" spans="3:4" ht="12.75" customHeight="1" x14ac:dyDescent="0.35"/>
    <row r="185" spans="3:4" ht="12.75" customHeight="1" x14ac:dyDescent="0.35"/>
    <row r="186" spans="3:4" ht="12.75" customHeight="1" x14ac:dyDescent="0.35"/>
    <row r="187" spans="3:4" ht="12.75" customHeight="1" x14ac:dyDescent="0.35"/>
    <row r="188" spans="3:4" ht="12.75" customHeight="1" x14ac:dyDescent="0.35"/>
    <row r="189" spans="3:4" ht="12.75" customHeight="1" x14ac:dyDescent="0.35"/>
    <row r="190" spans="3:4" ht="12.75" customHeight="1" x14ac:dyDescent="0.35"/>
    <row r="191" spans="3:4" ht="12.75" customHeight="1" x14ac:dyDescent="0.35"/>
    <row r="192" spans="3:4" ht="12.75" customHeight="1" x14ac:dyDescent="0.35"/>
    <row r="193" ht="12.75" customHeight="1" x14ac:dyDescent="0.35"/>
    <row r="194" ht="12.75" customHeight="1" x14ac:dyDescent="0.35"/>
    <row r="195" ht="12.75" customHeight="1" x14ac:dyDescent="0.35"/>
    <row r="196" ht="12.75" customHeight="1" x14ac:dyDescent="0.35"/>
    <row r="197" ht="12.75" customHeight="1" x14ac:dyDescent="0.35"/>
    <row r="198" ht="12.75" customHeight="1" x14ac:dyDescent="0.35"/>
    <row r="199" ht="12.75" customHeight="1" x14ac:dyDescent="0.35"/>
    <row r="200" ht="12.75" customHeight="1" x14ac:dyDescent="0.35"/>
    <row r="201" ht="12.75" customHeight="1" x14ac:dyDescent="0.35"/>
    <row r="202" ht="12.75" customHeight="1" x14ac:dyDescent="0.35"/>
    <row r="203" ht="12.75" customHeight="1" x14ac:dyDescent="0.35"/>
    <row r="204" ht="12.75" customHeight="1" x14ac:dyDescent="0.35"/>
    <row r="205" ht="12.75" customHeight="1" x14ac:dyDescent="0.35"/>
    <row r="206" ht="12.75" customHeight="1" x14ac:dyDescent="0.35"/>
    <row r="207" ht="12.75" customHeight="1" x14ac:dyDescent="0.35"/>
    <row r="208" ht="12.75" customHeight="1" x14ac:dyDescent="0.35"/>
    <row r="209" spans="3:4" ht="12.75" customHeight="1" x14ac:dyDescent="0.35"/>
    <row r="210" spans="3:4" ht="12.75" customHeight="1" x14ac:dyDescent="0.35"/>
    <row r="211" spans="3:4" ht="12.75" customHeight="1" x14ac:dyDescent="0.35"/>
    <row r="212" spans="3:4" ht="12.75" customHeight="1" x14ac:dyDescent="0.35"/>
    <row r="213" spans="3:4" ht="12.75" customHeight="1" x14ac:dyDescent="0.35"/>
    <row r="214" spans="3:4" ht="12.75" customHeight="1" x14ac:dyDescent="0.35"/>
    <row r="215" spans="3:4" ht="12.75" customHeight="1" x14ac:dyDescent="0.35"/>
    <row r="216" spans="3:4" ht="12.75" customHeight="1" x14ac:dyDescent="0.35"/>
    <row r="217" spans="3:4" ht="12.75" customHeight="1" x14ac:dyDescent="0.35"/>
    <row r="218" spans="3:4" ht="12.75" customHeight="1" x14ac:dyDescent="0.35"/>
    <row r="219" spans="3:4" ht="12.75" customHeight="1" x14ac:dyDescent="0.35"/>
    <row r="220" spans="3:4" ht="12.75" customHeight="1" x14ac:dyDescent="0.35"/>
    <row r="221" spans="3:4" ht="12.75" customHeight="1" x14ac:dyDescent="0.35">
      <c r="C221" s="97" t="s">
        <v>5206</v>
      </c>
    </row>
    <row r="222" spans="3:4" ht="12.75" customHeight="1" x14ac:dyDescent="0.35"/>
    <row r="223" spans="3:4" ht="12.75" customHeight="1" x14ac:dyDescent="0.35">
      <c r="D223" s="97" t="s">
        <v>4342</v>
      </c>
    </row>
    <row r="224" spans="3:4" x14ac:dyDescent="0.35">
      <c r="D224" s="97" t="s">
        <v>4343</v>
      </c>
    </row>
    <row r="225" spans="4:4" x14ac:dyDescent="0.35">
      <c r="D225" s="97" t="s">
        <v>4344</v>
      </c>
    </row>
  </sheetData>
  <printOptions gridLines="1"/>
  <pageMargins left="0.75" right="0.75" top="1" bottom="1" header="0.5" footer="0.5"/>
  <pageSetup paperSize="9" orientation="portrait" r:id="rId1"/>
  <headerFooter>
    <oddHeader>&amp;C&amp;A</oddHeader>
    <oddFooter>&amp;CPage &amp;P</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7">
    <pageSetUpPr autoPageBreaks="0"/>
  </sheetPr>
  <dimension ref="C1:D225"/>
  <sheetViews>
    <sheetView topLeftCell="A194" workbookViewId="0">
      <selection activeCell="C221" sqref="C221"/>
    </sheetView>
  </sheetViews>
  <sheetFormatPr defaultColWidth="9.1796875" defaultRowHeight="14.5" x14ac:dyDescent="0.35"/>
  <cols>
    <col min="1" max="16384" width="9.1796875" style="97"/>
  </cols>
  <sheetData>
    <row r="1" spans="3:4" ht="12.75" customHeight="1" x14ac:dyDescent="0.35"/>
    <row r="2" spans="3:4" ht="12.75" customHeight="1" x14ac:dyDescent="0.35"/>
    <row r="3" spans="3:4" ht="12.75" customHeight="1" x14ac:dyDescent="0.35">
      <c r="C3" s="97" t="s">
        <v>4345</v>
      </c>
    </row>
    <row r="4" spans="3:4" ht="12.75" customHeight="1" x14ac:dyDescent="0.35"/>
    <row r="5" spans="3:4" ht="12.75" customHeight="1" x14ac:dyDescent="0.35">
      <c r="D5" s="97" t="s">
        <v>4346</v>
      </c>
    </row>
    <row r="6" spans="3:4" ht="12.75" customHeight="1" x14ac:dyDescent="0.35">
      <c r="D6" s="97" t="s">
        <v>4347</v>
      </c>
    </row>
    <row r="7" spans="3:4" ht="12.75" customHeight="1" x14ac:dyDescent="0.35">
      <c r="D7" s="101" t="s">
        <v>4348</v>
      </c>
    </row>
    <row r="8" spans="3:4" ht="12.75" customHeight="1" x14ac:dyDescent="0.35"/>
    <row r="9" spans="3:4" ht="12.75" customHeight="1" x14ac:dyDescent="0.35"/>
    <row r="10" spans="3:4" ht="12.75" customHeight="1" x14ac:dyDescent="0.35"/>
    <row r="11" spans="3:4" ht="12.75" customHeight="1" x14ac:dyDescent="0.35"/>
    <row r="12" spans="3:4" ht="12.75" customHeight="1" x14ac:dyDescent="0.35"/>
    <row r="13" spans="3:4" ht="12.75" customHeight="1" x14ac:dyDescent="0.35"/>
    <row r="14" spans="3:4" ht="12.75" customHeight="1" x14ac:dyDescent="0.35"/>
    <row r="15" spans="3:4" ht="12.75" customHeight="1" x14ac:dyDescent="0.35"/>
    <row r="16" spans="3:4" ht="12.75" customHeight="1" x14ac:dyDescent="0.35"/>
    <row r="17" ht="12.75" customHeight="1" x14ac:dyDescent="0.35"/>
    <row r="18" ht="12.75" customHeight="1" x14ac:dyDescent="0.35"/>
    <row r="19" ht="12.75" customHeight="1" x14ac:dyDescent="0.35"/>
    <row r="20" ht="12.75" customHeight="1" x14ac:dyDescent="0.35"/>
    <row r="21" ht="12.75" customHeight="1" x14ac:dyDescent="0.35"/>
    <row r="22" ht="12.75" customHeight="1" x14ac:dyDescent="0.35"/>
    <row r="23" ht="12.75" customHeight="1" x14ac:dyDescent="0.35"/>
    <row r="24" ht="12.75" customHeight="1" x14ac:dyDescent="0.35"/>
    <row r="25" ht="12.75" customHeight="1" x14ac:dyDescent="0.35"/>
    <row r="26" ht="12.75" customHeight="1" x14ac:dyDescent="0.35"/>
    <row r="27" ht="12.75" customHeight="1" x14ac:dyDescent="0.35"/>
    <row r="28" ht="12.75" customHeight="1" x14ac:dyDescent="0.35"/>
    <row r="29" ht="12.75" customHeight="1" x14ac:dyDescent="0.35"/>
    <row r="30" ht="12.75" customHeight="1" x14ac:dyDescent="0.35"/>
    <row r="31" ht="12.75" customHeight="1" x14ac:dyDescent="0.35"/>
    <row r="32" ht="12.75" customHeight="1" x14ac:dyDescent="0.35"/>
    <row r="33" spans="3:4" ht="12.75" customHeight="1" x14ac:dyDescent="0.35"/>
    <row r="34" spans="3:4" ht="12.75" customHeight="1" x14ac:dyDescent="0.35"/>
    <row r="35" spans="3:4" ht="12.75" customHeight="1" x14ac:dyDescent="0.35"/>
    <row r="36" spans="3:4" ht="12.75" customHeight="1" x14ac:dyDescent="0.35"/>
    <row r="37" spans="3:4" ht="12.75" customHeight="1" x14ac:dyDescent="0.35"/>
    <row r="38" spans="3:4" ht="12.75" customHeight="1" x14ac:dyDescent="0.35"/>
    <row r="39" spans="3:4" ht="12.75" customHeight="1" x14ac:dyDescent="0.35"/>
    <row r="40" spans="3:4" ht="12.75" customHeight="1" x14ac:dyDescent="0.35"/>
    <row r="41" spans="3:4" ht="12.75" customHeight="1" x14ac:dyDescent="0.35"/>
    <row r="42" spans="3:4" ht="12.75" customHeight="1" x14ac:dyDescent="0.35"/>
    <row r="43" spans="3:4" ht="12.75" customHeight="1" x14ac:dyDescent="0.35"/>
    <row r="44" spans="3:4" ht="12.75" customHeight="1" x14ac:dyDescent="0.35">
      <c r="C44" s="97" t="s">
        <v>4349</v>
      </c>
    </row>
    <row r="45" spans="3:4" ht="12.75" customHeight="1" x14ac:dyDescent="0.35"/>
    <row r="46" spans="3:4" ht="12.75" customHeight="1" x14ac:dyDescent="0.35">
      <c r="D46" s="97" t="str">
        <f>" Inversión total, "&amp;IF(Figures&gt;1,Figures&amp;" ","")&amp;Currency</f>
        <v xml:space="preserve"> Inversión total, Euro</v>
      </c>
    </row>
    <row r="47" spans="3:4" ht="12.75" customHeight="1" x14ac:dyDescent="0.35"/>
    <row r="48" spans="3:4" ht="12.75" customHeight="1" x14ac:dyDescent="0.35"/>
    <row r="49" ht="12.75" customHeight="1" x14ac:dyDescent="0.35"/>
    <row r="50" ht="12.75" customHeight="1" x14ac:dyDescent="0.35"/>
    <row r="51" ht="12.75" customHeight="1" x14ac:dyDescent="0.35"/>
    <row r="52" ht="12.75" customHeight="1" x14ac:dyDescent="0.35"/>
    <row r="53" ht="12.75" customHeight="1" x14ac:dyDescent="0.35"/>
    <row r="54" ht="12.75" customHeight="1" x14ac:dyDescent="0.35"/>
    <row r="55" ht="12.75" customHeight="1" x14ac:dyDescent="0.35"/>
    <row r="56" ht="12.75" customHeight="1" x14ac:dyDescent="0.35"/>
    <row r="57" ht="12.75" customHeight="1" x14ac:dyDescent="0.35"/>
    <row r="58" ht="12.75" customHeight="1" x14ac:dyDescent="0.35"/>
    <row r="59" ht="12.75" customHeight="1" x14ac:dyDescent="0.35"/>
    <row r="60" ht="12.75" customHeight="1" x14ac:dyDescent="0.35"/>
    <row r="61" ht="12.75" customHeight="1" x14ac:dyDescent="0.35"/>
    <row r="62" ht="12.75" customHeight="1" x14ac:dyDescent="0.35"/>
    <row r="63" ht="12.75" customHeight="1" x14ac:dyDescent="0.35"/>
    <row r="64" ht="12.75" customHeight="1" x14ac:dyDescent="0.35"/>
    <row r="65" spans="4:4" ht="12.75" customHeight="1" x14ac:dyDescent="0.35"/>
    <row r="66" spans="4:4" ht="12.75" customHeight="1" x14ac:dyDescent="0.35"/>
    <row r="67" spans="4:4" ht="12.75" customHeight="1" x14ac:dyDescent="0.35"/>
    <row r="68" spans="4:4" ht="12.75" customHeight="1" x14ac:dyDescent="0.35"/>
    <row r="69" spans="4:4" ht="12.75" customHeight="1" x14ac:dyDescent="0.35"/>
    <row r="70" spans="4:4" ht="12.75" customHeight="1" x14ac:dyDescent="0.35"/>
    <row r="71" spans="4:4" ht="12.75" customHeight="1" x14ac:dyDescent="0.35"/>
    <row r="72" spans="4:4" ht="12.75" customHeight="1" x14ac:dyDescent="0.35"/>
    <row r="73" spans="4:4" ht="12.75" customHeight="1" x14ac:dyDescent="0.35"/>
    <row r="74" spans="4:4" ht="12.75" customHeight="1" x14ac:dyDescent="0.35"/>
    <row r="75" spans="4:4" ht="12.75" customHeight="1" x14ac:dyDescent="0.35"/>
    <row r="76" spans="4:4" ht="12.75" customHeight="1" x14ac:dyDescent="0.35"/>
    <row r="77" spans="4:4" ht="12.75" customHeight="1" x14ac:dyDescent="0.35"/>
    <row r="78" spans="4:4" ht="12.75" customHeight="1" x14ac:dyDescent="0.35">
      <c r="D78" s="97" t="s">
        <v>4350</v>
      </c>
    </row>
    <row r="79" spans="4:4" ht="12.75" customHeight="1" x14ac:dyDescent="0.35"/>
    <row r="80" spans="4:4" ht="12.75" customHeight="1" x14ac:dyDescent="0.35"/>
    <row r="81" spans="3:4" ht="12.75" customHeight="1" x14ac:dyDescent="0.35"/>
    <row r="82" spans="3:4" ht="12.75" customHeight="1" x14ac:dyDescent="0.35"/>
    <row r="83" spans="3:4" ht="12.75" customHeight="1" x14ac:dyDescent="0.35"/>
    <row r="84" spans="3:4" ht="12.75" customHeight="1" x14ac:dyDescent="0.35"/>
    <row r="85" spans="3:4" ht="12.75" customHeight="1" x14ac:dyDescent="0.35"/>
    <row r="86" spans="3:4" ht="12.75" customHeight="1" x14ac:dyDescent="0.35"/>
    <row r="87" spans="3:4" ht="12.75" customHeight="1" x14ac:dyDescent="0.35"/>
    <row r="88" spans="3:4" ht="12.75" customHeight="1" x14ac:dyDescent="0.35"/>
    <row r="89" spans="3:4" ht="12.75" customHeight="1" x14ac:dyDescent="0.35">
      <c r="C89" s="97" t="s">
        <v>4351</v>
      </c>
    </row>
    <row r="90" spans="3:4" ht="12.75" customHeight="1" x14ac:dyDescent="0.35"/>
    <row r="91" spans="3:4" ht="12.75" customHeight="1" x14ac:dyDescent="0.35">
      <c r="D91" s="97" t="s">
        <v>4352</v>
      </c>
    </row>
    <row r="92" spans="3:4" ht="12.75" customHeight="1" x14ac:dyDescent="0.35"/>
    <row r="93" spans="3:4" ht="12.75" customHeight="1" x14ac:dyDescent="0.35"/>
    <row r="94" spans="3:4" ht="12.75" customHeight="1" x14ac:dyDescent="0.35"/>
    <row r="95" spans="3:4" ht="12.75" customHeight="1" x14ac:dyDescent="0.35"/>
    <row r="96" spans="3:4" ht="12.75" customHeight="1" x14ac:dyDescent="0.35"/>
    <row r="97" ht="12.75" customHeight="1" x14ac:dyDescent="0.35"/>
    <row r="98" ht="12.75" customHeight="1" x14ac:dyDescent="0.35"/>
    <row r="99" ht="12.75" customHeight="1" x14ac:dyDescent="0.35"/>
    <row r="100" ht="12.75" customHeight="1" x14ac:dyDescent="0.35"/>
    <row r="101" ht="12.75" customHeight="1" x14ac:dyDescent="0.35"/>
    <row r="102" ht="12.75" customHeight="1" x14ac:dyDescent="0.35"/>
    <row r="103" ht="12.75" customHeight="1" x14ac:dyDescent="0.35"/>
    <row r="104" ht="12.75" customHeight="1" x14ac:dyDescent="0.35"/>
    <row r="105" ht="12.75" customHeight="1" x14ac:dyDescent="0.35"/>
    <row r="106" ht="12.75" customHeight="1" x14ac:dyDescent="0.35"/>
    <row r="107" ht="12.75" customHeight="1" x14ac:dyDescent="0.35"/>
    <row r="108" ht="12.75" customHeight="1" x14ac:dyDescent="0.35"/>
    <row r="109" ht="12.75" customHeight="1" x14ac:dyDescent="0.35"/>
    <row r="110" ht="12.75" customHeight="1" x14ac:dyDescent="0.35"/>
    <row r="111" ht="12.75" customHeight="1" x14ac:dyDescent="0.35"/>
    <row r="112" ht="12.75" customHeight="1" x14ac:dyDescent="0.35"/>
    <row r="113" ht="12.75" customHeight="1" x14ac:dyDescent="0.35"/>
    <row r="114" ht="12.75" customHeight="1" x14ac:dyDescent="0.35"/>
    <row r="115" ht="12.75" customHeight="1" x14ac:dyDescent="0.35"/>
    <row r="116" ht="12.75" customHeight="1" x14ac:dyDescent="0.35"/>
    <row r="117" ht="12.75" customHeight="1" x14ac:dyDescent="0.35"/>
    <row r="118" ht="12.75" customHeight="1" x14ac:dyDescent="0.35"/>
    <row r="119" ht="12.75" customHeight="1" x14ac:dyDescent="0.35"/>
    <row r="120" ht="12.75" customHeight="1" x14ac:dyDescent="0.35"/>
    <row r="121" ht="12.75" customHeight="1" x14ac:dyDescent="0.35"/>
    <row r="122" ht="12.75" customHeight="1" x14ac:dyDescent="0.35"/>
    <row r="123" ht="12.75" customHeight="1" x14ac:dyDescent="0.35"/>
    <row r="124" ht="12.75" customHeight="1" x14ac:dyDescent="0.35"/>
    <row r="125" ht="12.75" customHeight="1" x14ac:dyDescent="0.35"/>
    <row r="126" ht="12.75" customHeight="1" x14ac:dyDescent="0.35"/>
    <row r="127" ht="12.75" customHeight="1" x14ac:dyDescent="0.35"/>
    <row r="128" ht="12.75" customHeight="1" x14ac:dyDescent="0.35"/>
    <row r="129" spans="3:4" ht="12.75" customHeight="1" x14ac:dyDescent="0.35"/>
    <row r="130" spans="3:4" ht="12.75" customHeight="1" x14ac:dyDescent="0.35"/>
    <row r="131" spans="3:4" ht="12.75" customHeight="1" x14ac:dyDescent="0.35"/>
    <row r="132" spans="3:4" ht="12.75" customHeight="1" x14ac:dyDescent="0.35"/>
    <row r="133" spans="3:4" ht="12.75" customHeight="1" x14ac:dyDescent="0.35">
      <c r="C133" s="97" t="s">
        <v>4353</v>
      </c>
    </row>
    <row r="134" spans="3:4" ht="12.75" customHeight="1" x14ac:dyDescent="0.35"/>
    <row r="135" spans="3:4" ht="12.75" customHeight="1" x14ac:dyDescent="0.35">
      <c r="D135" s="97" t="s">
        <v>4354</v>
      </c>
    </row>
    <row r="136" spans="3:4" ht="12.75" customHeight="1" x14ac:dyDescent="0.35"/>
    <row r="137" spans="3:4" ht="12.75" customHeight="1" x14ac:dyDescent="0.35"/>
    <row r="138" spans="3:4" ht="12.75" customHeight="1" x14ac:dyDescent="0.35"/>
    <row r="139" spans="3:4" ht="12.75" customHeight="1" x14ac:dyDescent="0.35"/>
    <row r="140" spans="3:4" ht="12.75" customHeight="1" x14ac:dyDescent="0.35"/>
    <row r="141" spans="3:4" ht="12.75" customHeight="1" x14ac:dyDescent="0.35"/>
    <row r="142" spans="3:4" ht="12.75" customHeight="1" x14ac:dyDescent="0.35"/>
    <row r="143" spans="3:4" ht="12.75" customHeight="1" x14ac:dyDescent="0.35"/>
    <row r="144" spans="3:4" ht="12.75" customHeight="1" x14ac:dyDescent="0.35"/>
    <row r="145" ht="12.75" customHeight="1" x14ac:dyDescent="0.35"/>
    <row r="146" ht="12.75" customHeight="1" x14ac:dyDescent="0.35"/>
    <row r="147" ht="12.75" customHeight="1" x14ac:dyDescent="0.35"/>
    <row r="148" ht="12.75" customHeight="1" x14ac:dyDescent="0.35"/>
    <row r="149" ht="12.75" customHeight="1" x14ac:dyDescent="0.35"/>
    <row r="150" ht="12.75" customHeight="1" x14ac:dyDescent="0.35"/>
    <row r="151" ht="12.75" customHeight="1" x14ac:dyDescent="0.35"/>
    <row r="152" ht="12.75" customHeight="1" x14ac:dyDescent="0.35"/>
    <row r="153" ht="12.75" customHeight="1" x14ac:dyDescent="0.35"/>
    <row r="154" ht="12.75" customHeight="1" x14ac:dyDescent="0.35"/>
    <row r="155" ht="12.75" customHeight="1" x14ac:dyDescent="0.35"/>
    <row r="156" ht="12.75" customHeight="1" x14ac:dyDescent="0.35"/>
    <row r="157" ht="12.75" customHeight="1" x14ac:dyDescent="0.35"/>
    <row r="158" ht="12.75" customHeight="1" x14ac:dyDescent="0.35"/>
    <row r="159" ht="12.75" customHeight="1" x14ac:dyDescent="0.35"/>
    <row r="160" ht="12.75" customHeight="1" x14ac:dyDescent="0.35"/>
    <row r="161" ht="12.75" customHeight="1" x14ac:dyDescent="0.35"/>
    <row r="162" ht="12.75" customHeight="1" x14ac:dyDescent="0.35"/>
    <row r="163" ht="12.75" customHeight="1" x14ac:dyDescent="0.35"/>
    <row r="164" ht="12.75" customHeight="1" x14ac:dyDescent="0.35"/>
    <row r="165" ht="12.75" customHeight="1" x14ac:dyDescent="0.35"/>
    <row r="166" ht="12.75" customHeight="1" x14ac:dyDescent="0.35"/>
    <row r="167" ht="12.75" customHeight="1" x14ac:dyDescent="0.35"/>
    <row r="168" ht="12.75" customHeight="1" x14ac:dyDescent="0.35"/>
    <row r="169" ht="12.75" customHeight="1" x14ac:dyDescent="0.35"/>
    <row r="170" ht="12.75" customHeight="1" x14ac:dyDescent="0.35"/>
    <row r="171" ht="12.75" customHeight="1" x14ac:dyDescent="0.35"/>
    <row r="172" ht="12.75" customHeight="1" x14ac:dyDescent="0.35"/>
    <row r="173" ht="12.75" customHeight="1" x14ac:dyDescent="0.35"/>
    <row r="174" ht="12.75" customHeight="1" x14ac:dyDescent="0.35"/>
    <row r="175" ht="12.75" customHeight="1" x14ac:dyDescent="0.35"/>
    <row r="176" ht="12.75" customHeight="1" x14ac:dyDescent="0.35"/>
    <row r="177" spans="3:4" ht="12.75" customHeight="1" x14ac:dyDescent="0.35">
      <c r="C177" s="97" t="s">
        <v>4355</v>
      </c>
    </row>
    <row r="178" spans="3:4" ht="12.75" customHeight="1" x14ac:dyDescent="0.35"/>
    <row r="179" spans="3:4" ht="12.75" customHeight="1" x14ac:dyDescent="0.35">
      <c r="D179" s="97" t="s">
        <v>4356</v>
      </c>
    </row>
    <row r="180" spans="3:4" ht="12.75" customHeight="1" x14ac:dyDescent="0.35"/>
    <row r="181" spans="3:4" ht="12.75" customHeight="1" x14ac:dyDescent="0.35"/>
    <row r="182" spans="3:4" ht="12.75" customHeight="1" x14ac:dyDescent="0.35"/>
    <row r="183" spans="3:4" ht="12.75" customHeight="1" x14ac:dyDescent="0.35"/>
    <row r="184" spans="3:4" ht="12.75" customHeight="1" x14ac:dyDescent="0.35"/>
    <row r="185" spans="3:4" ht="12.75" customHeight="1" x14ac:dyDescent="0.35"/>
    <row r="186" spans="3:4" ht="12.75" customHeight="1" x14ac:dyDescent="0.35"/>
    <row r="187" spans="3:4" ht="12.75" customHeight="1" x14ac:dyDescent="0.35"/>
    <row r="188" spans="3:4" ht="12.75" customHeight="1" x14ac:dyDescent="0.35"/>
    <row r="189" spans="3:4" ht="12.75" customHeight="1" x14ac:dyDescent="0.35"/>
    <row r="190" spans="3:4" ht="12.75" customHeight="1" x14ac:dyDescent="0.35"/>
    <row r="191" spans="3:4" ht="12.75" customHeight="1" x14ac:dyDescent="0.35"/>
    <row r="192" spans="3:4" ht="12.75" customHeight="1" x14ac:dyDescent="0.35"/>
    <row r="193" ht="12.75" customHeight="1" x14ac:dyDescent="0.35"/>
    <row r="194" ht="12.75" customHeight="1" x14ac:dyDescent="0.35"/>
    <row r="195" ht="12.75" customHeight="1" x14ac:dyDescent="0.35"/>
    <row r="196" ht="12.75" customHeight="1" x14ac:dyDescent="0.35"/>
    <row r="197" ht="12.75" customHeight="1" x14ac:dyDescent="0.35"/>
    <row r="198" ht="12.75" customHeight="1" x14ac:dyDescent="0.35"/>
    <row r="199" ht="12.75" customHeight="1" x14ac:dyDescent="0.35"/>
    <row r="200" ht="12.75" customHeight="1" x14ac:dyDescent="0.35"/>
    <row r="201" ht="12.75" customHeight="1" x14ac:dyDescent="0.35"/>
    <row r="202" ht="12.75" customHeight="1" x14ac:dyDescent="0.35"/>
    <row r="203" ht="12.75" customHeight="1" x14ac:dyDescent="0.35"/>
    <row r="204" ht="12.75" customHeight="1" x14ac:dyDescent="0.35"/>
    <row r="205" ht="12.75" customHeight="1" x14ac:dyDescent="0.35"/>
    <row r="206" ht="12.75" customHeight="1" x14ac:dyDescent="0.35"/>
    <row r="207" ht="12.75" customHeight="1" x14ac:dyDescent="0.35"/>
    <row r="208" ht="12.75" customHeight="1" x14ac:dyDescent="0.35"/>
    <row r="209" spans="3:4" ht="12.75" customHeight="1" x14ac:dyDescent="0.35"/>
    <row r="210" spans="3:4" ht="12.75" customHeight="1" x14ac:dyDescent="0.35"/>
    <row r="211" spans="3:4" ht="12.75" customHeight="1" x14ac:dyDescent="0.35"/>
    <row r="212" spans="3:4" ht="12.75" customHeight="1" x14ac:dyDescent="0.35"/>
    <row r="213" spans="3:4" ht="12.75" customHeight="1" x14ac:dyDescent="0.35"/>
    <row r="214" spans="3:4" ht="12.75" customHeight="1" x14ac:dyDescent="0.35"/>
    <row r="215" spans="3:4" ht="12.75" customHeight="1" x14ac:dyDescent="0.35"/>
    <row r="216" spans="3:4" ht="12.75" customHeight="1" x14ac:dyDescent="0.35"/>
    <row r="217" spans="3:4" ht="12.75" customHeight="1" x14ac:dyDescent="0.35"/>
    <row r="218" spans="3:4" ht="12.75" customHeight="1" x14ac:dyDescent="0.35"/>
    <row r="219" spans="3:4" ht="12.75" customHeight="1" x14ac:dyDescent="0.35"/>
    <row r="220" spans="3:4" ht="12.75" customHeight="1" x14ac:dyDescent="0.35"/>
    <row r="221" spans="3:4" ht="12.75" customHeight="1" x14ac:dyDescent="0.35">
      <c r="C221" s="97" t="s">
        <v>5207</v>
      </c>
    </row>
    <row r="222" spans="3:4" ht="12.75" customHeight="1" x14ac:dyDescent="0.35"/>
    <row r="223" spans="3:4" ht="12.75" customHeight="1" x14ac:dyDescent="0.35">
      <c r="D223" s="97" t="s">
        <v>1691</v>
      </c>
    </row>
    <row r="224" spans="3:4" x14ac:dyDescent="0.35">
      <c r="D224" s="97" t="s">
        <v>4357</v>
      </c>
    </row>
    <row r="225" spans="4:4" x14ac:dyDescent="0.35">
      <c r="D225" s="97" t="s">
        <v>4358</v>
      </c>
    </row>
  </sheetData>
  <printOptions gridLines="1"/>
  <pageMargins left="0.75" right="0.75" top="1" bottom="1" header="0.5" footer="0.5"/>
  <pageSetup paperSize="9" orientation="portrait" r:id="rId1"/>
  <headerFooter>
    <oddHeader>&amp;C&amp;A</oddHeader>
    <oddFooter>&amp;CPage &amp;P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8">
    <pageSetUpPr autoPageBreaks="0"/>
  </sheetPr>
  <dimension ref="A1:D225"/>
  <sheetViews>
    <sheetView topLeftCell="A197" workbookViewId="0">
      <selection activeCell="C221" sqref="C221"/>
    </sheetView>
  </sheetViews>
  <sheetFormatPr defaultColWidth="9.1796875" defaultRowHeight="14.5" x14ac:dyDescent="0.35"/>
  <cols>
    <col min="1" max="16384" width="9.1796875" style="97"/>
  </cols>
  <sheetData>
    <row r="1" spans="1:4" ht="12.75" customHeight="1" x14ac:dyDescent="0.35">
      <c r="A1"/>
      <c r="B1"/>
    </row>
    <row r="2" spans="1:4" ht="12.75" customHeight="1" x14ac:dyDescent="0.35">
      <c r="A2"/>
      <c r="B2"/>
    </row>
    <row r="3" spans="1:4" ht="12.75" customHeight="1" x14ac:dyDescent="0.35">
      <c r="A3"/>
      <c r="B3"/>
      <c r="C3" s="97" t="s">
        <v>4359</v>
      </c>
    </row>
    <row r="4" spans="1:4" ht="12.75" customHeight="1" x14ac:dyDescent="0.35">
      <c r="A4"/>
      <c r="B4"/>
    </row>
    <row r="5" spans="1:4" ht="12.75" customHeight="1" x14ac:dyDescent="0.35">
      <c r="A5"/>
      <c r="B5" s="101"/>
      <c r="D5" s="97" t="s">
        <v>4360</v>
      </c>
    </row>
    <row r="6" spans="1:4" ht="12.75" customHeight="1" x14ac:dyDescent="0.35">
      <c r="A6"/>
      <c r="B6"/>
      <c r="D6" s="97" t="s">
        <v>4361</v>
      </c>
    </row>
    <row r="7" spans="1:4" ht="12.75" customHeight="1" x14ac:dyDescent="0.35">
      <c r="A7"/>
      <c r="B7"/>
      <c r="D7" s="97" t="s">
        <v>4272</v>
      </c>
    </row>
    <row r="8" spans="1:4" ht="12.75" customHeight="1" x14ac:dyDescent="0.35">
      <c r="A8"/>
      <c r="B8"/>
    </row>
    <row r="9" spans="1:4" ht="12.75" customHeight="1" x14ac:dyDescent="0.35">
      <c r="A9"/>
      <c r="B9"/>
    </row>
    <row r="10" spans="1:4" ht="12.75" customHeight="1" x14ac:dyDescent="0.35">
      <c r="A10"/>
      <c r="B10"/>
    </row>
    <row r="11" spans="1:4" ht="12.75" customHeight="1" x14ac:dyDescent="0.35">
      <c r="A11"/>
      <c r="B11"/>
    </row>
    <row r="12" spans="1:4" ht="12.75" customHeight="1" x14ac:dyDescent="0.35">
      <c r="A12"/>
      <c r="B12"/>
    </row>
    <row r="13" spans="1:4" ht="12.75" customHeight="1" x14ac:dyDescent="0.35">
      <c r="A13"/>
      <c r="B13"/>
    </row>
    <row r="14" spans="1:4" ht="12.75" customHeight="1" x14ac:dyDescent="0.35">
      <c r="A14"/>
      <c r="B14"/>
    </row>
    <row r="15" spans="1:4" ht="12.75" customHeight="1" x14ac:dyDescent="0.35">
      <c r="A15"/>
      <c r="B15"/>
    </row>
    <row r="16" spans="1:4" ht="12.75" customHeight="1" x14ac:dyDescent="0.35">
      <c r="A16"/>
      <c r="B16"/>
    </row>
    <row r="17" spans="1:2" ht="12.75" customHeight="1" x14ac:dyDescent="0.35">
      <c r="A17"/>
      <c r="B17"/>
    </row>
    <row r="18" spans="1:2" ht="12.75" customHeight="1" x14ac:dyDescent="0.35">
      <c r="A18"/>
      <c r="B18"/>
    </row>
    <row r="19" spans="1:2" ht="12.75" customHeight="1" x14ac:dyDescent="0.35">
      <c r="A19"/>
      <c r="B19"/>
    </row>
    <row r="20" spans="1:2" ht="12.75" customHeight="1" x14ac:dyDescent="0.35">
      <c r="A20"/>
      <c r="B20"/>
    </row>
    <row r="21" spans="1:2" ht="12.75" customHeight="1" x14ac:dyDescent="0.35">
      <c r="A21"/>
      <c r="B21"/>
    </row>
    <row r="22" spans="1:2" ht="12.75" customHeight="1" x14ac:dyDescent="0.35">
      <c r="A22"/>
      <c r="B22"/>
    </row>
    <row r="23" spans="1:2" ht="12.75" customHeight="1" x14ac:dyDescent="0.35">
      <c r="A23"/>
      <c r="B23"/>
    </row>
    <row r="24" spans="1:2" ht="12.75" customHeight="1" x14ac:dyDescent="0.35">
      <c r="A24"/>
      <c r="B24"/>
    </row>
    <row r="25" spans="1:2" ht="12.75" customHeight="1" x14ac:dyDescent="0.35">
      <c r="A25"/>
      <c r="B25"/>
    </row>
    <row r="26" spans="1:2" ht="12.75" customHeight="1" x14ac:dyDescent="0.35">
      <c r="A26"/>
      <c r="B26"/>
    </row>
    <row r="27" spans="1:2" ht="12.75" customHeight="1" x14ac:dyDescent="0.35">
      <c r="A27"/>
      <c r="B27"/>
    </row>
    <row r="28" spans="1:2" ht="12.75" customHeight="1" x14ac:dyDescent="0.35">
      <c r="A28"/>
      <c r="B28"/>
    </row>
    <row r="29" spans="1:2" ht="12.75" customHeight="1" x14ac:dyDescent="0.35">
      <c r="A29"/>
      <c r="B29"/>
    </row>
    <row r="30" spans="1:2" ht="12.75" customHeight="1" x14ac:dyDescent="0.35">
      <c r="A30"/>
      <c r="B30"/>
    </row>
    <row r="31" spans="1:2" ht="12.75" customHeight="1" x14ac:dyDescent="0.35">
      <c r="A31"/>
      <c r="B31"/>
    </row>
    <row r="32" spans="1:2" ht="12.75" customHeight="1" x14ac:dyDescent="0.35">
      <c r="A32"/>
      <c r="B32"/>
    </row>
    <row r="33" spans="1:4" ht="12.75" customHeight="1" x14ac:dyDescent="0.35">
      <c r="A33"/>
      <c r="B33"/>
    </row>
    <row r="34" spans="1:4" ht="12.75" customHeight="1" x14ac:dyDescent="0.35">
      <c r="A34"/>
      <c r="B34"/>
    </row>
    <row r="35" spans="1:4" ht="12.75" customHeight="1" x14ac:dyDescent="0.35">
      <c r="A35"/>
      <c r="B35"/>
    </row>
    <row r="36" spans="1:4" ht="12.75" customHeight="1" x14ac:dyDescent="0.35">
      <c r="A36"/>
      <c r="B36"/>
    </row>
    <row r="37" spans="1:4" ht="12.75" customHeight="1" x14ac:dyDescent="0.35">
      <c r="A37"/>
      <c r="B37"/>
    </row>
    <row r="38" spans="1:4" ht="12.75" customHeight="1" x14ac:dyDescent="0.35">
      <c r="A38"/>
      <c r="B38"/>
    </row>
    <row r="39" spans="1:4" ht="12.75" customHeight="1" x14ac:dyDescent="0.35">
      <c r="A39"/>
      <c r="B39"/>
    </row>
    <row r="40" spans="1:4" ht="12.75" customHeight="1" x14ac:dyDescent="0.35">
      <c r="A40"/>
      <c r="B40"/>
    </row>
    <row r="41" spans="1:4" ht="12.75" customHeight="1" x14ac:dyDescent="0.35">
      <c r="A41"/>
      <c r="B41"/>
    </row>
    <row r="42" spans="1:4" ht="12.75" customHeight="1" x14ac:dyDescent="0.35">
      <c r="A42"/>
      <c r="B42"/>
    </row>
    <row r="43" spans="1:4" ht="12.75" customHeight="1" x14ac:dyDescent="0.35">
      <c r="A43"/>
      <c r="B43"/>
    </row>
    <row r="44" spans="1:4" ht="12.75" customHeight="1" x14ac:dyDescent="0.35">
      <c r="A44"/>
      <c r="B44"/>
      <c r="C44" s="97" t="s">
        <v>4362</v>
      </c>
    </row>
    <row r="45" spans="1:4" ht="12.75" customHeight="1" x14ac:dyDescent="0.35">
      <c r="A45"/>
      <c r="B45"/>
    </row>
    <row r="46" spans="1:4" ht="12.75" customHeight="1" x14ac:dyDescent="0.35">
      <c r="A46"/>
      <c r="B46"/>
      <c r="D46" s="97" t="str">
        <f>"Итого инвестиций, "&amp;IF(Figures&gt;1,Figures&amp;" ","")&amp;Currency</f>
        <v>Итого инвестиций, Euro</v>
      </c>
    </row>
    <row r="47" spans="1:4" ht="12.75" customHeight="1" x14ac:dyDescent="0.35">
      <c r="A47"/>
      <c r="B47"/>
    </row>
    <row r="48" spans="1:4" ht="12.75" customHeight="1" x14ac:dyDescent="0.35">
      <c r="A48"/>
      <c r="B48"/>
    </row>
    <row r="49" spans="1:2" ht="12.75" customHeight="1" x14ac:dyDescent="0.35">
      <c r="A49"/>
      <c r="B49"/>
    </row>
    <row r="50" spans="1:2" ht="12.75" customHeight="1" x14ac:dyDescent="0.35">
      <c r="A50"/>
      <c r="B50"/>
    </row>
    <row r="51" spans="1:2" ht="12.75" customHeight="1" x14ac:dyDescent="0.35">
      <c r="A51"/>
      <c r="B51"/>
    </row>
    <row r="52" spans="1:2" ht="12.75" customHeight="1" x14ac:dyDescent="0.35">
      <c r="A52"/>
      <c r="B52"/>
    </row>
    <row r="53" spans="1:2" ht="12.75" customHeight="1" x14ac:dyDescent="0.35">
      <c r="A53"/>
      <c r="B53"/>
    </row>
    <row r="54" spans="1:2" ht="12.75" customHeight="1" x14ac:dyDescent="0.35">
      <c r="A54"/>
      <c r="B54"/>
    </row>
    <row r="55" spans="1:2" ht="12.75" customHeight="1" x14ac:dyDescent="0.35">
      <c r="A55"/>
      <c r="B55"/>
    </row>
    <row r="56" spans="1:2" ht="12.75" customHeight="1" x14ac:dyDescent="0.35">
      <c r="A56"/>
      <c r="B56"/>
    </row>
    <row r="57" spans="1:2" ht="12.75" customHeight="1" x14ac:dyDescent="0.35">
      <c r="A57"/>
      <c r="B57"/>
    </row>
    <row r="58" spans="1:2" ht="12.75" customHeight="1" x14ac:dyDescent="0.35">
      <c r="A58"/>
      <c r="B58"/>
    </row>
    <row r="59" spans="1:2" ht="12.75" customHeight="1" x14ac:dyDescent="0.35">
      <c r="A59"/>
      <c r="B59"/>
    </row>
    <row r="60" spans="1:2" ht="12.75" customHeight="1" x14ac:dyDescent="0.35">
      <c r="A60"/>
      <c r="B60"/>
    </row>
    <row r="61" spans="1:2" ht="12.75" customHeight="1" x14ac:dyDescent="0.35">
      <c r="A61"/>
      <c r="B61"/>
    </row>
    <row r="62" spans="1:2" ht="12.75" customHeight="1" x14ac:dyDescent="0.35">
      <c r="A62"/>
      <c r="B62"/>
    </row>
    <row r="63" spans="1:2" ht="12.75" customHeight="1" x14ac:dyDescent="0.35">
      <c r="A63"/>
      <c r="B63"/>
    </row>
    <row r="64" spans="1:2" ht="12.75" customHeight="1" x14ac:dyDescent="0.35">
      <c r="A64"/>
      <c r="B64"/>
    </row>
    <row r="65" spans="1:4" ht="12.75" customHeight="1" x14ac:dyDescent="0.35">
      <c r="A65"/>
      <c r="B65"/>
    </row>
    <row r="66" spans="1:4" ht="12.75" customHeight="1" x14ac:dyDescent="0.35">
      <c r="A66"/>
      <c r="B66"/>
    </row>
    <row r="67" spans="1:4" ht="12.75" customHeight="1" x14ac:dyDescent="0.35">
      <c r="A67"/>
      <c r="B67"/>
    </row>
    <row r="68" spans="1:4" ht="12.75" customHeight="1" x14ac:dyDescent="0.35">
      <c r="A68"/>
      <c r="B68"/>
    </row>
    <row r="69" spans="1:4" ht="12.75" customHeight="1" x14ac:dyDescent="0.35">
      <c r="A69"/>
      <c r="B69"/>
    </row>
    <row r="70" spans="1:4" ht="12.75" customHeight="1" x14ac:dyDescent="0.35">
      <c r="A70"/>
      <c r="B70"/>
    </row>
    <row r="71" spans="1:4" ht="12.75" customHeight="1" x14ac:dyDescent="0.35">
      <c r="A71"/>
      <c r="B71"/>
    </row>
    <row r="72" spans="1:4" ht="12.75" customHeight="1" x14ac:dyDescent="0.35">
      <c r="A72"/>
      <c r="B72"/>
    </row>
    <row r="73" spans="1:4" ht="12.75" customHeight="1" x14ac:dyDescent="0.35">
      <c r="A73"/>
      <c r="B73"/>
    </row>
    <row r="74" spans="1:4" ht="12.75" customHeight="1" x14ac:dyDescent="0.35">
      <c r="A74"/>
      <c r="B74"/>
    </row>
    <row r="75" spans="1:4" ht="12.75" customHeight="1" x14ac:dyDescent="0.35">
      <c r="A75"/>
      <c r="B75"/>
    </row>
    <row r="76" spans="1:4" ht="12.75" customHeight="1" x14ac:dyDescent="0.35">
      <c r="A76"/>
      <c r="B76"/>
    </row>
    <row r="77" spans="1:4" ht="12.75" customHeight="1" x14ac:dyDescent="0.35">
      <c r="A77"/>
      <c r="B77"/>
    </row>
    <row r="78" spans="1:4" ht="12.75" customHeight="1" x14ac:dyDescent="0.35">
      <c r="A78"/>
      <c r="B78"/>
      <c r="D78" s="97" t="s">
        <v>4363</v>
      </c>
    </row>
    <row r="79" spans="1:4" ht="12.75" customHeight="1" x14ac:dyDescent="0.35">
      <c r="A79"/>
      <c r="B79"/>
    </row>
    <row r="80" spans="1:4" ht="12.75" customHeight="1" x14ac:dyDescent="0.35">
      <c r="A80"/>
      <c r="B80"/>
    </row>
    <row r="81" spans="1:4" ht="12.75" customHeight="1" x14ac:dyDescent="0.35">
      <c r="A81"/>
      <c r="B81"/>
    </row>
    <row r="82" spans="1:4" ht="12.75" customHeight="1" x14ac:dyDescent="0.35">
      <c r="A82"/>
      <c r="B82"/>
    </row>
    <row r="83" spans="1:4" ht="12.75" customHeight="1" x14ac:dyDescent="0.35">
      <c r="A83"/>
      <c r="B83"/>
    </row>
    <row r="84" spans="1:4" ht="12.75" customHeight="1" x14ac:dyDescent="0.35">
      <c r="A84"/>
      <c r="B84"/>
    </row>
    <row r="85" spans="1:4" ht="12.75" customHeight="1" x14ac:dyDescent="0.35">
      <c r="A85"/>
      <c r="B85"/>
    </row>
    <row r="86" spans="1:4" ht="12.75" customHeight="1" x14ac:dyDescent="0.35">
      <c r="A86"/>
      <c r="B86"/>
    </row>
    <row r="87" spans="1:4" ht="12.75" customHeight="1" x14ac:dyDescent="0.35">
      <c r="A87"/>
      <c r="B87"/>
    </row>
    <row r="88" spans="1:4" ht="12.75" customHeight="1" x14ac:dyDescent="0.35">
      <c r="A88"/>
      <c r="B88"/>
    </row>
    <row r="89" spans="1:4" ht="12.75" customHeight="1" x14ac:dyDescent="0.35">
      <c r="A89"/>
      <c r="B89"/>
      <c r="C89" s="97" t="s">
        <v>4364</v>
      </c>
    </row>
    <row r="90" spans="1:4" ht="12.75" customHeight="1" x14ac:dyDescent="0.35">
      <c r="A90"/>
      <c r="B90"/>
    </row>
    <row r="91" spans="1:4" ht="12.75" customHeight="1" x14ac:dyDescent="0.35">
      <c r="A91"/>
      <c r="B91"/>
      <c r="D91" s="97" t="s">
        <v>4365</v>
      </c>
    </row>
    <row r="92" spans="1:4" ht="12.75" customHeight="1" x14ac:dyDescent="0.35">
      <c r="A92"/>
      <c r="B92"/>
    </row>
    <row r="93" spans="1:4" ht="12.75" customHeight="1" x14ac:dyDescent="0.35">
      <c r="A93"/>
      <c r="B93"/>
    </row>
    <row r="94" spans="1:4" ht="12.75" customHeight="1" x14ac:dyDescent="0.35">
      <c r="A94"/>
      <c r="B94"/>
    </row>
    <row r="95" spans="1:4" ht="12.75" customHeight="1" x14ac:dyDescent="0.35">
      <c r="A95"/>
      <c r="B95"/>
    </row>
    <row r="96" spans="1:4" ht="12.75" customHeight="1" x14ac:dyDescent="0.35">
      <c r="A96"/>
      <c r="B96"/>
    </row>
    <row r="97" spans="1:2" ht="12.75" customHeight="1" x14ac:dyDescent="0.35">
      <c r="A97"/>
      <c r="B97"/>
    </row>
    <row r="98" spans="1:2" ht="12.75" customHeight="1" x14ac:dyDescent="0.35">
      <c r="A98"/>
      <c r="B98"/>
    </row>
    <row r="99" spans="1:2" ht="12.75" customHeight="1" x14ac:dyDescent="0.35">
      <c r="A99"/>
      <c r="B99"/>
    </row>
    <row r="100" spans="1:2" ht="12.75" customHeight="1" x14ac:dyDescent="0.35">
      <c r="A100"/>
      <c r="B100"/>
    </row>
    <row r="101" spans="1:2" ht="12.75" customHeight="1" x14ac:dyDescent="0.35">
      <c r="A101"/>
      <c r="B101"/>
    </row>
    <row r="102" spans="1:2" ht="12.75" customHeight="1" x14ac:dyDescent="0.35">
      <c r="A102"/>
      <c r="B102"/>
    </row>
    <row r="103" spans="1:2" ht="12.75" customHeight="1" x14ac:dyDescent="0.35">
      <c r="A103"/>
      <c r="B103"/>
    </row>
    <row r="104" spans="1:2" ht="12.75" customHeight="1" x14ac:dyDescent="0.35">
      <c r="A104"/>
      <c r="B104"/>
    </row>
    <row r="105" spans="1:2" ht="12.75" customHeight="1" x14ac:dyDescent="0.35">
      <c r="A105"/>
      <c r="B105"/>
    </row>
    <row r="106" spans="1:2" ht="12.75" customHeight="1" x14ac:dyDescent="0.35">
      <c r="A106"/>
      <c r="B106"/>
    </row>
    <row r="107" spans="1:2" ht="12.75" customHeight="1" x14ac:dyDescent="0.35">
      <c r="A107"/>
      <c r="B107"/>
    </row>
    <row r="108" spans="1:2" ht="12.75" customHeight="1" x14ac:dyDescent="0.35">
      <c r="A108"/>
      <c r="B108"/>
    </row>
    <row r="109" spans="1:2" ht="12.75" customHeight="1" x14ac:dyDescent="0.35">
      <c r="A109"/>
      <c r="B109"/>
    </row>
    <row r="110" spans="1:2" ht="12.75" customHeight="1" x14ac:dyDescent="0.35">
      <c r="A110"/>
      <c r="B110"/>
    </row>
    <row r="111" spans="1:2" ht="12.75" customHeight="1" x14ac:dyDescent="0.35">
      <c r="A111"/>
      <c r="B111"/>
    </row>
    <row r="112" spans="1:2" ht="12.75" customHeight="1" x14ac:dyDescent="0.35">
      <c r="A112"/>
      <c r="B112"/>
    </row>
    <row r="113" spans="1:2" ht="12.75" customHeight="1" x14ac:dyDescent="0.35">
      <c r="A113"/>
      <c r="B113"/>
    </row>
    <row r="114" spans="1:2" ht="12.75" customHeight="1" x14ac:dyDescent="0.35">
      <c r="A114"/>
      <c r="B114"/>
    </row>
    <row r="115" spans="1:2" ht="12.75" customHeight="1" x14ac:dyDescent="0.35">
      <c r="A115"/>
      <c r="B115"/>
    </row>
    <row r="116" spans="1:2" ht="12.75" customHeight="1" x14ac:dyDescent="0.35">
      <c r="A116"/>
      <c r="B116"/>
    </row>
    <row r="117" spans="1:2" ht="12.75" customHeight="1" x14ac:dyDescent="0.35">
      <c r="A117"/>
      <c r="B117"/>
    </row>
    <row r="118" spans="1:2" ht="12.75" customHeight="1" x14ac:dyDescent="0.35">
      <c r="A118"/>
      <c r="B118"/>
    </row>
    <row r="119" spans="1:2" ht="12.75" customHeight="1" x14ac:dyDescent="0.35">
      <c r="A119"/>
      <c r="B119"/>
    </row>
    <row r="120" spans="1:2" ht="12.75" customHeight="1" x14ac:dyDescent="0.35">
      <c r="A120"/>
      <c r="B120"/>
    </row>
    <row r="121" spans="1:2" ht="12.75" customHeight="1" x14ac:dyDescent="0.35">
      <c r="A121"/>
      <c r="B121"/>
    </row>
    <row r="122" spans="1:2" ht="12.75" customHeight="1" x14ac:dyDescent="0.35">
      <c r="A122"/>
      <c r="B122"/>
    </row>
    <row r="123" spans="1:2" ht="12.75" customHeight="1" x14ac:dyDescent="0.35">
      <c r="A123"/>
      <c r="B123"/>
    </row>
    <row r="124" spans="1:2" ht="12.75" customHeight="1" x14ac:dyDescent="0.35">
      <c r="A124"/>
      <c r="B124"/>
    </row>
    <row r="125" spans="1:2" ht="12.75" customHeight="1" x14ac:dyDescent="0.35">
      <c r="A125"/>
      <c r="B125"/>
    </row>
    <row r="126" spans="1:2" ht="12.75" customHeight="1" x14ac:dyDescent="0.35">
      <c r="A126"/>
      <c r="B126"/>
    </row>
    <row r="127" spans="1:2" ht="12.75" customHeight="1" x14ac:dyDescent="0.35">
      <c r="A127"/>
      <c r="B127"/>
    </row>
    <row r="128" spans="1:2" ht="12.75" customHeight="1" x14ac:dyDescent="0.35">
      <c r="A128"/>
      <c r="B128"/>
    </row>
    <row r="129" spans="1:4" ht="12.75" customHeight="1" x14ac:dyDescent="0.35">
      <c r="A129"/>
      <c r="B129"/>
    </row>
    <row r="130" spans="1:4" ht="12.75" customHeight="1" x14ac:dyDescent="0.35">
      <c r="A130"/>
      <c r="B130"/>
    </row>
    <row r="131" spans="1:4" ht="12.75" customHeight="1" x14ac:dyDescent="0.35">
      <c r="A131"/>
      <c r="B131"/>
    </row>
    <row r="132" spans="1:4" ht="12.75" customHeight="1" x14ac:dyDescent="0.35">
      <c r="A132"/>
      <c r="B132"/>
    </row>
    <row r="133" spans="1:4" ht="12.75" customHeight="1" x14ac:dyDescent="0.35">
      <c r="A133"/>
      <c r="B133"/>
      <c r="C133" s="97" t="s">
        <v>4366</v>
      </c>
    </row>
    <row r="134" spans="1:4" ht="12.75" customHeight="1" x14ac:dyDescent="0.35">
      <c r="A134"/>
      <c r="B134"/>
    </row>
    <row r="135" spans="1:4" ht="12.75" customHeight="1" x14ac:dyDescent="0.35">
      <c r="A135"/>
      <c r="B135"/>
      <c r="D135" s="97" t="s">
        <v>4367</v>
      </c>
    </row>
    <row r="136" spans="1:4" ht="12.75" customHeight="1" x14ac:dyDescent="0.35">
      <c r="A136"/>
      <c r="B136"/>
    </row>
    <row r="137" spans="1:4" ht="12.75" customHeight="1" x14ac:dyDescent="0.35">
      <c r="A137"/>
      <c r="B137"/>
    </row>
    <row r="138" spans="1:4" ht="12.75" customHeight="1" x14ac:dyDescent="0.35">
      <c r="A138"/>
      <c r="B138"/>
    </row>
    <row r="139" spans="1:4" ht="12.75" customHeight="1" x14ac:dyDescent="0.35">
      <c r="A139"/>
      <c r="B139"/>
    </row>
    <row r="140" spans="1:4" ht="12.75" customHeight="1" x14ac:dyDescent="0.35">
      <c r="A140"/>
      <c r="B140"/>
    </row>
    <row r="141" spans="1:4" ht="12.75" customHeight="1" x14ac:dyDescent="0.35">
      <c r="A141"/>
      <c r="B141"/>
    </row>
    <row r="142" spans="1:4" ht="12.75" customHeight="1" x14ac:dyDescent="0.35">
      <c r="A142"/>
      <c r="B142"/>
    </row>
    <row r="143" spans="1:4" ht="12.75" customHeight="1" x14ac:dyDescent="0.35">
      <c r="A143"/>
      <c r="B143"/>
    </row>
    <row r="144" spans="1:4" ht="12.75" customHeight="1" x14ac:dyDescent="0.35">
      <c r="A144"/>
      <c r="B144"/>
    </row>
    <row r="145" spans="1:2" ht="12.75" customHeight="1" x14ac:dyDescent="0.35">
      <c r="A145"/>
      <c r="B145"/>
    </row>
    <row r="146" spans="1:2" ht="12.75" customHeight="1" x14ac:dyDescent="0.35">
      <c r="A146"/>
      <c r="B146"/>
    </row>
    <row r="147" spans="1:2" ht="12.75" customHeight="1" x14ac:dyDescent="0.35">
      <c r="A147"/>
      <c r="B147"/>
    </row>
    <row r="148" spans="1:2" ht="12.75" customHeight="1" x14ac:dyDescent="0.35">
      <c r="A148"/>
      <c r="B148"/>
    </row>
    <row r="149" spans="1:2" ht="12.75" customHeight="1" x14ac:dyDescent="0.35">
      <c r="A149"/>
      <c r="B149"/>
    </row>
    <row r="150" spans="1:2" ht="12.75" customHeight="1" x14ac:dyDescent="0.35">
      <c r="A150"/>
      <c r="B150"/>
    </row>
    <row r="151" spans="1:2" ht="12.75" customHeight="1" x14ac:dyDescent="0.35">
      <c r="A151"/>
      <c r="B151"/>
    </row>
    <row r="152" spans="1:2" ht="12.75" customHeight="1" x14ac:dyDescent="0.35">
      <c r="A152"/>
      <c r="B152"/>
    </row>
    <row r="153" spans="1:2" ht="12.75" customHeight="1" x14ac:dyDescent="0.35">
      <c r="A153"/>
      <c r="B153"/>
    </row>
    <row r="154" spans="1:2" ht="12.75" customHeight="1" x14ac:dyDescent="0.35">
      <c r="A154"/>
      <c r="B154"/>
    </row>
    <row r="155" spans="1:2" ht="12.75" customHeight="1" x14ac:dyDescent="0.35">
      <c r="A155"/>
      <c r="B155"/>
    </row>
    <row r="156" spans="1:2" ht="12.75" customHeight="1" x14ac:dyDescent="0.35">
      <c r="A156"/>
      <c r="B156"/>
    </row>
    <row r="157" spans="1:2" ht="12.75" customHeight="1" x14ac:dyDescent="0.35">
      <c r="A157"/>
      <c r="B157"/>
    </row>
    <row r="158" spans="1:2" ht="12.75" customHeight="1" x14ac:dyDescent="0.35">
      <c r="A158"/>
      <c r="B158"/>
    </row>
    <row r="159" spans="1:2" ht="12.75" customHeight="1" x14ac:dyDescent="0.35">
      <c r="A159"/>
      <c r="B159"/>
    </row>
    <row r="160" spans="1:2" ht="12.75" customHeight="1" x14ac:dyDescent="0.35">
      <c r="A160"/>
      <c r="B160"/>
    </row>
    <row r="161" spans="1:2" ht="12.75" customHeight="1" x14ac:dyDescent="0.35">
      <c r="A161"/>
      <c r="B161"/>
    </row>
    <row r="162" spans="1:2" ht="12.75" customHeight="1" x14ac:dyDescent="0.35">
      <c r="A162"/>
      <c r="B162"/>
    </row>
    <row r="163" spans="1:2" ht="12.75" customHeight="1" x14ac:dyDescent="0.35">
      <c r="A163"/>
      <c r="B163"/>
    </row>
    <row r="164" spans="1:2" ht="12.75" customHeight="1" x14ac:dyDescent="0.35">
      <c r="A164"/>
      <c r="B164"/>
    </row>
    <row r="165" spans="1:2" ht="12.75" customHeight="1" x14ac:dyDescent="0.35">
      <c r="A165"/>
      <c r="B165"/>
    </row>
    <row r="166" spans="1:2" ht="12.75" customHeight="1" x14ac:dyDescent="0.35">
      <c r="A166"/>
      <c r="B166"/>
    </row>
    <row r="167" spans="1:2" ht="12.75" customHeight="1" x14ac:dyDescent="0.35">
      <c r="A167"/>
      <c r="B167"/>
    </row>
    <row r="168" spans="1:2" ht="12.75" customHeight="1" x14ac:dyDescent="0.35">
      <c r="A168"/>
      <c r="B168"/>
    </row>
    <row r="169" spans="1:2" ht="12.75" customHeight="1" x14ac:dyDescent="0.35">
      <c r="A169"/>
      <c r="B169"/>
    </row>
    <row r="170" spans="1:2" ht="12.75" customHeight="1" x14ac:dyDescent="0.35">
      <c r="A170"/>
      <c r="B170"/>
    </row>
    <row r="171" spans="1:2" ht="12.75" customHeight="1" x14ac:dyDescent="0.35">
      <c r="A171"/>
      <c r="B171"/>
    </row>
    <row r="172" spans="1:2" ht="12.75" customHeight="1" x14ac:dyDescent="0.35">
      <c r="A172"/>
      <c r="B172"/>
    </row>
    <row r="173" spans="1:2" ht="12.75" customHeight="1" x14ac:dyDescent="0.35">
      <c r="A173"/>
      <c r="B173"/>
    </row>
    <row r="174" spans="1:2" ht="12.75" customHeight="1" x14ac:dyDescent="0.35">
      <c r="A174"/>
      <c r="B174"/>
    </row>
    <row r="175" spans="1:2" ht="12.75" customHeight="1" x14ac:dyDescent="0.35">
      <c r="A175"/>
      <c r="B175"/>
    </row>
    <row r="176" spans="1:2" ht="12.75" customHeight="1" x14ac:dyDescent="0.35">
      <c r="A176"/>
      <c r="B176"/>
    </row>
    <row r="177" spans="1:4" ht="12.75" customHeight="1" x14ac:dyDescent="0.35">
      <c r="A177"/>
      <c r="B177"/>
      <c r="C177" s="97" t="s">
        <v>4368</v>
      </c>
    </row>
    <row r="178" spans="1:4" ht="12.75" customHeight="1" x14ac:dyDescent="0.35">
      <c r="A178"/>
      <c r="B178"/>
    </row>
    <row r="179" spans="1:4" ht="12.75" customHeight="1" x14ac:dyDescent="0.35">
      <c r="A179"/>
      <c r="B179"/>
      <c r="D179" s="97" t="s">
        <v>4369</v>
      </c>
    </row>
    <row r="180" spans="1:4" ht="12.75" customHeight="1" x14ac:dyDescent="0.35">
      <c r="A180"/>
      <c r="B180"/>
    </row>
    <row r="181" spans="1:4" ht="12.75" customHeight="1" x14ac:dyDescent="0.35">
      <c r="A181"/>
      <c r="B181"/>
    </row>
    <row r="182" spans="1:4" ht="12.75" customHeight="1" x14ac:dyDescent="0.35">
      <c r="A182"/>
      <c r="B182"/>
    </row>
    <row r="183" spans="1:4" ht="12.75" customHeight="1" x14ac:dyDescent="0.35">
      <c r="A183"/>
      <c r="B183"/>
    </row>
    <row r="184" spans="1:4" ht="12.75" customHeight="1" x14ac:dyDescent="0.35">
      <c r="A184"/>
      <c r="B184"/>
    </row>
    <row r="185" spans="1:4" ht="12.75" customHeight="1" x14ac:dyDescent="0.35">
      <c r="A185"/>
      <c r="B185"/>
    </row>
    <row r="186" spans="1:4" ht="12.75" customHeight="1" x14ac:dyDescent="0.35">
      <c r="A186"/>
      <c r="B186"/>
    </row>
    <row r="187" spans="1:4" ht="12.75" customHeight="1" x14ac:dyDescent="0.35">
      <c r="A187"/>
      <c r="B187"/>
    </row>
    <row r="188" spans="1:4" ht="12.75" customHeight="1" x14ac:dyDescent="0.35">
      <c r="A188"/>
      <c r="B188"/>
    </row>
    <row r="189" spans="1:4" ht="12.75" customHeight="1" x14ac:dyDescent="0.35">
      <c r="A189"/>
      <c r="B189"/>
    </row>
    <row r="190" spans="1:4" ht="12.75" customHeight="1" x14ac:dyDescent="0.35">
      <c r="A190"/>
      <c r="B190"/>
    </row>
    <row r="191" spans="1:4" ht="12.75" customHeight="1" x14ac:dyDescent="0.35">
      <c r="A191"/>
      <c r="B191"/>
    </row>
    <row r="192" spans="1:4" ht="12.75" customHeight="1" x14ac:dyDescent="0.35">
      <c r="A192"/>
      <c r="B192"/>
    </row>
    <row r="193" spans="1:2" ht="12.75" customHeight="1" x14ac:dyDescent="0.35">
      <c r="A193"/>
      <c r="B193"/>
    </row>
    <row r="194" spans="1:2" ht="12.75" customHeight="1" x14ac:dyDescent="0.35">
      <c r="A194"/>
      <c r="B194"/>
    </row>
    <row r="195" spans="1:2" ht="12.75" customHeight="1" x14ac:dyDescent="0.35">
      <c r="A195"/>
      <c r="B195"/>
    </row>
    <row r="196" spans="1:2" ht="12.75" customHeight="1" x14ac:dyDescent="0.35">
      <c r="A196"/>
      <c r="B196"/>
    </row>
    <row r="197" spans="1:2" ht="12.75" customHeight="1" x14ac:dyDescent="0.35">
      <c r="A197"/>
      <c r="B197"/>
    </row>
    <row r="198" spans="1:2" ht="12.75" customHeight="1" x14ac:dyDescent="0.35">
      <c r="A198"/>
      <c r="B198"/>
    </row>
    <row r="199" spans="1:2" ht="12.75" customHeight="1" x14ac:dyDescent="0.35">
      <c r="A199"/>
      <c r="B199"/>
    </row>
    <row r="200" spans="1:2" ht="12.75" customHeight="1" x14ac:dyDescent="0.35">
      <c r="A200"/>
      <c r="B200"/>
    </row>
    <row r="201" spans="1:2" ht="12.75" customHeight="1" x14ac:dyDescent="0.35">
      <c r="A201"/>
      <c r="B201"/>
    </row>
    <row r="202" spans="1:2" ht="12.75" customHeight="1" x14ac:dyDescent="0.35">
      <c r="A202"/>
      <c r="B202"/>
    </row>
    <row r="203" spans="1:2" ht="12.75" customHeight="1" x14ac:dyDescent="0.35">
      <c r="A203"/>
      <c r="B203"/>
    </row>
    <row r="204" spans="1:2" ht="12.75" customHeight="1" x14ac:dyDescent="0.35">
      <c r="A204"/>
      <c r="B204"/>
    </row>
    <row r="205" spans="1:2" ht="12.75" customHeight="1" x14ac:dyDescent="0.35">
      <c r="A205"/>
      <c r="B205"/>
    </row>
    <row r="206" spans="1:2" ht="12.75" customHeight="1" x14ac:dyDescent="0.35">
      <c r="A206"/>
      <c r="B206"/>
    </row>
    <row r="207" spans="1:2" ht="12.75" customHeight="1" x14ac:dyDescent="0.35">
      <c r="A207"/>
      <c r="B207"/>
    </row>
    <row r="208" spans="1:2" ht="12.75" customHeight="1" x14ac:dyDescent="0.35">
      <c r="A208"/>
      <c r="B208"/>
    </row>
    <row r="209" spans="1:4" ht="12.75" customHeight="1" x14ac:dyDescent="0.35">
      <c r="A209"/>
      <c r="B209"/>
    </row>
    <row r="210" spans="1:4" ht="12.75" customHeight="1" x14ac:dyDescent="0.35">
      <c r="A210"/>
      <c r="B210"/>
    </row>
    <row r="211" spans="1:4" ht="12.75" customHeight="1" x14ac:dyDescent="0.35">
      <c r="A211"/>
      <c r="B211"/>
    </row>
    <row r="212" spans="1:4" ht="12.75" customHeight="1" x14ac:dyDescent="0.35">
      <c r="A212"/>
      <c r="B212"/>
    </row>
    <row r="213" spans="1:4" ht="12.75" customHeight="1" x14ac:dyDescent="0.35">
      <c r="A213"/>
      <c r="B213"/>
    </row>
    <row r="214" spans="1:4" ht="12.75" customHeight="1" x14ac:dyDescent="0.35">
      <c r="A214"/>
      <c r="B214"/>
    </row>
    <row r="215" spans="1:4" ht="12.75" customHeight="1" x14ac:dyDescent="0.35">
      <c r="A215"/>
      <c r="B215"/>
    </row>
    <row r="216" spans="1:4" ht="12.75" customHeight="1" x14ac:dyDescent="0.35">
      <c r="A216"/>
      <c r="B216"/>
    </row>
    <row r="217" spans="1:4" ht="12.75" customHeight="1" x14ac:dyDescent="0.35">
      <c r="A217"/>
      <c r="B217"/>
    </row>
    <row r="218" spans="1:4" ht="12.75" customHeight="1" x14ac:dyDescent="0.35">
      <c r="A218"/>
      <c r="B218"/>
    </row>
    <row r="219" spans="1:4" ht="12.75" customHeight="1" x14ac:dyDescent="0.35">
      <c r="A219"/>
      <c r="B219"/>
    </row>
    <row r="220" spans="1:4" ht="12.75" customHeight="1" x14ac:dyDescent="0.35">
      <c r="A220"/>
      <c r="B220"/>
    </row>
    <row r="221" spans="1:4" ht="12.75" customHeight="1" x14ac:dyDescent="0.35">
      <c r="A221"/>
      <c r="B221"/>
      <c r="C221" s="97" t="s">
        <v>4370</v>
      </c>
    </row>
    <row r="222" spans="1:4" ht="12.75" customHeight="1" x14ac:dyDescent="0.35">
      <c r="A222"/>
      <c r="B222"/>
    </row>
    <row r="223" spans="1:4" ht="12.75" customHeight="1" x14ac:dyDescent="0.35">
      <c r="A223"/>
      <c r="B223"/>
      <c r="D223" s="97" t="s">
        <v>2330</v>
      </c>
    </row>
    <row r="224" spans="1:4" ht="12.75" customHeight="1" x14ac:dyDescent="0.35">
      <c r="D224" s="97" t="s">
        <v>4371</v>
      </c>
    </row>
    <row r="225" spans="4:4" ht="12.75" customHeight="1" x14ac:dyDescent="0.35">
      <c r="D225" s="97" t="s">
        <v>4372</v>
      </c>
    </row>
  </sheetData>
  <printOptions gridLines="1"/>
  <pageMargins left="0.75" right="0.75" top="1" bottom="1" header="0.5" footer="0.5"/>
  <pageSetup paperSize="9" orientation="portrait" r:id="rId1"/>
  <headerFooter>
    <oddHeader>&amp;C&amp;A</oddHeader>
    <oddFooter>&amp;CPage &amp;P</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6">
    <pageSetUpPr autoPageBreaks="0"/>
  </sheetPr>
  <dimension ref="C1:H225"/>
  <sheetViews>
    <sheetView workbookViewId="0">
      <selection sqref="A1:XFD1048576"/>
    </sheetView>
  </sheetViews>
  <sheetFormatPr defaultColWidth="9.1796875" defaultRowHeight="14.5" x14ac:dyDescent="0.35"/>
  <cols>
    <col min="1" max="16384" width="9.1796875" style="1295"/>
  </cols>
  <sheetData>
    <row r="1" spans="3:4" ht="12.75" customHeight="1" x14ac:dyDescent="0.35"/>
    <row r="2" spans="3:4" ht="12.75" customHeight="1" x14ac:dyDescent="0.35"/>
    <row r="3" spans="3:4" ht="12.75" customHeight="1" x14ac:dyDescent="0.35">
      <c r="C3" s="1295" t="s">
        <v>5881</v>
      </c>
      <c r="D3" s="97"/>
    </row>
    <row r="4" spans="3:4" ht="12.75" customHeight="1" x14ac:dyDescent="0.35"/>
    <row r="5" spans="3:4" ht="12.75" customHeight="1" x14ac:dyDescent="0.35">
      <c r="D5" s="97" t="s">
        <v>5882</v>
      </c>
    </row>
    <row r="6" spans="3:4" ht="12.75" customHeight="1" x14ac:dyDescent="0.35">
      <c r="D6" s="1295" t="s">
        <v>4361</v>
      </c>
    </row>
    <row r="7" spans="3:4" ht="12.75" customHeight="1" x14ac:dyDescent="0.35">
      <c r="D7" s="97" t="s">
        <v>5615</v>
      </c>
    </row>
    <row r="8" spans="3:4" ht="12.75" customHeight="1" x14ac:dyDescent="0.35"/>
    <row r="9" spans="3:4" ht="12.75" hidden="1" customHeight="1" x14ac:dyDescent="0.35"/>
    <row r="10" spans="3:4" ht="12.75" hidden="1" customHeight="1" x14ac:dyDescent="0.35"/>
    <row r="11" spans="3:4" ht="12.75" hidden="1" customHeight="1" x14ac:dyDescent="0.35"/>
    <row r="12" spans="3:4" ht="12.75" hidden="1" customHeight="1" x14ac:dyDescent="0.35"/>
    <row r="13" spans="3:4" ht="12.75" hidden="1" customHeight="1" x14ac:dyDescent="0.35"/>
    <row r="14" spans="3:4" ht="12.75" hidden="1" customHeight="1" x14ac:dyDescent="0.35"/>
    <row r="15" spans="3:4" ht="12.75" hidden="1" customHeight="1" x14ac:dyDescent="0.35"/>
    <row r="16" spans="3:4" ht="12.75" hidden="1" customHeight="1" x14ac:dyDescent="0.35"/>
    <row r="17" ht="12.75" hidden="1" customHeight="1" x14ac:dyDescent="0.35"/>
    <row r="18" ht="12.75" hidden="1" customHeight="1" x14ac:dyDescent="0.35"/>
    <row r="19" ht="12.75" hidden="1" customHeight="1" x14ac:dyDescent="0.35"/>
    <row r="20" ht="12.75" hidden="1" customHeight="1" x14ac:dyDescent="0.35"/>
    <row r="21" ht="12.75" hidden="1" customHeight="1" x14ac:dyDescent="0.35"/>
    <row r="22" ht="12.75" hidden="1" customHeight="1" x14ac:dyDescent="0.35"/>
    <row r="23" ht="12.75" hidden="1" customHeight="1" x14ac:dyDescent="0.35"/>
    <row r="24" ht="12.75" hidden="1" customHeight="1" x14ac:dyDescent="0.35"/>
    <row r="25" ht="12.75" hidden="1" customHeight="1" x14ac:dyDescent="0.35"/>
    <row r="26" ht="12.75" hidden="1" customHeight="1" x14ac:dyDescent="0.35"/>
    <row r="27" ht="12.75" hidden="1" customHeight="1" x14ac:dyDescent="0.35"/>
    <row r="28" ht="12.75" hidden="1" customHeight="1" x14ac:dyDescent="0.35"/>
    <row r="29" ht="12.75" hidden="1" customHeight="1" x14ac:dyDescent="0.35"/>
    <row r="30" ht="12.75" hidden="1" customHeight="1" x14ac:dyDescent="0.35"/>
    <row r="31" ht="12.75" hidden="1" customHeight="1" x14ac:dyDescent="0.35"/>
    <row r="32" ht="12.75" hidden="1" customHeight="1" x14ac:dyDescent="0.35"/>
    <row r="33" spans="3:4" ht="12.75" hidden="1" customHeight="1" x14ac:dyDescent="0.35"/>
    <row r="34" spans="3:4" ht="12.75" hidden="1" customHeight="1" x14ac:dyDescent="0.35"/>
    <row r="35" spans="3:4" ht="12.75" hidden="1" customHeight="1" x14ac:dyDescent="0.35"/>
    <row r="36" spans="3:4" ht="12.75" hidden="1" customHeight="1" x14ac:dyDescent="0.35"/>
    <row r="37" spans="3:4" ht="12.75" hidden="1" customHeight="1" x14ac:dyDescent="0.35"/>
    <row r="38" spans="3:4" ht="12.75" hidden="1" customHeight="1" x14ac:dyDescent="0.35"/>
    <row r="39" spans="3:4" ht="12.75" hidden="1" customHeight="1" x14ac:dyDescent="0.35"/>
    <row r="40" spans="3:4" ht="12.75" hidden="1" customHeight="1" x14ac:dyDescent="0.35"/>
    <row r="41" spans="3:4" ht="12.75" hidden="1" customHeight="1" x14ac:dyDescent="0.35"/>
    <row r="42" spans="3:4" ht="12.75" hidden="1" customHeight="1" x14ac:dyDescent="0.35"/>
    <row r="43" spans="3:4" ht="12.75" customHeight="1" x14ac:dyDescent="0.35"/>
    <row r="44" spans="3:4" ht="12.75" customHeight="1" x14ac:dyDescent="0.35">
      <c r="C44" s="97" t="s">
        <v>5616</v>
      </c>
    </row>
    <row r="45" spans="3:4" ht="12.75" customHeight="1" x14ac:dyDescent="0.35"/>
    <row r="46" spans="3:4" ht="12.75" customHeight="1" x14ac:dyDescent="0.35">
      <c r="D46" s="97" t="str">
        <f>" Общо инвестиции, "&amp;IF(Figures&gt;1,Figures&amp;" ","")&amp;Currency</f>
        <v xml:space="preserve"> Общо инвестиции, Euro</v>
      </c>
    </row>
    <row r="47" spans="3:4" ht="12.75" customHeight="1" x14ac:dyDescent="0.35"/>
    <row r="48" spans="3:4" ht="12.75" hidden="1" customHeight="1" x14ac:dyDescent="0.35"/>
    <row r="49" ht="12.75" hidden="1" customHeight="1" x14ac:dyDescent="0.35"/>
    <row r="50" ht="12.75" hidden="1" customHeight="1" x14ac:dyDescent="0.35"/>
    <row r="51" ht="12.75" hidden="1" customHeight="1" x14ac:dyDescent="0.35"/>
    <row r="52" ht="12.75" hidden="1" customHeight="1" x14ac:dyDescent="0.35"/>
    <row r="53" ht="12.75" hidden="1" customHeight="1" x14ac:dyDescent="0.35"/>
    <row r="54" ht="12.75" hidden="1" customHeight="1" x14ac:dyDescent="0.35"/>
    <row r="55" ht="12.75" hidden="1" customHeight="1" x14ac:dyDescent="0.35"/>
    <row r="56" ht="12.75" hidden="1" customHeight="1" x14ac:dyDescent="0.35"/>
    <row r="57" ht="12.75" hidden="1" customHeight="1" x14ac:dyDescent="0.35"/>
    <row r="58" ht="12.75" hidden="1" customHeight="1" x14ac:dyDescent="0.35"/>
    <row r="59" ht="12.75" hidden="1" customHeight="1" x14ac:dyDescent="0.35"/>
    <row r="60" ht="12.75" hidden="1" customHeight="1" x14ac:dyDescent="0.35"/>
    <row r="61" ht="12.75" hidden="1" customHeight="1" x14ac:dyDescent="0.35"/>
    <row r="62" ht="12.75" hidden="1" customHeight="1" x14ac:dyDescent="0.35"/>
    <row r="63" ht="12.75" hidden="1" customHeight="1" x14ac:dyDescent="0.35"/>
    <row r="64" ht="12.75" hidden="1" customHeight="1" x14ac:dyDescent="0.35"/>
    <row r="65" spans="4:6" ht="12.75" hidden="1" customHeight="1" x14ac:dyDescent="0.35"/>
    <row r="66" spans="4:6" ht="12.75" hidden="1" customHeight="1" x14ac:dyDescent="0.35"/>
    <row r="67" spans="4:6" ht="12.75" hidden="1" customHeight="1" x14ac:dyDescent="0.35"/>
    <row r="68" spans="4:6" ht="12.75" hidden="1" customHeight="1" x14ac:dyDescent="0.35"/>
    <row r="69" spans="4:6" ht="12.75" hidden="1" customHeight="1" x14ac:dyDescent="0.35"/>
    <row r="70" spans="4:6" ht="12.75" hidden="1" customHeight="1" x14ac:dyDescent="0.35"/>
    <row r="71" spans="4:6" ht="12.75" hidden="1" customHeight="1" x14ac:dyDescent="0.35"/>
    <row r="72" spans="4:6" ht="12.75" hidden="1" customHeight="1" x14ac:dyDescent="0.35"/>
    <row r="73" spans="4:6" ht="12.75" hidden="1" customHeight="1" x14ac:dyDescent="0.35"/>
    <row r="74" spans="4:6" ht="12.75" hidden="1" customHeight="1" x14ac:dyDescent="0.35"/>
    <row r="75" spans="4:6" ht="12.75" hidden="1" customHeight="1" x14ac:dyDescent="0.35"/>
    <row r="76" spans="4:6" ht="12.75" hidden="1" customHeight="1" x14ac:dyDescent="0.35"/>
    <row r="77" spans="4:6" ht="12.75" customHeight="1" x14ac:dyDescent="0.35"/>
    <row r="78" spans="4:6" ht="12.75" customHeight="1" x14ac:dyDescent="0.35">
      <c r="D78" s="1295" t="s">
        <v>5617</v>
      </c>
      <c r="F78" s="97"/>
    </row>
    <row r="79" spans="4:6" ht="12.75" customHeight="1" x14ac:dyDescent="0.35"/>
    <row r="80" spans="4:6" ht="12.75" hidden="1" customHeight="1" x14ac:dyDescent="0.35"/>
    <row r="81" spans="3:7" ht="12.75" hidden="1" customHeight="1" x14ac:dyDescent="0.35"/>
    <row r="82" spans="3:7" ht="12.75" hidden="1" customHeight="1" x14ac:dyDescent="0.35"/>
    <row r="83" spans="3:7" ht="12.75" hidden="1" customHeight="1" x14ac:dyDescent="0.35"/>
    <row r="84" spans="3:7" ht="12.75" hidden="1" customHeight="1" x14ac:dyDescent="0.35"/>
    <row r="85" spans="3:7" ht="12.75" hidden="1" customHeight="1" x14ac:dyDescent="0.35"/>
    <row r="86" spans="3:7" ht="12.75" hidden="1" customHeight="1" x14ac:dyDescent="0.35"/>
    <row r="87" spans="3:7" ht="12.75" hidden="1" customHeight="1" x14ac:dyDescent="0.35"/>
    <row r="88" spans="3:7" ht="12.75" customHeight="1" x14ac:dyDescent="0.35"/>
    <row r="89" spans="3:7" ht="12.75" customHeight="1" x14ac:dyDescent="0.35">
      <c r="C89" s="1295" t="s">
        <v>5883</v>
      </c>
      <c r="G89" s="97"/>
    </row>
    <row r="90" spans="3:7" ht="12.75" customHeight="1" x14ac:dyDescent="0.35"/>
    <row r="91" spans="3:7" ht="12.75" customHeight="1" x14ac:dyDescent="0.35">
      <c r="D91" s="97" t="s">
        <v>5618</v>
      </c>
    </row>
    <row r="92" spans="3:7" ht="12.75" customHeight="1" x14ac:dyDescent="0.35"/>
    <row r="93" spans="3:7" ht="12.75" hidden="1" customHeight="1" x14ac:dyDescent="0.35"/>
    <row r="94" spans="3:7" ht="12.75" hidden="1" customHeight="1" x14ac:dyDescent="0.35"/>
    <row r="95" spans="3:7" ht="12.75" hidden="1" customHeight="1" x14ac:dyDescent="0.35"/>
    <row r="96" spans="3:7" ht="12.75" hidden="1" customHeight="1" x14ac:dyDescent="0.35"/>
    <row r="97" ht="12.75" hidden="1" customHeight="1" x14ac:dyDescent="0.35"/>
    <row r="98" ht="12.75" hidden="1" customHeight="1" x14ac:dyDescent="0.35"/>
    <row r="99" ht="12.75" hidden="1" customHeight="1" x14ac:dyDescent="0.35"/>
    <row r="100" ht="12.75" hidden="1" customHeight="1" x14ac:dyDescent="0.35"/>
    <row r="101" ht="12.75" hidden="1" customHeight="1" x14ac:dyDescent="0.35"/>
    <row r="102" ht="12.75" hidden="1" customHeight="1" x14ac:dyDescent="0.35"/>
    <row r="103" ht="12.75" hidden="1" customHeight="1" x14ac:dyDescent="0.35"/>
    <row r="104" ht="12.75" hidden="1" customHeight="1" x14ac:dyDescent="0.35"/>
    <row r="105" ht="12.75" hidden="1" customHeight="1" x14ac:dyDescent="0.35"/>
    <row r="106" ht="12.75" hidden="1" customHeight="1" x14ac:dyDescent="0.35"/>
    <row r="107" ht="12.75" hidden="1" customHeight="1" x14ac:dyDescent="0.35"/>
    <row r="108" ht="12.75" hidden="1" customHeight="1" x14ac:dyDescent="0.35"/>
    <row r="109" ht="12.75" hidden="1" customHeight="1" x14ac:dyDescent="0.35"/>
    <row r="110" ht="12.75" hidden="1" customHeight="1" x14ac:dyDescent="0.35"/>
    <row r="111" ht="12.75" hidden="1" customHeight="1" x14ac:dyDescent="0.35"/>
    <row r="112" ht="12.75" hidden="1" customHeight="1" x14ac:dyDescent="0.35"/>
    <row r="113" ht="12.75" hidden="1" customHeight="1" x14ac:dyDescent="0.35"/>
    <row r="114" ht="12.75" hidden="1" customHeight="1" x14ac:dyDescent="0.35"/>
    <row r="115" ht="12.75" hidden="1" customHeight="1" x14ac:dyDescent="0.35"/>
    <row r="116" ht="12.75" hidden="1" customHeight="1" x14ac:dyDescent="0.35"/>
    <row r="117" ht="12.75" hidden="1" customHeight="1" x14ac:dyDescent="0.35"/>
    <row r="118" ht="12.75" hidden="1" customHeight="1" x14ac:dyDescent="0.35"/>
    <row r="119" ht="12.75" hidden="1" customHeight="1" x14ac:dyDescent="0.35"/>
    <row r="120" ht="12.75" hidden="1" customHeight="1" x14ac:dyDescent="0.35"/>
    <row r="121" ht="12.75" hidden="1" customHeight="1" x14ac:dyDescent="0.35"/>
    <row r="122" ht="12.75" hidden="1" customHeight="1" x14ac:dyDescent="0.35"/>
    <row r="123" ht="12.75" hidden="1" customHeight="1" x14ac:dyDescent="0.35"/>
    <row r="124" ht="12.75" hidden="1" customHeight="1" x14ac:dyDescent="0.35"/>
    <row r="125" ht="12.75" hidden="1" customHeight="1" x14ac:dyDescent="0.35"/>
    <row r="126" ht="12.75" hidden="1" customHeight="1" x14ac:dyDescent="0.35"/>
    <row r="127" ht="12.75" hidden="1" customHeight="1" x14ac:dyDescent="0.35"/>
    <row r="128" ht="12.75" hidden="1" customHeight="1" x14ac:dyDescent="0.35"/>
    <row r="129" spans="3:8" ht="12.75" hidden="1" customHeight="1" x14ac:dyDescent="0.35"/>
    <row r="130" spans="3:8" ht="12.75" hidden="1" customHeight="1" x14ac:dyDescent="0.35"/>
    <row r="131" spans="3:8" ht="12.75" hidden="1" customHeight="1" x14ac:dyDescent="0.35"/>
    <row r="132" spans="3:8" ht="12.75" customHeight="1" x14ac:dyDescent="0.35"/>
    <row r="133" spans="3:8" ht="12.75" customHeight="1" x14ac:dyDescent="0.35">
      <c r="C133" s="97" t="s">
        <v>5619</v>
      </c>
    </row>
    <row r="134" spans="3:8" ht="12.75" customHeight="1" x14ac:dyDescent="0.35"/>
    <row r="135" spans="3:8" ht="12.75" customHeight="1" x14ac:dyDescent="0.35">
      <c r="D135" s="97" t="s">
        <v>5620</v>
      </c>
      <c r="H135" s="97"/>
    </row>
    <row r="136" spans="3:8" ht="12.75" customHeight="1" x14ac:dyDescent="0.35"/>
    <row r="137" spans="3:8" ht="12.75" hidden="1" customHeight="1" x14ac:dyDescent="0.35"/>
    <row r="138" spans="3:8" ht="12.75" hidden="1" customHeight="1" x14ac:dyDescent="0.35"/>
    <row r="139" spans="3:8" ht="12.75" hidden="1" customHeight="1" x14ac:dyDescent="0.35"/>
    <row r="140" spans="3:8" ht="12.75" hidden="1" customHeight="1" x14ac:dyDescent="0.35"/>
    <row r="141" spans="3:8" ht="12.75" hidden="1" customHeight="1" x14ac:dyDescent="0.35"/>
    <row r="142" spans="3:8" ht="12.75" hidden="1" customHeight="1" x14ac:dyDescent="0.35"/>
    <row r="143" spans="3:8" ht="12.75" hidden="1" customHeight="1" x14ac:dyDescent="0.35"/>
    <row r="144" spans="3:8" ht="12.75" hidden="1" customHeight="1" x14ac:dyDescent="0.35"/>
    <row r="145" ht="12.75" hidden="1" customHeight="1" x14ac:dyDescent="0.35"/>
    <row r="146" ht="12.75" hidden="1" customHeight="1" x14ac:dyDescent="0.35"/>
    <row r="147" ht="12.75" hidden="1" customHeight="1" x14ac:dyDescent="0.35"/>
    <row r="148" ht="12.75" hidden="1" customHeight="1" x14ac:dyDescent="0.35"/>
    <row r="149" ht="12.75" hidden="1" customHeight="1" x14ac:dyDescent="0.35"/>
    <row r="150" ht="12.75" hidden="1" customHeight="1" x14ac:dyDescent="0.35"/>
    <row r="151" ht="12.75" hidden="1" customHeight="1" x14ac:dyDescent="0.35"/>
    <row r="152" ht="12.75" hidden="1" customHeight="1" x14ac:dyDescent="0.35"/>
    <row r="153" ht="12.75" hidden="1" customHeight="1" x14ac:dyDescent="0.35"/>
    <row r="154" ht="12.75" hidden="1" customHeight="1" x14ac:dyDescent="0.35"/>
    <row r="155" ht="12.75" hidden="1" customHeight="1" x14ac:dyDescent="0.35"/>
    <row r="156" ht="12.75" hidden="1" customHeight="1" x14ac:dyDescent="0.35"/>
    <row r="157" ht="12.75" hidden="1" customHeight="1" x14ac:dyDescent="0.35"/>
    <row r="158" ht="12.75" hidden="1" customHeight="1" x14ac:dyDescent="0.35"/>
    <row r="159" ht="12.75" hidden="1" customHeight="1" x14ac:dyDescent="0.35"/>
    <row r="160" ht="12.75" hidden="1" customHeight="1" x14ac:dyDescent="0.35"/>
    <row r="161" ht="12.75" hidden="1" customHeight="1" x14ac:dyDescent="0.35"/>
    <row r="162" ht="12.75" hidden="1" customHeight="1" x14ac:dyDescent="0.35"/>
    <row r="163" ht="12.75" hidden="1" customHeight="1" x14ac:dyDescent="0.35"/>
    <row r="164" ht="12.75" hidden="1" customHeight="1" x14ac:dyDescent="0.35"/>
    <row r="165" ht="12.75" hidden="1" customHeight="1" x14ac:dyDescent="0.35"/>
    <row r="166" ht="12.75" hidden="1" customHeight="1" x14ac:dyDescent="0.35"/>
    <row r="167" ht="12.75" hidden="1" customHeight="1" x14ac:dyDescent="0.35"/>
    <row r="168" ht="12.75" hidden="1" customHeight="1" x14ac:dyDescent="0.35"/>
    <row r="169" ht="12.75" hidden="1" customHeight="1" x14ac:dyDescent="0.35"/>
    <row r="170" ht="12.75" hidden="1" customHeight="1" x14ac:dyDescent="0.35"/>
    <row r="171" ht="12.75" hidden="1" customHeight="1" x14ac:dyDescent="0.35"/>
    <row r="172" ht="12.75" hidden="1" customHeight="1" x14ac:dyDescent="0.35"/>
    <row r="173" ht="12.75" hidden="1" customHeight="1" x14ac:dyDescent="0.35"/>
    <row r="174" ht="12.75" hidden="1" customHeight="1" x14ac:dyDescent="0.35"/>
    <row r="175" ht="12.75" hidden="1" customHeight="1" x14ac:dyDescent="0.35"/>
    <row r="176" ht="12.75" customHeight="1" x14ac:dyDescent="0.35"/>
    <row r="177" spans="3:4" ht="12.75" customHeight="1" x14ac:dyDescent="0.35">
      <c r="C177" s="97" t="s">
        <v>5621</v>
      </c>
    </row>
    <row r="178" spans="3:4" ht="12.75" customHeight="1" x14ac:dyDescent="0.35"/>
    <row r="179" spans="3:4" ht="12.75" customHeight="1" x14ac:dyDescent="0.35">
      <c r="D179" s="97" t="s">
        <v>5622</v>
      </c>
    </row>
    <row r="180" spans="3:4" ht="12.75" customHeight="1" x14ac:dyDescent="0.35"/>
    <row r="181" spans="3:4" ht="12.75" hidden="1" customHeight="1" x14ac:dyDescent="0.35"/>
    <row r="182" spans="3:4" ht="12.75" hidden="1" customHeight="1" x14ac:dyDescent="0.35"/>
    <row r="183" spans="3:4" ht="12.75" hidden="1" customHeight="1" x14ac:dyDescent="0.35"/>
    <row r="184" spans="3:4" ht="12.75" hidden="1" customHeight="1" x14ac:dyDescent="0.35"/>
    <row r="185" spans="3:4" ht="12.75" hidden="1" customHeight="1" x14ac:dyDescent="0.35"/>
    <row r="186" spans="3:4" ht="12.75" hidden="1" customHeight="1" x14ac:dyDescent="0.35"/>
    <row r="187" spans="3:4" ht="12.75" hidden="1" customHeight="1" x14ac:dyDescent="0.35"/>
    <row r="188" spans="3:4" ht="12.75" hidden="1" customHeight="1" x14ac:dyDescent="0.35"/>
    <row r="189" spans="3:4" ht="12.75" hidden="1" customHeight="1" x14ac:dyDescent="0.35"/>
    <row r="190" spans="3:4" ht="12.75" hidden="1" customHeight="1" x14ac:dyDescent="0.35"/>
    <row r="191" spans="3:4" ht="12.75" hidden="1" customHeight="1" x14ac:dyDescent="0.35"/>
    <row r="192" spans="3:4" ht="12.75" hidden="1" customHeight="1" x14ac:dyDescent="0.35"/>
    <row r="193" ht="12.75" hidden="1" customHeight="1" x14ac:dyDescent="0.35"/>
    <row r="194" ht="12.75" hidden="1" customHeight="1" x14ac:dyDescent="0.35"/>
    <row r="195" ht="12.75" hidden="1" customHeight="1" x14ac:dyDescent="0.35"/>
    <row r="196" ht="12.75" hidden="1" customHeight="1" x14ac:dyDescent="0.35"/>
    <row r="197" ht="12.75" hidden="1" customHeight="1" x14ac:dyDescent="0.35"/>
    <row r="198" ht="12.75" hidden="1" customHeight="1" x14ac:dyDescent="0.35"/>
    <row r="199" ht="12.75" hidden="1" customHeight="1" x14ac:dyDescent="0.35"/>
    <row r="200" ht="12.75" hidden="1" customHeight="1" x14ac:dyDescent="0.35"/>
    <row r="201" ht="12.75" hidden="1" customHeight="1" x14ac:dyDescent="0.35"/>
    <row r="202" ht="12.75" hidden="1" customHeight="1" x14ac:dyDescent="0.35"/>
    <row r="203" ht="12.75" hidden="1" customHeight="1" x14ac:dyDescent="0.35"/>
    <row r="204" ht="12.75" hidden="1" customHeight="1" x14ac:dyDescent="0.35"/>
    <row r="205" ht="12.75" hidden="1" customHeight="1" x14ac:dyDescent="0.35"/>
    <row r="206" ht="12.75" hidden="1" customHeight="1" x14ac:dyDescent="0.35"/>
    <row r="207" ht="12.75" hidden="1" customHeight="1" x14ac:dyDescent="0.35"/>
    <row r="208" ht="12.75" hidden="1" customHeight="1" x14ac:dyDescent="0.35"/>
    <row r="209" spans="3:4" ht="12.75" hidden="1" customHeight="1" x14ac:dyDescent="0.35"/>
    <row r="210" spans="3:4" ht="12.75" hidden="1" customHeight="1" x14ac:dyDescent="0.35"/>
    <row r="211" spans="3:4" ht="12.75" hidden="1" customHeight="1" x14ac:dyDescent="0.35"/>
    <row r="212" spans="3:4" ht="12.75" hidden="1" customHeight="1" x14ac:dyDescent="0.35"/>
    <row r="213" spans="3:4" ht="12.75" hidden="1" customHeight="1" x14ac:dyDescent="0.35"/>
    <row r="214" spans="3:4" ht="12.75" hidden="1" customHeight="1" x14ac:dyDescent="0.35"/>
    <row r="215" spans="3:4" ht="12.75" hidden="1" customHeight="1" x14ac:dyDescent="0.35"/>
    <row r="216" spans="3:4" ht="12.75" hidden="1" customHeight="1" x14ac:dyDescent="0.35"/>
    <row r="217" spans="3:4" ht="12.75" hidden="1" customHeight="1" x14ac:dyDescent="0.35"/>
    <row r="218" spans="3:4" ht="12.75" hidden="1" customHeight="1" x14ac:dyDescent="0.35"/>
    <row r="219" spans="3:4" ht="12.75" hidden="1" customHeight="1" x14ac:dyDescent="0.35"/>
    <row r="220" spans="3:4" ht="12.75" customHeight="1" x14ac:dyDescent="0.35"/>
    <row r="221" spans="3:4" ht="12.75" customHeight="1" x14ac:dyDescent="0.35">
      <c r="C221" s="97" t="s">
        <v>5884</v>
      </c>
    </row>
    <row r="222" spans="3:4" ht="12.75" customHeight="1" x14ac:dyDescent="0.35"/>
    <row r="223" spans="3:4" ht="12.75" customHeight="1" x14ac:dyDescent="0.35">
      <c r="D223" s="97" t="s">
        <v>5623</v>
      </c>
    </row>
    <row r="224" spans="3:4" ht="12.75" customHeight="1" x14ac:dyDescent="0.35">
      <c r="D224" s="97" t="s">
        <v>5624</v>
      </c>
    </row>
    <row r="225" spans="4:4" ht="12.75" customHeight="1" x14ac:dyDescent="0.35">
      <c r="D225" s="97" t="s">
        <v>5625</v>
      </c>
    </row>
  </sheetData>
  <printOptions gridLines="1"/>
  <pageMargins left="0.75" right="0.75" top="1" bottom="1" header="0.5" footer="0.5"/>
  <pageSetup paperSize="9" orientation="portrait" r:id="rId1"/>
  <headerFooter>
    <oddHeader>&amp;C&amp;A</oddHeader>
    <oddFooter>&amp;CPage &amp;P</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9">
    <tabColor theme="9" tint="-0.249977111117893"/>
    <pageSetUpPr autoPageBreaks="0"/>
  </sheetPr>
  <dimension ref="A1:D120"/>
  <sheetViews>
    <sheetView workbookViewId="0">
      <selection activeCell="C6" sqref="C6"/>
    </sheetView>
  </sheetViews>
  <sheetFormatPr defaultColWidth="9.1796875" defaultRowHeight="14.5" x14ac:dyDescent="0.35"/>
  <cols>
    <col min="1" max="16384" width="9.1796875" style="97"/>
  </cols>
  <sheetData>
    <row r="1" spans="1:4" ht="12.75" customHeight="1" x14ac:dyDescent="0.35">
      <c r="A1"/>
      <c r="B1" s="4"/>
    </row>
    <row r="2" spans="1:4" ht="12.75" customHeight="1" x14ac:dyDescent="0.35">
      <c r="A2"/>
      <c r="B2"/>
    </row>
    <row r="3" spans="1:4" ht="12.75" customHeight="1" x14ac:dyDescent="0.35">
      <c r="A3"/>
      <c r="B3"/>
    </row>
    <row r="4" spans="1:4" ht="12.75" customHeight="1" x14ac:dyDescent="0.35">
      <c r="A4"/>
      <c r="B4"/>
      <c r="D4" s="97" t="s">
        <v>4373</v>
      </c>
    </row>
    <row r="5" spans="1:4" ht="12.75" customHeight="1" x14ac:dyDescent="0.35">
      <c r="A5"/>
      <c r="B5"/>
    </row>
    <row r="6" spans="1:4" ht="12.75" customHeight="1" x14ac:dyDescent="0.35">
      <c r="A6"/>
      <c r="B6"/>
      <c r="C6" s="159" t="s">
        <v>554</v>
      </c>
    </row>
    <row r="7" spans="1:4" ht="12.75" customHeight="1" x14ac:dyDescent="0.35">
      <c r="A7"/>
      <c r="B7"/>
    </row>
    <row r="8" spans="1:4" ht="12.75" customHeight="1" x14ac:dyDescent="0.35">
      <c r="A8"/>
      <c r="B8"/>
      <c r="C8" s="97" t="s">
        <v>1697</v>
      </c>
    </row>
    <row r="9" spans="1:4" ht="12.75" customHeight="1" x14ac:dyDescent="0.35">
      <c r="A9"/>
      <c r="B9"/>
      <c r="C9" s="97" t="s">
        <v>1698</v>
      </c>
    </row>
    <row r="10" spans="1:4" ht="12.75" customHeight="1" x14ac:dyDescent="0.35">
      <c r="A10"/>
      <c r="B10"/>
      <c r="C10" s="97" t="s">
        <v>1699</v>
      </c>
    </row>
    <row r="11" spans="1:4" ht="12.75" customHeight="1" x14ac:dyDescent="0.35">
      <c r="A11"/>
      <c r="B11"/>
      <c r="C11" s="97" t="s">
        <v>1700</v>
      </c>
    </row>
    <row r="12" spans="1:4" ht="12.75" customHeight="1" x14ac:dyDescent="0.35">
      <c r="A12"/>
      <c r="B12"/>
      <c r="C12" s="97" t="s">
        <v>1701</v>
      </c>
    </row>
    <row r="13" spans="1:4" ht="12.75" customHeight="1" x14ac:dyDescent="0.35">
      <c r="A13"/>
      <c r="B13"/>
      <c r="C13" s="97" t="s">
        <v>1702</v>
      </c>
    </row>
    <row r="14" spans="1:4" ht="12.75" customHeight="1" x14ac:dyDescent="0.35">
      <c r="A14"/>
      <c r="B14"/>
      <c r="C14" s="97" t="s">
        <v>1703</v>
      </c>
    </row>
    <row r="15" spans="1:4" ht="12.75" customHeight="1" x14ac:dyDescent="0.35">
      <c r="A15"/>
      <c r="B15"/>
      <c r="C15" s="97" t="s">
        <v>649</v>
      </c>
    </row>
    <row r="16" spans="1:4" ht="12.75" customHeight="1" x14ac:dyDescent="0.35">
      <c r="A16"/>
      <c r="B16"/>
      <c r="C16" s="97" t="s">
        <v>4374</v>
      </c>
    </row>
    <row r="17" spans="1:3" ht="12.75" customHeight="1" x14ac:dyDescent="0.35">
      <c r="A17"/>
      <c r="B17"/>
    </row>
    <row r="18" spans="1:3" ht="12.75" customHeight="1" x14ac:dyDescent="0.35">
      <c r="A18"/>
      <c r="B18"/>
      <c r="C18" s="97" t="s">
        <v>1707</v>
      </c>
    </row>
    <row r="19" spans="1:3" ht="12.75" customHeight="1" x14ac:dyDescent="0.35">
      <c r="A19"/>
      <c r="B19"/>
      <c r="C19" s="97" t="s">
        <v>1709</v>
      </c>
    </row>
    <row r="20" spans="1:3" ht="12.75" customHeight="1" x14ac:dyDescent="0.35">
      <c r="A20"/>
      <c r="B20"/>
      <c r="C20" s="97" t="s">
        <v>1711</v>
      </c>
    </row>
    <row r="21" spans="1:3" ht="12.75" customHeight="1" x14ac:dyDescent="0.35">
      <c r="A21"/>
      <c r="B21"/>
      <c r="C21" s="97" t="s">
        <v>4375</v>
      </c>
    </row>
    <row r="22" spans="1:3" ht="12.75" customHeight="1" x14ac:dyDescent="0.35">
      <c r="A22"/>
      <c r="B22"/>
    </row>
    <row r="23" spans="1:3" ht="12.75" customHeight="1" x14ac:dyDescent="0.35">
      <c r="A23"/>
      <c r="B23"/>
      <c r="C23" s="97" t="s">
        <v>1712</v>
      </c>
    </row>
    <row r="24" spans="1:3" ht="12.75" customHeight="1" x14ac:dyDescent="0.35">
      <c r="A24"/>
      <c r="B24"/>
      <c r="C24" s="97" t="s">
        <v>1713</v>
      </c>
    </row>
    <row r="25" spans="1:3" ht="12.75" customHeight="1" x14ac:dyDescent="0.35">
      <c r="A25"/>
      <c r="B25"/>
      <c r="C25" s="97" t="s">
        <v>4376</v>
      </c>
    </row>
    <row r="26" spans="1:3" ht="12.75" customHeight="1" x14ac:dyDescent="0.35">
      <c r="A26"/>
      <c r="B26"/>
    </row>
    <row r="27" spans="1:3" ht="12.75" customHeight="1" x14ac:dyDescent="0.35">
      <c r="A27"/>
      <c r="B27"/>
      <c r="C27" s="97" t="s">
        <v>1714</v>
      </c>
    </row>
    <row r="28" spans="1:3" ht="12.75" customHeight="1" x14ac:dyDescent="0.35">
      <c r="A28"/>
      <c r="B28"/>
      <c r="C28" s="97" t="s">
        <v>1715</v>
      </c>
    </row>
    <row r="29" spans="1:3" ht="12.75" customHeight="1" x14ac:dyDescent="0.35">
      <c r="A29"/>
      <c r="B29"/>
      <c r="C29" s="97" t="s">
        <v>1716</v>
      </c>
    </row>
    <row r="30" spans="1:3" ht="12.75" customHeight="1" x14ac:dyDescent="0.35">
      <c r="A30"/>
      <c r="B30"/>
      <c r="C30" s="97" t="s">
        <v>4377</v>
      </c>
    </row>
    <row r="31" spans="1:3" ht="12.75" customHeight="1" x14ac:dyDescent="0.35">
      <c r="A31"/>
      <c r="B31"/>
    </row>
    <row r="32" spans="1:3" ht="12.75" customHeight="1" x14ac:dyDescent="0.35">
      <c r="A32"/>
      <c r="B32"/>
      <c r="C32" s="97" t="s">
        <v>1720</v>
      </c>
    </row>
    <row r="33" spans="1:3" ht="12.75" customHeight="1" x14ac:dyDescent="0.35">
      <c r="A33"/>
      <c r="B33"/>
      <c r="C33" s="97" t="s">
        <v>1722</v>
      </c>
    </row>
    <row r="34" spans="1:3" ht="12.75" customHeight="1" x14ac:dyDescent="0.35">
      <c r="A34"/>
      <c r="B34"/>
      <c r="C34" s="97" t="s">
        <v>633</v>
      </c>
    </row>
    <row r="35" spans="1:3" ht="12.75" customHeight="1" x14ac:dyDescent="0.35">
      <c r="A35"/>
      <c r="B35"/>
    </row>
    <row r="36" spans="1:3" ht="12.75" customHeight="1" x14ac:dyDescent="0.35">
      <c r="A36"/>
      <c r="B36"/>
    </row>
    <row r="37" spans="1:3" ht="12.75" customHeight="1" x14ac:dyDescent="0.35">
      <c r="A37"/>
      <c r="B37"/>
    </row>
    <row r="38" spans="1:3" ht="12.75" customHeight="1" x14ac:dyDescent="0.35">
      <c r="A38"/>
      <c r="B38"/>
    </row>
    <row r="39" spans="1:3" ht="12.75" customHeight="1" x14ac:dyDescent="0.35">
      <c r="A39"/>
      <c r="B39"/>
      <c r="C39" s="159" t="s">
        <v>835</v>
      </c>
    </row>
    <row r="40" spans="1:3" ht="12.75" customHeight="1" x14ac:dyDescent="0.35">
      <c r="A40"/>
      <c r="B40"/>
    </row>
    <row r="41" spans="1:3" ht="12.75" customHeight="1" x14ac:dyDescent="0.35">
      <c r="A41"/>
      <c r="B41"/>
      <c r="C41" s="97" t="s">
        <v>839</v>
      </c>
    </row>
    <row r="42" spans="1:3" ht="12.75" customHeight="1" x14ac:dyDescent="0.35">
      <c r="A42"/>
      <c r="B42"/>
      <c r="C42" s="97" t="s">
        <v>1730</v>
      </c>
    </row>
    <row r="43" spans="1:3" ht="12.75" customHeight="1" x14ac:dyDescent="0.35">
      <c r="A43"/>
      <c r="B43"/>
      <c r="C43" s="97" t="s">
        <v>844</v>
      </c>
    </row>
    <row r="44" spans="1:3" ht="12.75" customHeight="1" x14ac:dyDescent="0.35">
      <c r="A44"/>
      <c r="B44"/>
      <c r="C44" s="97" t="s">
        <v>1731</v>
      </c>
    </row>
    <row r="45" spans="1:3" ht="12.75" customHeight="1" x14ac:dyDescent="0.35">
      <c r="A45"/>
      <c r="B45"/>
      <c r="C45" s="97" t="s">
        <v>1733</v>
      </c>
    </row>
    <row r="46" spans="1:3" ht="12.75" customHeight="1" x14ac:dyDescent="0.35">
      <c r="A46"/>
      <c r="B46"/>
      <c r="C46" s="97" t="s">
        <v>1735</v>
      </c>
    </row>
    <row r="47" spans="1:3" ht="12.75" customHeight="1" x14ac:dyDescent="0.35">
      <c r="A47"/>
      <c r="B47"/>
      <c r="C47" s="97" t="s">
        <v>909</v>
      </c>
    </row>
    <row r="48" spans="1:3" ht="12.75" customHeight="1" x14ac:dyDescent="0.35">
      <c r="A48"/>
      <c r="B48"/>
      <c r="C48" s="97" t="s">
        <v>1738</v>
      </c>
    </row>
    <row r="49" spans="1:3" ht="12.75" customHeight="1" x14ac:dyDescent="0.35">
      <c r="A49"/>
      <c r="B49"/>
      <c r="C49" s="97" t="s">
        <v>1740</v>
      </c>
    </row>
    <row r="50" spans="1:3" ht="12.75" customHeight="1" x14ac:dyDescent="0.35">
      <c r="A50"/>
      <c r="B50"/>
    </row>
    <row r="51" spans="1:3" ht="12.75" customHeight="1" x14ac:dyDescent="0.35">
      <c r="A51"/>
      <c r="B51"/>
      <c r="C51" s="97" t="s">
        <v>1743</v>
      </c>
    </row>
    <row r="52" spans="1:3" ht="12.75" customHeight="1" x14ac:dyDescent="0.35">
      <c r="A52"/>
      <c r="B52"/>
      <c r="C52" s="97" t="s">
        <v>709</v>
      </c>
    </row>
    <row r="53" spans="1:3" ht="12.75" customHeight="1" x14ac:dyDescent="0.35">
      <c r="A53"/>
      <c r="B53"/>
      <c r="C53" s="97" t="s">
        <v>1746</v>
      </c>
    </row>
    <row r="54" spans="1:3" ht="12.75" customHeight="1" x14ac:dyDescent="0.35">
      <c r="A54"/>
      <c r="B54"/>
      <c r="C54" s="97" t="s">
        <v>1748</v>
      </c>
    </row>
    <row r="55" spans="1:3" ht="12.75" customHeight="1" x14ac:dyDescent="0.35">
      <c r="A55"/>
      <c r="B55"/>
      <c r="C55" s="97" t="s">
        <v>1749</v>
      </c>
    </row>
    <row r="56" spans="1:3" ht="12.75" customHeight="1" x14ac:dyDescent="0.35">
      <c r="A56"/>
      <c r="B56"/>
    </row>
    <row r="57" spans="1:3" ht="12.75" customHeight="1" x14ac:dyDescent="0.35">
      <c r="A57"/>
      <c r="B57"/>
      <c r="C57" s="97" t="s">
        <v>1751</v>
      </c>
    </row>
    <row r="58" spans="1:3" ht="12.75" customHeight="1" x14ac:dyDescent="0.35">
      <c r="A58"/>
      <c r="B58"/>
    </row>
    <row r="59" spans="1:3" ht="12.75" customHeight="1" x14ac:dyDescent="0.35">
      <c r="A59"/>
      <c r="B59"/>
      <c r="C59" s="97" t="s">
        <v>1752</v>
      </c>
    </row>
    <row r="60" spans="1:3" ht="12.75" customHeight="1" x14ac:dyDescent="0.35">
      <c r="A60"/>
      <c r="B60"/>
      <c r="C60" s="97" t="s">
        <v>1753</v>
      </c>
    </row>
    <row r="61" spans="1:3" ht="12.75" customHeight="1" x14ac:dyDescent="0.35">
      <c r="A61"/>
      <c r="B61"/>
      <c r="C61" s="97" t="s">
        <v>425</v>
      </c>
    </row>
    <row r="62" spans="1:3" ht="12.75" customHeight="1" x14ac:dyDescent="0.35">
      <c r="A62"/>
      <c r="B62"/>
      <c r="C62" s="97" t="s">
        <v>1754</v>
      </c>
    </row>
    <row r="63" spans="1:3" ht="12.75" customHeight="1" x14ac:dyDescent="0.35">
      <c r="A63"/>
      <c r="B63"/>
      <c r="C63" s="97" t="s">
        <v>1755</v>
      </c>
    </row>
    <row r="64" spans="1:3" ht="12.75" customHeight="1" x14ac:dyDescent="0.35">
      <c r="A64"/>
      <c r="B64"/>
      <c r="C64" s="97" t="s">
        <v>633</v>
      </c>
    </row>
    <row r="65" spans="1:3" ht="12.75" customHeight="1" x14ac:dyDescent="0.35">
      <c r="A65"/>
      <c r="B65"/>
      <c r="C65" s="97" t="s">
        <v>1756</v>
      </c>
    </row>
    <row r="66" spans="1:3" ht="12.75" customHeight="1" x14ac:dyDescent="0.35">
      <c r="A66"/>
      <c r="B66"/>
    </row>
    <row r="67" spans="1:3" ht="12.75" customHeight="1" x14ac:dyDescent="0.35">
      <c r="A67"/>
      <c r="B67"/>
      <c r="C67" s="97" t="s">
        <v>1758</v>
      </c>
    </row>
    <row r="68" spans="1:3" ht="12.75" customHeight="1" x14ac:dyDescent="0.35">
      <c r="A68"/>
      <c r="B68"/>
      <c r="C68" s="97" t="s">
        <v>1759</v>
      </c>
    </row>
    <row r="69" spans="1:3" ht="12.75" customHeight="1" x14ac:dyDescent="0.35">
      <c r="A69"/>
      <c r="B69"/>
      <c r="C69" s="97" t="s">
        <v>1760</v>
      </c>
    </row>
    <row r="70" spans="1:3" ht="12.75" customHeight="1" x14ac:dyDescent="0.35">
      <c r="A70"/>
      <c r="B70"/>
      <c r="C70" s="97" t="s">
        <v>981</v>
      </c>
    </row>
    <row r="71" spans="1:3" ht="12.75" customHeight="1" x14ac:dyDescent="0.35">
      <c r="A71"/>
      <c r="B71"/>
      <c r="C71" s="97" t="s">
        <v>970</v>
      </c>
    </row>
    <row r="72" spans="1:3" ht="12.75" customHeight="1" x14ac:dyDescent="0.35">
      <c r="A72"/>
      <c r="B72"/>
      <c r="C72" s="97" t="s">
        <v>1763</v>
      </c>
    </row>
    <row r="73" spans="1:3" ht="12.75" customHeight="1" x14ac:dyDescent="0.35">
      <c r="A73"/>
      <c r="B73"/>
      <c r="C73" s="97" t="s">
        <v>1764</v>
      </c>
    </row>
    <row r="74" spans="1:3" ht="12.75" customHeight="1" x14ac:dyDescent="0.35">
      <c r="A74"/>
      <c r="B74"/>
    </row>
    <row r="75" spans="1:3" ht="12.75" customHeight="1" x14ac:dyDescent="0.35">
      <c r="A75"/>
      <c r="B75"/>
      <c r="C75" s="97" t="s">
        <v>716</v>
      </c>
    </row>
    <row r="76" spans="1:3" ht="12.75" customHeight="1" x14ac:dyDescent="0.35">
      <c r="A76"/>
      <c r="B76"/>
      <c r="C76" s="97" t="s">
        <v>1760</v>
      </c>
    </row>
    <row r="77" spans="1:3" ht="12.75" customHeight="1" x14ac:dyDescent="0.35">
      <c r="A77"/>
      <c r="B77"/>
      <c r="C77" s="97" t="s">
        <v>1767</v>
      </c>
    </row>
    <row r="78" spans="1:3" ht="12.75" customHeight="1" x14ac:dyDescent="0.35">
      <c r="A78"/>
      <c r="B78"/>
      <c r="C78" s="97" t="s">
        <v>1769</v>
      </c>
    </row>
    <row r="79" spans="1:3" ht="12.75" customHeight="1" x14ac:dyDescent="0.35">
      <c r="A79"/>
      <c r="B79"/>
      <c r="C79" s="97" t="s">
        <v>1771</v>
      </c>
    </row>
    <row r="80" spans="1:3" ht="12.75" customHeight="1" x14ac:dyDescent="0.35">
      <c r="A80"/>
      <c r="B80"/>
    </row>
    <row r="81" spans="1:3" ht="12.75" customHeight="1" x14ac:dyDescent="0.35">
      <c r="A81"/>
      <c r="B81"/>
      <c r="C81" s="97" t="s">
        <v>1002</v>
      </c>
    </row>
    <row r="82" spans="1:3" ht="12.75" customHeight="1" x14ac:dyDescent="0.35">
      <c r="A82"/>
      <c r="B82"/>
    </row>
    <row r="83" spans="1:3" ht="12.75" customHeight="1" x14ac:dyDescent="0.35">
      <c r="A83"/>
      <c r="B83"/>
      <c r="C83" s="97" t="s">
        <v>1776</v>
      </c>
    </row>
    <row r="84" spans="1:3" ht="12.75" customHeight="1" x14ac:dyDescent="0.35">
      <c r="A84"/>
      <c r="B84"/>
    </row>
    <row r="85" spans="1:3" ht="12.75" customHeight="1" x14ac:dyDescent="0.35">
      <c r="A85"/>
      <c r="B85"/>
      <c r="C85" s="159" t="s">
        <v>4913</v>
      </c>
    </row>
    <row r="86" spans="1:3" ht="12.75" customHeight="1" x14ac:dyDescent="0.35">
      <c r="A86"/>
      <c r="B86"/>
    </row>
    <row r="87" spans="1:3" ht="12.75" customHeight="1" x14ac:dyDescent="0.35">
      <c r="A87"/>
      <c r="B87"/>
      <c r="C87" s="97" t="s">
        <v>1781</v>
      </c>
    </row>
    <row r="88" spans="1:3" ht="12.75" customHeight="1" x14ac:dyDescent="0.35">
      <c r="A88"/>
      <c r="B88"/>
      <c r="C88" s="97" t="s">
        <v>1783</v>
      </c>
    </row>
    <row r="89" spans="1:3" ht="12.75" customHeight="1" x14ac:dyDescent="0.35">
      <c r="A89"/>
      <c r="B89"/>
      <c r="C89" s="97" t="s">
        <v>1785</v>
      </c>
    </row>
    <row r="90" spans="1:3" ht="12.75" customHeight="1" x14ac:dyDescent="0.35">
      <c r="A90"/>
      <c r="B90"/>
      <c r="C90" s="97" t="s">
        <v>1709</v>
      </c>
    </row>
    <row r="91" spans="1:3" ht="12.75" customHeight="1" x14ac:dyDescent="0.35">
      <c r="A91"/>
      <c r="B91"/>
      <c r="C91" s="97" t="s">
        <v>1788</v>
      </c>
    </row>
    <row r="92" spans="1:3" ht="12.75" customHeight="1" x14ac:dyDescent="0.35">
      <c r="A92"/>
      <c r="B92"/>
      <c r="C92" s="97" t="s">
        <v>1790</v>
      </c>
    </row>
    <row r="93" spans="1:3" ht="12.75" customHeight="1" x14ac:dyDescent="0.35">
      <c r="A93"/>
      <c r="B93"/>
      <c r="C93" s="97" t="s">
        <v>1792</v>
      </c>
    </row>
    <row r="94" spans="1:3" ht="12.75" customHeight="1" x14ac:dyDescent="0.35">
      <c r="A94"/>
      <c r="B94"/>
      <c r="C94" s="97" t="s">
        <v>728</v>
      </c>
    </row>
    <row r="95" spans="1:3" ht="12.75" customHeight="1" x14ac:dyDescent="0.35">
      <c r="A95"/>
      <c r="B95"/>
      <c r="C95" s="97" t="s">
        <v>1795</v>
      </c>
    </row>
    <row r="96" spans="1:3" ht="12.75" customHeight="1" x14ac:dyDescent="0.35">
      <c r="A96"/>
      <c r="B96"/>
      <c r="C96" s="97" t="s">
        <v>1797</v>
      </c>
    </row>
    <row r="97" spans="1:3" ht="12.75" customHeight="1" x14ac:dyDescent="0.35">
      <c r="A97"/>
      <c r="B97"/>
      <c r="C97" s="97" t="s">
        <v>1799</v>
      </c>
    </row>
    <row r="98" spans="1:3" ht="12.75" customHeight="1" x14ac:dyDescent="0.35">
      <c r="A98"/>
      <c r="B98"/>
    </row>
    <row r="99" spans="1:3" ht="12.75" customHeight="1" x14ac:dyDescent="0.35">
      <c r="A99"/>
      <c r="B99"/>
      <c r="C99" s="97" t="s">
        <v>1802</v>
      </c>
    </row>
    <row r="100" spans="1:3" ht="12.75" customHeight="1" x14ac:dyDescent="0.35">
      <c r="A100"/>
      <c r="B100"/>
      <c r="C100" s="97" t="s">
        <v>1803</v>
      </c>
    </row>
    <row r="101" spans="1:3" ht="12.75" customHeight="1" x14ac:dyDescent="0.35">
      <c r="A101"/>
      <c r="B101"/>
      <c r="C101" s="97" t="s">
        <v>1804</v>
      </c>
    </row>
    <row r="102" spans="1:3" ht="12.75" customHeight="1" x14ac:dyDescent="0.35">
      <c r="A102"/>
      <c r="B102"/>
      <c r="C102" s="97" t="s">
        <v>1805</v>
      </c>
    </row>
    <row r="103" spans="1:3" ht="12.75" customHeight="1" x14ac:dyDescent="0.35">
      <c r="A103"/>
      <c r="B103"/>
      <c r="C103" s="97" t="s">
        <v>1806</v>
      </c>
    </row>
    <row r="104" spans="1:3" ht="12.75" customHeight="1" x14ac:dyDescent="0.35">
      <c r="A104"/>
      <c r="B104"/>
      <c r="C104" s="97" t="s">
        <v>1807</v>
      </c>
    </row>
    <row r="105" spans="1:3" ht="12.75" customHeight="1" x14ac:dyDescent="0.35">
      <c r="A105"/>
      <c r="B105"/>
      <c r="C105" s="97" t="s">
        <v>1808</v>
      </c>
    </row>
    <row r="106" spans="1:3" ht="12.75" customHeight="1" x14ac:dyDescent="0.35">
      <c r="A106"/>
      <c r="B106"/>
      <c r="C106" s="97" t="s">
        <v>1809</v>
      </c>
    </row>
    <row r="107" spans="1:3" ht="12.75" customHeight="1" x14ac:dyDescent="0.35">
      <c r="A107"/>
      <c r="B107"/>
      <c r="C107" s="97" t="s">
        <v>1810</v>
      </c>
    </row>
    <row r="108" spans="1:3" ht="12.75" customHeight="1" x14ac:dyDescent="0.35">
      <c r="A108"/>
      <c r="B108"/>
    </row>
    <row r="109" spans="1:3" ht="12.75" customHeight="1" x14ac:dyDescent="0.35">
      <c r="A109"/>
      <c r="B109"/>
      <c r="C109" s="97" t="s">
        <v>1811</v>
      </c>
    </row>
    <row r="110" spans="1:3" ht="12.75" customHeight="1" x14ac:dyDescent="0.35">
      <c r="A110"/>
      <c r="B110"/>
    </row>
    <row r="111" spans="1:3" ht="12.75" customHeight="1" x14ac:dyDescent="0.35">
      <c r="A111"/>
      <c r="B111"/>
      <c r="C111" s="97" t="s">
        <v>1812</v>
      </c>
    </row>
    <row r="112" spans="1:3" ht="12.75" customHeight="1" x14ac:dyDescent="0.35">
      <c r="A112"/>
      <c r="B112"/>
      <c r="C112" s="97" t="s">
        <v>1813</v>
      </c>
    </row>
    <row r="113" spans="1:3" ht="12.75" customHeight="1" x14ac:dyDescent="0.35">
      <c r="A113"/>
      <c r="B113"/>
      <c r="C113" s="97" t="s">
        <v>1814</v>
      </c>
    </row>
    <row r="114" spans="1:3" ht="12.75" customHeight="1" x14ac:dyDescent="0.35">
      <c r="A114"/>
      <c r="B114"/>
      <c r="C114" s="97" t="s">
        <v>1816</v>
      </c>
    </row>
    <row r="115" spans="1:3" ht="12.75" customHeight="1" x14ac:dyDescent="0.35">
      <c r="A115"/>
      <c r="B115"/>
      <c r="C115" s="97" t="s">
        <v>1818</v>
      </c>
    </row>
    <row r="116" spans="1:3" ht="12.75" customHeight="1" x14ac:dyDescent="0.35">
      <c r="A116"/>
      <c r="B116"/>
      <c r="C116" s="97" t="s">
        <v>1820</v>
      </c>
    </row>
    <row r="117" spans="1:3" ht="12.75" customHeight="1" x14ac:dyDescent="0.35">
      <c r="A117"/>
      <c r="B117"/>
      <c r="C117" s="97" t="s">
        <v>1822</v>
      </c>
    </row>
    <row r="118" spans="1:3" ht="12.75" customHeight="1" x14ac:dyDescent="0.35"/>
    <row r="119" spans="1:3" ht="12.75" customHeight="1" x14ac:dyDescent="0.35">
      <c r="C119" s="97" t="s">
        <v>1825</v>
      </c>
    </row>
    <row r="120" spans="1:3" ht="12.75" customHeight="1" x14ac:dyDescent="0.35">
      <c r="C120" s="97" t="s">
        <v>1827</v>
      </c>
    </row>
  </sheetData>
  <pageMargins left="0.75" right="0.75" top="1" bottom="1" header="0.5" footer="0.5"/>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0">
    <pageSetUpPr autoPageBreaks="0"/>
  </sheetPr>
  <dimension ref="A1:D120"/>
  <sheetViews>
    <sheetView topLeftCell="A61" workbookViewId="0">
      <selection activeCell="I76" sqref="I76"/>
    </sheetView>
  </sheetViews>
  <sheetFormatPr defaultColWidth="9.1796875" defaultRowHeight="14.5" x14ac:dyDescent="0.35"/>
  <cols>
    <col min="1" max="16384" width="9.1796875" style="97"/>
  </cols>
  <sheetData>
    <row r="1" spans="1:4" ht="12.75" customHeight="1" x14ac:dyDescent="0.35">
      <c r="A1"/>
      <c r="B1"/>
    </row>
    <row r="2" spans="1:4" ht="12.75" customHeight="1" x14ac:dyDescent="0.35">
      <c r="A2"/>
      <c r="B2"/>
    </row>
    <row r="3" spans="1:4" ht="12.75" customHeight="1" x14ac:dyDescent="0.35">
      <c r="A3"/>
      <c r="B3"/>
    </row>
    <row r="4" spans="1:4" ht="12.75" customHeight="1" x14ac:dyDescent="0.35">
      <c r="A4"/>
      <c r="B4"/>
      <c r="D4" s="97" t="s">
        <v>4378</v>
      </c>
    </row>
    <row r="5" spans="1:4" ht="12.75" customHeight="1" x14ac:dyDescent="0.35">
      <c r="A5"/>
      <c r="B5"/>
    </row>
    <row r="6" spans="1:4" ht="12.75" customHeight="1" x14ac:dyDescent="0.35">
      <c r="A6"/>
      <c r="B6"/>
      <c r="C6" s="159" t="s">
        <v>2622</v>
      </c>
    </row>
    <row r="7" spans="1:4" ht="12.75" customHeight="1" x14ac:dyDescent="0.35">
      <c r="A7"/>
      <c r="B7"/>
    </row>
    <row r="8" spans="1:4" ht="12.75" customHeight="1" x14ac:dyDescent="0.35">
      <c r="A8"/>
      <c r="B8"/>
      <c r="C8" s="97" t="s">
        <v>4379</v>
      </c>
    </row>
    <row r="9" spans="1:4" ht="12.75" customHeight="1" x14ac:dyDescent="0.35">
      <c r="A9"/>
      <c r="B9"/>
      <c r="C9" s="97" t="s">
        <v>4380</v>
      </c>
    </row>
    <row r="10" spans="1:4" ht="12.75" customHeight="1" x14ac:dyDescent="0.35">
      <c r="A10"/>
      <c r="B10"/>
      <c r="C10" s="97" t="s">
        <v>4381</v>
      </c>
    </row>
    <row r="11" spans="1:4" ht="12.75" customHeight="1" x14ac:dyDescent="0.35">
      <c r="A11"/>
      <c r="B11"/>
      <c r="C11" s="97" t="s">
        <v>4382</v>
      </c>
    </row>
    <row r="12" spans="1:4" ht="12.75" customHeight="1" x14ac:dyDescent="0.35">
      <c r="A12"/>
      <c r="B12"/>
      <c r="C12" s="97" t="s">
        <v>4383</v>
      </c>
    </row>
    <row r="13" spans="1:4" ht="12.75" customHeight="1" x14ac:dyDescent="0.35">
      <c r="A13"/>
      <c r="B13"/>
      <c r="C13" s="97" t="s">
        <v>4384</v>
      </c>
    </row>
    <row r="14" spans="1:4" ht="12.75" customHeight="1" x14ac:dyDescent="0.35">
      <c r="A14"/>
      <c r="B14"/>
      <c r="C14" s="97" t="s">
        <v>4385</v>
      </c>
    </row>
    <row r="15" spans="1:4" ht="12.75" customHeight="1" x14ac:dyDescent="0.35">
      <c r="A15"/>
      <c r="B15"/>
      <c r="C15" s="97" t="s">
        <v>2657</v>
      </c>
    </row>
    <row r="16" spans="1:4" ht="12.75" customHeight="1" x14ac:dyDescent="0.35">
      <c r="A16"/>
      <c r="B16"/>
      <c r="C16" s="97" t="s">
        <v>4386</v>
      </c>
    </row>
    <row r="17" spans="1:3" ht="12.75" customHeight="1" x14ac:dyDescent="0.35">
      <c r="A17"/>
      <c r="B17"/>
    </row>
    <row r="18" spans="1:3" ht="12.75" customHeight="1" x14ac:dyDescent="0.35">
      <c r="A18"/>
      <c r="B18"/>
      <c r="C18" s="97" t="s">
        <v>4387</v>
      </c>
    </row>
    <row r="19" spans="1:3" ht="12.75" customHeight="1" x14ac:dyDescent="0.35">
      <c r="A19"/>
      <c r="B19"/>
      <c r="C19" s="97" t="s">
        <v>4388</v>
      </c>
    </row>
    <row r="20" spans="1:3" ht="12.75" customHeight="1" x14ac:dyDescent="0.35">
      <c r="A20"/>
      <c r="B20"/>
      <c r="C20" s="97" t="s">
        <v>4389</v>
      </c>
    </row>
    <row r="21" spans="1:3" ht="12.75" customHeight="1" x14ac:dyDescent="0.35">
      <c r="A21"/>
      <c r="B21"/>
      <c r="C21" s="97" t="s">
        <v>4390</v>
      </c>
    </row>
    <row r="22" spans="1:3" ht="12.75" customHeight="1" x14ac:dyDescent="0.35">
      <c r="A22"/>
      <c r="B22"/>
    </row>
    <row r="23" spans="1:3" ht="12.75" customHeight="1" x14ac:dyDescent="0.35">
      <c r="A23"/>
      <c r="B23"/>
      <c r="C23" s="97" t="s">
        <v>4391</v>
      </c>
    </row>
    <row r="24" spans="1:3" ht="12.75" customHeight="1" x14ac:dyDescent="0.35">
      <c r="A24"/>
      <c r="B24"/>
      <c r="C24" s="97" t="s">
        <v>4392</v>
      </c>
    </row>
    <row r="25" spans="1:3" ht="12.75" customHeight="1" x14ac:dyDescent="0.35">
      <c r="A25"/>
      <c r="B25"/>
      <c r="C25" s="97" t="s">
        <v>4393</v>
      </c>
    </row>
    <row r="26" spans="1:3" ht="12.75" customHeight="1" x14ac:dyDescent="0.35">
      <c r="A26"/>
      <c r="B26"/>
    </row>
    <row r="27" spans="1:3" ht="12.75" customHeight="1" x14ac:dyDescent="0.35">
      <c r="A27"/>
      <c r="B27"/>
      <c r="C27" s="97" t="s">
        <v>4394</v>
      </c>
    </row>
    <row r="28" spans="1:3" ht="12.75" customHeight="1" x14ac:dyDescent="0.35">
      <c r="A28"/>
      <c r="B28"/>
      <c r="C28" s="97" t="s">
        <v>4395</v>
      </c>
    </row>
    <row r="29" spans="1:3" ht="12.75" customHeight="1" x14ac:dyDescent="0.35">
      <c r="A29"/>
      <c r="B29"/>
      <c r="C29" s="97" t="s">
        <v>4396</v>
      </c>
    </row>
    <row r="30" spans="1:3" ht="12.75" customHeight="1" x14ac:dyDescent="0.35">
      <c r="A30"/>
      <c r="B30"/>
      <c r="C30" s="97" t="s">
        <v>4397</v>
      </c>
    </row>
    <row r="31" spans="1:3" ht="12.75" customHeight="1" x14ac:dyDescent="0.35">
      <c r="A31"/>
      <c r="B31"/>
    </row>
    <row r="32" spans="1:3" ht="12.75" customHeight="1" x14ac:dyDescent="0.35">
      <c r="A32"/>
      <c r="B32"/>
      <c r="C32" s="97" t="s">
        <v>4398</v>
      </c>
    </row>
    <row r="33" spans="1:3" ht="12.75" customHeight="1" x14ac:dyDescent="0.35">
      <c r="A33"/>
      <c r="B33"/>
      <c r="C33" s="97" t="s">
        <v>4399</v>
      </c>
    </row>
    <row r="34" spans="1:3" ht="12.75" customHeight="1" x14ac:dyDescent="0.35">
      <c r="A34"/>
      <c r="B34"/>
      <c r="C34" s="97" t="s">
        <v>4400</v>
      </c>
    </row>
    <row r="35" spans="1:3" ht="12.75" customHeight="1" x14ac:dyDescent="0.35">
      <c r="A35"/>
      <c r="B35"/>
    </row>
    <row r="36" spans="1:3" ht="12.75" customHeight="1" x14ac:dyDescent="0.35">
      <c r="A36"/>
      <c r="B36"/>
    </row>
    <row r="37" spans="1:3" ht="12.75" customHeight="1" x14ac:dyDescent="0.35">
      <c r="A37"/>
      <c r="B37"/>
    </row>
    <row r="38" spans="1:3" ht="12.75" customHeight="1" x14ac:dyDescent="0.35">
      <c r="A38"/>
      <c r="B38"/>
    </row>
    <row r="39" spans="1:3" ht="12.75" customHeight="1" x14ac:dyDescent="0.35">
      <c r="A39"/>
      <c r="B39"/>
      <c r="C39" s="159" t="s">
        <v>2718</v>
      </c>
    </row>
    <row r="40" spans="1:3" ht="12.75" customHeight="1" x14ac:dyDescent="0.35">
      <c r="A40"/>
      <c r="B40"/>
    </row>
    <row r="41" spans="1:3" ht="12.75" customHeight="1" x14ac:dyDescent="0.35">
      <c r="A41"/>
      <c r="B41"/>
      <c r="C41" s="97" t="s">
        <v>4401</v>
      </c>
    </row>
    <row r="42" spans="1:3" ht="12.75" customHeight="1" x14ac:dyDescent="0.35">
      <c r="A42"/>
      <c r="B42"/>
      <c r="C42" s="97" t="s">
        <v>4402</v>
      </c>
    </row>
    <row r="43" spans="1:3" ht="12.75" customHeight="1" x14ac:dyDescent="0.35">
      <c r="A43"/>
      <c r="B43"/>
      <c r="C43" s="97" t="s">
        <v>2722</v>
      </c>
    </row>
    <row r="44" spans="1:3" ht="12.75" customHeight="1" x14ac:dyDescent="0.35">
      <c r="A44"/>
      <c r="B44"/>
      <c r="C44" s="97" t="s">
        <v>4403</v>
      </c>
    </row>
    <row r="45" spans="1:3" ht="12.75" customHeight="1" x14ac:dyDescent="0.35">
      <c r="A45"/>
      <c r="B45"/>
      <c r="C45" s="97" t="s">
        <v>4404</v>
      </c>
    </row>
    <row r="46" spans="1:3" ht="12.75" customHeight="1" x14ac:dyDescent="0.35">
      <c r="A46"/>
      <c r="B46"/>
      <c r="C46" s="97" t="s">
        <v>4405</v>
      </c>
    </row>
    <row r="47" spans="1:3" ht="12.75" customHeight="1" x14ac:dyDescent="0.35">
      <c r="A47"/>
      <c r="B47"/>
      <c r="C47" s="97" t="s">
        <v>2746</v>
      </c>
    </row>
    <row r="48" spans="1:3" ht="12.75" customHeight="1" x14ac:dyDescent="0.35">
      <c r="A48"/>
      <c r="B48"/>
      <c r="C48" s="97" t="s">
        <v>2748</v>
      </c>
    </row>
    <row r="49" spans="1:3" ht="12.75" customHeight="1" x14ac:dyDescent="0.35">
      <c r="A49"/>
      <c r="B49"/>
      <c r="C49" s="97" t="s">
        <v>4406</v>
      </c>
    </row>
    <row r="50" spans="1:3" ht="12.75" customHeight="1" x14ac:dyDescent="0.35">
      <c r="A50"/>
      <c r="B50"/>
    </row>
    <row r="51" spans="1:3" ht="12.75" customHeight="1" x14ac:dyDescent="0.35">
      <c r="A51"/>
      <c r="B51"/>
      <c r="C51" s="97" t="s">
        <v>4407</v>
      </c>
    </row>
    <row r="52" spans="1:3" ht="12.75" customHeight="1" x14ac:dyDescent="0.35">
      <c r="A52"/>
      <c r="B52"/>
      <c r="C52" s="97" t="s">
        <v>2679</v>
      </c>
    </row>
    <row r="53" spans="1:3" ht="12.75" customHeight="1" x14ac:dyDescent="0.35">
      <c r="A53"/>
      <c r="B53"/>
      <c r="C53" s="97" t="s">
        <v>4408</v>
      </c>
    </row>
    <row r="54" spans="1:3" ht="12.75" customHeight="1" x14ac:dyDescent="0.35">
      <c r="A54"/>
      <c r="B54"/>
      <c r="C54" s="97" t="s">
        <v>4409</v>
      </c>
    </row>
    <row r="55" spans="1:3" ht="12.75" customHeight="1" x14ac:dyDescent="0.35">
      <c r="A55"/>
      <c r="B55"/>
      <c r="C55" s="97" t="s">
        <v>4410</v>
      </c>
    </row>
    <row r="56" spans="1:3" ht="12.75" customHeight="1" x14ac:dyDescent="0.35">
      <c r="A56"/>
      <c r="B56"/>
    </row>
    <row r="57" spans="1:3" ht="12.75" customHeight="1" x14ac:dyDescent="0.35">
      <c r="A57"/>
      <c r="B57"/>
      <c r="C57" s="97" t="s">
        <v>4411</v>
      </c>
    </row>
    <row r="58" spans="1:3" ht="12.75" customHeight="1" x14ac:dyDescent="0.35">
      <c r="A58"/>
      <c r="B58"/>
    </row>
    <row r="59" spans="1:3" ht="12.75" customHeight="1" x14ac:dyDescent="0.35">
      <c r="A59"/>
      <c r="B59"/>
      <c r="C59" s="97" t="s">
        <v>4412</v>
      </c>
    </row>
    <row r="60" spans="1:3" ht="12.75" customHeight="1" x14ac:dyDescent="0.35">
      <c r="A60"/>
      <c r="B60"/>
      <c r="C60" s="97" t="s">
        <v>4413</v>
      </c>
    </row>
    <row r="61" spans="1:3" ht="12.75" customHeight="1" x14ac:dyDescent="0.35">
      <c r="A61"/>
      <c r="B61"/>
      <c r="C61" s="97" t="s">
        <v>2598</v>
      </c>
    </row>
    <row r="62" spans="1:3" ht="12.75" customHeight="1" x14ac:dyDescent="0.35">
      <c r="A62"/>
      <c r="B62"/>
      <c r="C62" s="97" t="s">
        <v>4414</v>
      </c>
    </row>
    <row r="63" spans="1:3" ht="12.75" customHeight="1" x14ac:dyDescent="0.35">
      <c r="A63"/>
      <c r="B63"/>
      <c r="C63" s="97" t="s">
        <v>2391</v>
      </c>
    </row>
    <row r="64" spans="1:3" ht="12.75" customHeight="1" x14ac:dyDescent="0.35">
      <c r="A64"/>
      <c r="B64"/>
      <c r="C64" s="97" t="s">
        <v>4415</v>
      </c>
    </row>
    <row r="65" spans="1:3" ht="12.75" customHeight="1" x14ac:dyDescent="0.35">
      <c r="A65"/>
      <c r="B65"/>
      <c r="C65" s="97" t="s">
        <v>2760</v>
      </c>
    </row>
    <row r="66" spans="1:3" ht="12.75" customHeight="1" x14ac:dyDescent="0.35">
      <c r="A66"/>
      <c r="B66"/>
    </row>
    <row r="67" spans="1:3" ht="12.75" customHeight="1" x14ac:dyDescent="0.35">
      <c r="A67"/>
      <c r="B67"/>
      <c r="C67" s="97" t="s">
        <v>4416</v>
      </c>
    </row>
    <row r="68" spans="1:3" ht="12.75" customHeight="1" x14ac:dyDescent="0.35">
      <c r="A68"/>
      <c r="B68"/>
      <c r="C68" s="97" t="s">
        <v>4417</v>
      </c>
    </row>
    <row r="69" spans="1:3" ht="12.75" customHeight="1" x14ac:dyDescent="0.35">
      <c r="A69"/>
      <c r="B69"/>
      <c r="C69" s="97" t="s">
        <v>4418</v>
      </c>
    </row>
    <row r="70" spans="1:3" ht="12.75" customHeight="1" x14ac:dyDescent="0.35">
      <c r="A70"/>
      <c r="B70"/>
      <c r="C70" s="97" t="s">
        <v>2767</v>
      </c>
    </row>
    <row r="71" spans="1:3" ht="12.75" customHeight="1" x14ac:dyDescent="0.35">
      <c r="A71"/>
      <c r="B71"/>
      <c r="C71" s="97" t="s">
        <v>2762</v>
      </c>
    </row>
    <row r="72" spans="1:3" ht="12.75" customHeight="1" x14ac:dyDescent="0.35">
      <c r="A72"/>
      <c r="B72"/>
      <c r="C72" s="97" t="s">
        <v>4419</v>
      </c>
    </row>
    <row r="73" spans="1:3" ht="12.75" customHeight="1" x14ac:dyDescent="0.35">
      <c r="A73"/>
      <c r="B73"/>
      <c r="C73" s="97" t="s">
        <v>4420</v>
      </c>
    </row>
    <row r="74" spans="1:3" ht="12.75" customHeight="1" x14ac:dyDescent="0.35">
      <c r="A74"/>
      <c r="B74"/>
    </row>
    <row r="75" spans="1:3" ht="12.75" customHeight="1" x14ac:dyDescent="0.35">
      <c r="A75"/>
      <c r="B75"/>
      <c r="C75" s="97" t="s">
        <v>2680</v>
      </c>
    </row>
    <row r="76" spans="1:3" ht="12.75" customHeight="1" x14ac:dyDescent="0.35">
      <c r="A76"/>
      <c r="B76"/>
      <c r="C76" s="97" t="s">
        <v>4421</v>
      </c>
    </row>
    <row r="77" spans="1:3" ht="12.75" customHeight="1" x14ac:dyDescent="0.35">
      <c r="A77"/>
      <c r="B77"/>
      <c r="C77" s="97" t="s">
        <v>4422</v>
      </c>
    </row>
    <row r="78" spans="1:3" ht="12.75" customHeight="1" x14ac:dyDescent="0.35">
      <c r="A78"/>
      <c r="B78"/>
      <c r="C78" s="97" t="s">
        <v>4423</v>
      </c>
    </row>
    <row r="79" spans="1:3" ht="12.75" customHeight="1" x14ac:dyDescent="0.35">
      <c r="A79"/>
      <c r="B79"/>
      <c r="C79" s="97" t="s">
        <v>4424</v>
      </c>
    </row>
    <row r="80" spans="1:3" ht="12.75" customHeight="1" x14ac:dyDescent="0.35">
      <c r="A80"/>
      <c r="B80"/>
    </row>
    <row r="81" spans="1:3" ht="12.75" customHeight="1" x14ac:dyDescent="0.35">
      <c r="A81"/>
      <c r="B81"/>
      <c r="C81" s="97" t="s">
        <v>4425</v>
      </c>
    </row>
    <row r="82" spans="1:3" ht="12.75" customHeight="1" x14ac:dyDescent="0.35">
      <c r="A82"/>
      <c r="B82"/>
    </row>
    <row r="83" spans="1:3" ht="12.75" customHeight="1" x14ac:dyDescent="0.35">
      <c r="A83"/>
      <c r="B83"/>
      <c r="C83" s="97" t="s">
        <v>4426</v>
      </c>
    </row>
    <row r="84" spans="1:3" ht="12.75" customHeight="1" x14ac:dyDescent="0.35">
      <c r="A84"/>
      <c r="B84"/>
    </row>
    <row r="85" spans="1:3" ht="12.75" customHeight="1" x14ac:dyDescent="0.35">
      <c r="A85"/>
      <c r="B85"/>
      <c r="C85" s="159" t="s">
        <v>4914</v>
      </c>
    </row>
    <row r="86" spans="1:3" ht="12.75" customHeight="1" x14ac:dyDescent="0.35">
      <c r="A86"/>
      <c r="B86"/>
    </row>
    <row r="87" spans="1:3" ht="12.75" customHeight="1" x14ac:dyDescent="0.35">
      <c r="A87"/>
      <c r="B87"/>
      <c r="C87" s="97" t="s">
        <v>4427</v>
      </c>
    </row>
    <row r="88" spans="1:3" ht="12.75" customHeight="1" x14ac:dyDescent="0.35">
      <c r="A88"/>
      <c r="B88"/>
      <c r="C88" s="97" t="s">
        <v>4428</v>
      </c>
    </row>
    <row r="89" spans="1:3" ht="12.75" customHeight="1" x14ac:dyDescent="0.35">
      <c r="A89"/>
      <c r="B89"/>
      <c r="C89" s="97" t="s">
        <v>4429</v>
      </c>
    </row>
    <row r="90" spans="1:3" ht="12.75" customHeight="1" x14ac:dyDescent="0.35">
      <c r="A90"/>
      <c r="B90"/>
      <c r="C90" s="97" t="s">
        <v>4388</v>
      </c>
    </row>
    <row r="91" spans="1:3" ht="12.75" customHeight="1" x14ac:dyDescent="0.35">
      <c r="A91"/>
      <c r="B91"/>
      <c r="C91" s="97" t="s">
        <v>4430</v>
      </c>
    </row>
    <row r="92" spans="1:3" ht="12.75" customHeight="1" x14ac:dyDescent="0.35">
      <c r="A92"/>
      <c r="B92"/>
      <c r="C92" s="97" t="s">
        <v>2302</v>
      </c>
    </row>
    <row r="93" spans="1:3" ht="12.75" customHeight="1" x14ac:dyDescent="0.35">
      <c r="A93"/>
      <c r="B93"/>
      <c r="C93" s="97" t="s">
        <v>4431</v>
      </c>
    </row>
    <row r="94" spans="1:3" ht="12.75" customHeight="1" x14ac:dyDescent="0.35">
      <c r="A94"/>
      <c r="B94"/>
      <c r="C94" s="97" t="s">
        <v>4432</v>
      </c>
    </row>
    <row r="95" spans="1:3" ht="12.75" customHeight="1" x14ac:dyDescent="0.35">
      <c r="A95"/>
      <c r="B95"/>
      <c r="C95" s="97" t="s">
        <v>4433</v>
      </c>
    </row>
    <row r="96" spans="1:3" ht="12.75" customHeight="1" x14ac:dyDescent="0.35">
      <c r="A96"/>
      <c r="B96"/>
      <c r="C96" s="97" t="s">
        <v>4434</v>
      </c>
    </row>
    <row r="97" spans="1:3" ht="12.75" customHeight="1" x14ac:dyDescent="0.35">
      <c r="A97"/>
      <c r="B97"/>
      <c r="C97" s="97" t="s">
        <v>4435</v>
      </c>
    </row>
    <row r="98" spans="1:3" ht="12.75" customHeight="1" x14ac:dyDescent="0.35">
      <c r="A98"/>
      <c r="B98"/>
    </row>
    <row r="99" spans="1:3" ht="12.75" customHeight="1" x14ac:dyDescent="0.35">
      <c r="A99"/>
      <c r="B99"/>
      <c r="C99" s="97" t="s">
        <v>4436</v>
      </c>
    </row>
    <row r="100" spans="1:3" ht="12.75" customHeight="1" x14ac:dyDescent="0.35">
      <c r="A100"/>
      <c r="B100"/>
      <c r="C100" s="97" t="s">
        <v>4437</v>
      </c>
    </row>
    <row r="101" spans="1:3" ht="12.75" customHeight="1" x14ac:dyDescent="0.35">
      <c r="A101"/>
      <c r="B101"/>
      <c r="C101" s="97" t="s">
        <v>4438</v>
      </c>
    </row>
    <row r="102" spans="1:3" ht="12.75" customHeight="1" x14ac:dyDescent="0.35">
      <c r="A102"/>
      <c r="B102"/>
      <c r="C102" s="97" t="s">
        <v>4439</v>
      </c>
    </row>
    <row r="103" spans="1:3" ht="12.75" customHeight="1" x14ac:dyDescent="0.35">
      <c r="A103"/>
      <c r="B103"/>
      <c r="C103" s="97" t="s">
        <v>4440</v>
      </c>
    </row>
    <row r="104" spans="1:3" ht="12.75" customHeight="1" x14ac:dyDescent="0.35">
      <c r="A104"/>
      <c r="B104"/>
      <c r="C104" s="97" t="s">
        <v>4441</v>
      </c>
    </row>
    <row r="105" spans="1:3" ht="12.75" customHeight="1" x14ac:dyDescent="0.35">
      <c r="A105"/>
      <c r="B105"/>
      <c r="C105" s="97" t="s">
        <v>4442</v>
      </c>
    </row>
    <row r="106" spans="1:3" ht="12.75" customHeight="1" x14ac:dyDescent="0.35">
      <c r="A106"/>
      <c r="B106"/>
      <c r="C106" s="97" t="s">
        <v>4443</v>
      </c>
    </row>
    <row r="107" spans="1:3" ht="12.75" customHeight="1" x14ac:dyDescent="0.35">
      <c r="A107"/>
      <c r="B107"/>
      <c r="C107" s="97" t="s">
        <v>4444</v>
      </c>
    </row>
    <row r="108" spans="1:3" ht="12.75" customHeight="1" x14ac:dyDescent="0.35">
      <c r="A108"/>
      <c r="B108"/>
    </row>
    <row r="109" spans="1:3" ht="12.75" customHeight="1" x14ac:dyDescent="0.35">
      <c r="A109"/>
      <c r="B109"/>
      <c r="C109" s="97" t="s">
        <v>4445</v>
      </c>
    </row>
    <row r="110" spans="1:3" ht="12.75" customHeight="1" x14ac:dyDescent="0.35">
      <c r="A110"/>
      <c r="B110"/>
    </row>
    <row r="111" spans="1:3" ht="12.75" customHeight="1" x14ac:dyDescent="0.35">
      <c r="A111"/>
      <c r="B111"/>
      <c r="C111" s="97" t="s">
        <v>4446</v>
      </c>
    </row>
    <row r="112" spans="1:3" ht="12.75" customHeight="1" x14ac:dyDescent="0.35">
      <c r="A112"/>
      <c r="B112"/>
      <c r="C112" s="97" t="s">
        <v>4447</v>
      </c>
    </row>
    <row r="113" spans="1:3" ht="12.75" customHeight="1" x14ac:dyDescent="0.35">
      <c r="A113"/>
      <c r="B113"/>
      <c r="C113" s="97" t="s">
        <v>4448</v>
      </c>
    </row>
    <row r="114" spans="1:3" ht="12.75" customHeight="1" x14ac:dyDescent="0.35">
      <c r="A114"/>
      <c r="B114"/>
      <c r="C114" s="97" t="s">
        <v>4449</v>
      </c>
    </row>
    <row r="115" spans="1:3" ht="12.75" customHeight="1" x14ac:dyDescent="0.35">
      <c r="A115"/>
      <c r="B115"/>
      <c r="C115" s="97" t="s">
        <v>4450</v>
      </c>
    </row>
    <row r="116" spans="1:3" ht="12.75" customHeight="1" x14ac:dyDescent="0.35">
      <c r="A116"/>
      <c r="B116"/>
      <c r="C116" s="97" t="s">
        <v>4451</v>
      </c>
    </row>
    <row r="117" spans="1:3" ht="12.75" customHeight="1" x14ac:dyDescent="0.35">
      <c r="A117"/>
      <c r="B117"/>
      <c r="C117" s="97" t="s">
        <v>4452</v>
      </c>
    </row>
    <row r="118" spans="1:3" ht="12.75" customHeight="1" x14ac:dyDescent="0.35"/>
    <row r="119" spans="1:3" ht="12.75" customHeight="1" x14ac:dyDescent="0.35">
      <c r="C119" s="97" t="s">
        <v>4453</v>
      </c>
    </row>
    <row r="120" spans="1:3" ht="12.75" customHeight="1" x14ac:dyDescent="0.35">
      <c r="C120" s="97" t="s">
        <v>4454</v>
      </c>
    </row>
  </sheetData>
  <pageMargins left="0.75" right="0.75" top="1" bottom="1" header="0.5" footer="0.5"/>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1">
    <pageSetUpPr autoPageBreaks="0" fitToPage="1"/>
  </sheetPr>
  <dimension ref="C1:D120"/>
  <sheetViews>
    <sheetView workbookViewId="0">
      <selection activeCell="G29" sqref="G29"/>
    </sheetView>
  </sheetViews>
  <sheetFormatPr defaultColWidth="9.1796875" defaultRowHeight="14.5" x14ac:dyDescent="0.35"/>
  <cols>
    <col min="1" max="1" width="9.1796875" style="97"/>
    <col min="2" max="2" width="8.54296875" style="97" customWidth="1"/>
    <col min="3" max="16384" width="9.1796875" style="97"/>
  </cols>
  <sheetData>
    <row r="1" spans="3:4" ht="12.75" customHeight="1" x14ac:dyDescent="0.35"/>
    <row r="2" spans="3:4" ht="12.75" customHeight="1" x14ac:dyDescent="0.35"/>
    <row r="3" spans="3:4" ht="12.75" customHeight="1" x14ac:dyDescent="0.35"/>
    <row r="4" spans="3:4" ht="12.75" customHeight="1" x14ac:dyDescent="0.35">
      <c r="D4" s="97" t="s">
        <v>4455</v>
      </c>
    </row>
    <row r="5" spans="3:4" ht="12.75" customHeight="1" x14ac:dyDescent="0.35"/>
    <row r="6" spans="3:4" ht="12.75" customHeight="1" x14ac:dyDescent="0.35">
      <c r="C6" s="159" t="s">
        <v>2831</v>
      </c>
    </row>
    <row r="7" spans="3:4" ht="12.75" customHeight="1" x14ac:dyDescent="0.35"/>
    <row r="8" spans="3:4" ht="12.75" customHeight="1" x14ac:dyDescent="0.35">
      <c r="C8" s="97" t="s">
        <v>4456</v>
      </c>
    </row>
    <row r="9" spans="3:4" ht="12.75" customHeight="1" x14ac:dyDescent="0.35">
      <c r="C9" s="97" t="s">
        <v>4457</v>
      </c>
    </row>
    <row r="10" spans="3:4" ht="12.75" customHeight="1" x14ac:dyDescent="0.35">
      <c r="C10" s="159" t="s">
        <v>5284</v>
      </c>
    </row>
    <row r="11" spans="3:4" ht="12.75" customHeight="1" x14ac:dyDescent="0.35">
      <c r="C11" s="97" t="s">
        <v>4458</v>
      </c>
    </row>
    <row r="12" spans="3:4" ht="12.75" customHeight="1" x14ac:dyDescent="0.35">
      <c r="C12" s="97" t="s">
        <v>4459</v>
      </c>
    </row>
    <row r="13" spans="3:4" ht="12.75" customHeight="1" x14ac:dyDescent="0.35">
      <c r="C13" s="97" t="s">
        <v>4460</v>
      </c>
    </row>
    <row r="14" spans="3:4" ht="12.75" customHeight="1" x14ac:dyDescent="0.35">
      <c r="C14" s="97" t="s">
        <v>4461</v>
      </c>
    </row>
    <row r="15" spans="3:4" ht="12.75" customHeight="1" x14ac:dyDescent="0.35">
      <c r="C15" s="97" t="s">
        <v>4462</v>
      </c>
    </row>
    <row r="16" spans="3:4" ht="12.75" customHeight="1" x14ac:dyDescent="0.35">
      <c r="C16" s="97" t="s">
        <v>4463</v>
      </c>
    </row>
    <row r="17" spans="3:3" ht="12.75" customHeight="1" x14ac:dyDescent="0.35"/>
    <row r="18" spans="3:3" ht="12.75" customHeight="1" x14ac:dyDescent="0.35">
      <c r="C18" s="97" t="s">
        <v>4464</v>
      </c>
    </row>
    <row r="19" spans="3:3" ht="12.75" customHeight="1" x14ac:dyDescent="0.35">
      <c r="C19" s="97" t="s">
        <v>4465</v>
      </c>
    </row>
    <row r="20" spans="3:3" ht="12.75" customHeight="1" x14ac:dyDescent="0.35">
      <c r="C20" s="97" t="s">
        <v>4466</v>
      </c>
    </row>
    <row r="21" spans="3:3" ht="12.75" customHeight="1" x14ac:dyDescent="0.35">
      <c r="C21" s="97" t="s">
        <v>4467</v>
      </c>
    </row>
    <row r="22" spans="3:3" ht="12.75" customHeight="1" x14ac:dyDescent="0.35"/>
    <row r="23" spans="3:3" ht="12.75" customHeight="1" x14ac:dyDescent="0.35">
      <c r="C23" s="97" t="s">
        <v>2309</v>
      </c>
    </row>
    <row r="24" spans="3:3" ht="12.75" customHeight="1" x14ac:dyDescent="0.35">
      <c r="C24" s="97" t="s">
        <v>4468</v>
      </c>
    </row>
    <row r="25" spans="3:3" ht="12.75" customHeight="1" x14ac:dyDescent="0.35">
      <c r="C25" s="97" t="s">
        <v>4469</v>
      </c>
    </row>
    <row r="26" spans="3:3" ht="12.75" customHeight="1" x14ac:dyDescent="0.35"/>
    <row r="27" spans="3:3" ht="12.75" customHeight="1" x14ac:dyDescent="0.35">
      <c r="C27" s="97" t="s">
        <v>4470</v>
      </c>
    </row>
    <row r="28" spans="3:3" ht="12.75" customHeight="1" x14ac:dyDescent="0.35">
      <c r="C28" s="97" t="s">
        <v>4471</v>
      </c>
    </row>
    <row r="29" spans="3:3" ht="12.75" customHeight="1" x14ac:dyDescent="0.35">
      <c r="C29" s="97" t="s">
        <v>4472</v>
      </c>
    </row>
    <row r="30" spans="3:3" ht="12.75" customHeight="1" x14ac:dyDescent="0.35">
      <c r="C30" s="97" t="s">
        <v>4473</v>
      </c>
    </row>
    <row r="31" spans="3:3" ht="12.75" customHeight="1" x14ac:dyDescent="0.35"/>
    <row r="32" spans="3:3" ht="12.75" customHeight="1" x14ac:dyDescent="0.35">
      <c r="C32" s="97" t="s">
        <v>4474</v>
      </c>
    </row>
    <row r="33" spans="3:3" ht="12.75" customHeight="1" x14ac:dyDescent="0.35">
      <c r="C33" s="97" t="s">
        <v>4475</v>
      </c>
    </row>
    <row r="34" spans="3:3" ht="12.75" customHeight="1" x14ac:dyDescent="0.35">
      <c r="C34" s="97" t="s">
        <v>2871</v>
      </c>
    </row>
    <row r="35" spans="3:3" ht="12.75" customHeight="1" x14ac:dyDescent="0.35"/>
    <row r="36" spans="3:3" ht="12.75" customHeight="1" x14ac:dyDescent="0.35"/>
    <row r="37" spans="3:3" ht="12.75" customHeight="1" x14ac:dyDescent="0.35"/>
    <row r="38" spans="3:3" ht="12.75" customHeight="1" x14ac:dyDescent="0.35"/>
    <row r="39" spans="3:3" ht="12.75" customHeight="1" x14ac:dyDescent="0.35">
      <c r="C39" s="159" t="s">
        <v>2922</v>
      </c>
    </row>
    <row r="40" spans="3:3" ht="12.75" customHeight="1" x14ac:dyDescent="0.35"/>
    <row r="41" spans="3:3" ht="12.75" customHeight="1" x14ac:dyDescent="0.35">
      <c r="C41" s="97" t="s">
        <v>2923</v>
      </c>
    </row>
    <row r="42" spans="3:3" ht="12.75" customHeight="1" x14ac:dyDescent="0.35">
      <c r="C42" s="97" t="s">
        <v>4476</v>
      </c>
    </row>
    <row r="43" spans="3:3" ht="12.75" customHeight="1" x14ac:dyDescent="0.35">
      <c r="C43" s="97" t="s">
        <v>2926</v>
      </c>
    </row>
    <row r="44" spans="3:3" ht="12.75" customHeight="1" x14ac:dyDescent="0.35">
      <c r="C44" s="97" t="s">
        <v>4477</v>
      </c>
    </row>
    <row r="45" spans="3:3" ht="12.75" customHeight="1" x14ac:dyDescent="0.35">
      <c r="C45" s="97" t="s">
        <v>4478</v>
      </c>
    </row>
    <row r="46" spans="3:3" ht="12.75" customHeight="1" x14ac:dyDescent="0.35">
      <c r="C46" s="97" t="s">
        <v>4479</v>
      </c>
    </row>
    <row r="47" spans="3:3" ht="12.75" customHeight="1" x14ac:dyDescent="0.35">
      <c r="C47" s="97" t="s">
        <v>4480</v>
      </c>
    </row>
    <row r="48" spans="3:3" ht="12.75" customHeight="1" x14ac:dyDescent="0.35">
      <c r="C48" s="97" t="s">
        <v>4481</v>
      </c>
    </row>
    <row r="49" spans="3:3" ht="12.75" customHeight="1" x14ac:dyDescent="0.35">
      <c r="C49" s="97" t="s">
        <v>4482</v>
      </c>
    </row>
    <row r="50" spans="3:3" ht="12.75" customHeight="1" x14ac:dyDescent="0.35"/>
    <row r="51" spans="3:3" ht="12.75" customHeight="1" x14ac:dyDescent="0.35">
      <c r="C51" s="97" t="s">
        <v>2956</v>
      </c>
    </row>
    <row r="52" spans="3:3" ht="12.75" customHeight="1" x14ac:dyDescent="0.35">
      <c r="C52" s="97" t="s">
        <v>2957</v>
      </c>
    </row>
    <row r="53" spans="3:3" ht="12.75" customHeight="1" x14ac:dyDescent="0.35">
      <c r="C53" s="97" t="s">
        <v>4483</v>
      </c>
    </row>
    <row r="54" spans="3:3" ht="12.75" customHeight="1" x14ac:dyDescent="0.35">
      <c r="C54" s="97" t="s">
        <v>4484</v>
      </c>
    </row>
    <row r="55" spans="3:3" ht="12.75" customHeight="1" x14ac:dyDescent="0.35">
      <c r="C55" s="97" t="s">
        <v>4485</v>
      </c>
    </row>
    <row r="56" spans="3:3" ht="12.75" customHeight="1" x14ac:dyDescent="0.35"/>
    <row r="57" spans="3:3" ht="12.75" customHeight="1" x14ac:dyDescent="0.35">
      <c r="C57" s="97" t="s">
        <v>4486</v>
      </c>
    </row>
    <row r="58" spans="3:3" ht="12.75" customHeight="1" x14ac:dyDescent="0.35"/>
    <row r="59" spans="3:3" ht="12.75" customHeight="1" x14ac:dyDescent="0.35">
      <c r="C59" s="97" t="s">
        <v>4487</v>
      </c>
    </row>
    <row r="60" spans="3:3" ht="12.75" customHeight="1" x14ac:dyDescent="0.35">
      <c r="C60" s="97" t="s">
        <v>4488</v>
      </c>
    </row>
    <row r="61" spans="3:3" ht="12.75" customHeight="1" x14ac:dyDescent="0.35">
      <c r="C61" s="97" t="s">
        <v>2810</v>
      </c>
    </row>
    <row r="62" spans="3:3" ht="12.75" customHeight="1" x14ac:dyDescent="0.35">
      <c r="C62" s="97" t="s">
        <v>4489</v>
      </c>
    </row>
    <row r="63" spans="3:3" ht="12.75" customHeight="1" x14ac:dyDescent="0.35">
      <c r="C63" s="97" t="s">
        <v>4490</v>
      </c>
    </row>
    <row r="64" spans="3:3" ht="12.75" customHeight="1" x14ac:dyDescent="0.35">
      <c r="C64" s="97" t="s">
        <v>2871</v>
      </c>
    </row>
    <row r="65" spans="3:3" ht="12.75" customHeight="1" x14ac:dyDescent="0.35">
      <c r="C65" s="97" t="s">
        <v>4491</v>
      </c>
    </row>
    <row r="66" spans="3:3" ht="12.75" customHeight="1" x14ac:dyDescent="0.35"/>
    <row r="67" spans="3:3" ht="12.75" customHeight="1" x14ac:dyDescent="0.35">
      <c r="C67" s="97" t="s">
        <v>4492</v>
      </c>
    </row>
    <row r="68" spans="3:3" ht="12.75" customHeight="1" x14ac:dyDescent="0.35">
      <c r="C68" s="97" t="s">
        <v>4493</v>
      </c>
    </row>
    <row r="69" spans="3:3" ht="12.75" customHeight="1" x14ac:dyDescent="0.35">
      <c r="C69" s="97" t="s">
        <v>4494</v>
      </c>
    </row>
    <row r="70" spans="3:3" ht="12.75" customHeight="1" x14ac:dyDescent="0.35">
      <c r="C70" s="97" t="s">
        <v>2970</v>
      </c>
    </row>
    <row r="71" spans="3:3" ht="12.75" customHeight="1" x14ac:dyDescent="0.35">
      <c r="C71" s="97" t="s">
        <v>2966</v>
      </c>
    </row>
    <row r="72" spans="3:3" ht="12.75" customHeight="1" x14ac:dyDescent="0.35">
      <c r="C72" s="97" t="s">
        <v>4495</v>
      </c>
    </row>
    <row r="73" spans="3:3" ht="12.75" customHeight="1" x14ac:dyDescent="0.35">
      <c r="C73" s="97" t="s">
        <v>4496</v>
      </c>
    </row>
    <row r="74" spans="3:3" ht="12.75" customHeight="1" x14ac:dyDescent="0.35"/>
    <row r="75" spans="3:3" ht="12.75" customHeight="1" x14ac:dyDescent="0.35">
      <c r="C75" s="97" t="s">
        <v>2885</v>
      </c>
    </row>
    <row r="76" spans="3:3" ht="12.75" customHeight="1" x14ac:dyDescent="0.35">
      <c r="C76" s="97" t="s">
        <v>4497</v>
      </c>
    </row>
    <row r="77" spans="3:3" ht="12.75" customHeight="1" x14ac:dyDescent="0.35">
      <c r="C77" s="97" t="s">
        <v>4498</v>
      </c>
    </row>
    <row r="78" spans="3:3" ht="12.75" customHeight="1" x14ac:dyDescent="0.35">
      <c r="C78" s="97" t="s">
        <v>4499</v>
      </c>
    </row>
    <row r="79" spans="3:3" ht="12.75" customHeight="1" x14ac:dyDescent="0.35">
      <c r="C79" s="97" t="s">
        <v>4500</v>
      </c>
    </row>
    <row r="80" spans="3:3" ht="12.75" customHeight="1" x14ac:dyDescent="0.35"/>
    <row r="81" spans="3:3" ht="12.75" customHeight="1" x14ac:dyDescent="0.35">
      <c r="C81" s="97" t="s">
        <v>4501</v>
      </c>
    </row>
    <row r="82" spans="3:3" ht="12.75" customHeight="1" x14ac:dyDescent="0.35"/>
    <row r="83" spans="3:3" ht="12.75" customHeight="1" x14ac:dyDescent="0.35">
      <c r="C83" s="97" t="s">
        <v>4502</v>
      </c>
    </row>
    <row r="84" spans="3:3" ht="12.75" customHeight="1" x14ac:dyDescent="0.35"/>
    <row r="85" spans="3:3" ht="12.75" customHeight="1" x14ac:dyDescent="0.35">
      <c r="C85" s="159" t="s">
        <v>2893</v>
      </c>
    </row>
    <row r="86" spans="3:3" ht="12.75" customHeight="1" x14ac:dyDescent="0.35"/>
    <row r="87" spans="3:3" ht="12.75" customHeight="1" x14ac:dyDescent="0.35">
      <c r="C87" s="97" t="s">
        <v>4503</v>
      </c>
    </row>
    <row r="88" spans="3:3" ht="12.75" customHeight="1" x14ac:dyDescent="0.35">
      <c r="C88" s="97" t="s">
        <v>4504</v>
      </c>
    </row>
    <row r="89" spans="3:3" ht="12.75" customHeight="1" x14ac:dyDescent="0.35">
      <c r="C89" s="97" t="s">
        <v>4505</v>
      </c>
    </row>
    <row r="90" spans="3:3" ht="12.75" customHeight="1" x14ac:dyDescent="0.35">
      <c r="C90" s="97" t="s">
        <v>4465</v>
      </c>
    </row>
    <row r="91" spans="3:3" ht="12.75" customHeight="1" x14ac:dyDescent="0.35">
      <c r="C91" s="97" t="s">
        <v>4506</v>
      </c>
    </row>
    <row r="92" spans="3:3" ht="12.75" customHeight="1" x14ac:dyDescent="0.35">
      <c r="C92" s="97" t="s">
        <v>2309</v>
      </c>
    </row>
    <row r="93" spans="3:3" ht="12.75" customHeight="1" x14ac:dyDescent="0.35">
      <c r="C93" s="97" t="s">
        <v>4507</v>
      </c>
    </row>
    <row r="94" spans="3:3" ht="12.75" customHeight="1" x14ac:dyDescent="0.35">
      <c r="C94" s="97" t="s">
        <v>2895</v>
      </c>
    </row>
    <row r="95" spans="3:3" ht="12.75" customHeight="1" x14ac:dyDescent="0.35">
      <c r="C95" s="97" t="s">
        <v>4503</v>
      </c>
    </row>
    <row r="96" spans="3:3" ht="12.75" customHeight="1" x14ac:dyDescent="0.35">
      <c r="C96" s="97" t="s">
        <v>4508</v>
      </c>
    </row>
    <row r="97" spans="3:3" ht="12.75" customHeight="1" x14ac:dyDescent="0.35">
      <c r="C97" s="97" t="s">
        <v>4509</v>
      </c>
    </row>
    <row r="98" spans="3:3" ht="12.75" customHeight="1" x14ac:dyDescent="0.35"/>
    <row r="99" spans="3:3" ht="12.75" customHeight="1" x14ac:dyDescent="0.35">
      <c r="C99" s="97" t="s">
        <v>4510</v>
      </c>
    </row>
    <row r="100" spans="3:3" ht="12.75" customHeight="1" x14ac:dyDescent="0.35">
      <c r="C100" s="97" t="s">
        <v>4511</v>
      </c>
    </row>
    <row r="101" spans="3:3" ht="12.75" customHeight="1" x14ac:dyDescent="0.35">
      <c r="C101" s="97" t="s">
        <v>4512</v>
      </c>
    </row>
    <row r="102" spans="3:3" ht="12.75" customHeight="1" x14ac:dyDescent="0.35">
      <c r="C102" s="97" t="s">
        <v>4513</v>
      </c>
    </row>
    <row r="103" spans="3:3" ht="12.75" customHeight="1" x14ac:dyDescent="0.35">
      <c r="C103" s="97" t="s">
        <v>4514</v>
      </c>
    </row>
    <row r="104" spans="3:3" ht="12.75" customHeight="1" x14ac:dyDescent="0.35">
      <c r="C104" s="97" t="s">
        <v>4515</v>
      </c>
    </row>
    <row r="105" spans="3:3" ht="12.75" customHeight="1" x14ac:dyDescent="0.35">
      <c r="C105" s="97" t="s">
        <v>4516</v>
      </c>
    </row>
    <row r="106" spans="3:3" ht="12.75" customHeight="1" x14ac:dyDescent="0.35">
      <c r="C106" s="97" t="s">
        <v>4517</v>
      </c>
    </row>
    <row r="107" spans="3:3" ht="12.75" customHeight="1" x14ac:dyDescent="0.35">
      <c r="C107" s="97" t="s">
        <v>4510</v>
      </c>
    </row>
    <row r="108" spans="3:3" ht="12.75" customHeight="1" x14ac:dyDescent="0.35"/>
    <row r="109" spans="3:3" ht="12.75" customHeight="1" x14ac:dyDescent="0.35">
      <c r="C109" s="97" t="s">
        <v>4518</v>
      </c>
    </row>
    <row r="110" spans="3:3" ht="12.75" customHeight="1" x14ac:dyDescent="0.35"/>
    <row r="111" spans="3:3" ht="12.75" customHeight="1" x14ac:dyDescent="0.35">
      <c r="C111" s="97" t="s">
        <v>4519</v>
      </c>
    </row>
    <row r="112" spans="3:3" ht="12.75" customHeight="1" x14ac:dyDescent="0.35">
      <c r="C112" s="97" t="s">
        <v>4520</v>
      </c>
    </row>
    <row r="113" spans="3:3" ht="12.75" customHeight="1" x14ac:dyDescent="0.35">
      <c r="C113" s="97" t="s">
        <v>4521</v>
      </c>
    </row>
    <row r="114" spans="3:3" ht="12.75" customHeight="1" x14ac:dyDescent="0.35">
      <c r="C114" s="97" t="s">
        <v>4522</v>
      </c>
    </row>
    <row r="115" spans="3:3" ht="12.75" customHeight="1" x14ac:dyDescent="0.35">
      <c r="C115" s="97" t="s">
        <v>4523</v>
      </c>
    </row>
    <row r="116" spans="3:3" ht="12.75" customHeight="1" x14ac:dyDescent="0.35">
      <c r="C116" s="97" t="s">
        <v>4524</v>
      </c>
    </row>
    <row r="117" spans="3:3" ht="12.75" customHeight="1" x14ac:dyDescent="0.35">
      <c r="C117" s="97" t="s">
        <v>4519</v>
      </c>
    </row>
    <row r="119" spans="3:3" x14ac:dyDescent="0.35">
      <c r="C119" s="97" t="s">
        <v>4525</v>
      </c>
    </row>
    <row r="120" spans="3:3" x14ac:dyDescent="0.35">
      <c r="C120" s="97" t="s">
        <v>4526</v>
      </c>
    </row>
  </sheetData>
  <pageMargins left="0.35433070866141736" right="0.35433070866141736" top="0.59055118110236227" bottom="0.59055118110236227" header="0.51181102362204722" footer="0.51181102362204722"/>
  <pageSetup paperSize="9" fitToHeight="3"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outlinePr showOutlineSymbols="0"/>
    <pageSetUpPr autoPageBreaks="0"/>
  </sheetPr>
  <dimension ref="A1:M494"/>
  <sheetViews>
    <sheetView showGridLines="0" showRowColHeaders="0" showOutlineSymbols="0" zoomScaleNormal="100" workbookViewId="0">
      <selection activeCell="M4" sqref="M4"/>
    </sheetView>
  </sheetViews>
  <sheetFormatPr defaultColWidth="9.1796875" defaultRowHeight="14.5" x14ac:dyDescent="0.35"/>
  <cols>
    <col min="1" max="1" width="6.7265625" style="168" customWidth="1"/>
    <col min="2" max="3" width="0.81640625" style="5" customWidth="1"/>
    <col min="4" max="4" width="30.7265625" style="5" customWidth="1"/>
    <col min="5" max="5" width="6.1796875" style="5" customWidth="1"/>
    <col min="6" max="10" width="11.7265625" style="5" customWidth="1"/>
    <col min="11" max="12" width="0.81640625" style="5" customWidth="1"/>
    <col min="13" max="16384" width="9.1796875" style="5"/>
  </cols>
  <sheetData>
    <row r="1" spans="1:13" ht="5.15" customHeight="1" x14ac:dyDescent="0.35">
      <c r="A1" s="663" t="s">
        <v>42</v>
      </c>
      <c r="B1" s="657"/>
      <c r="C1" s="657"/>
      <c r="D1" s="773" t="str">
        <f>""&amp;IF(AFactor2&lt;=3,D5,D7)</f>
        <v xml:space="preserve"> Discount factor</v>
      </c>
      <c r="E1" s="657"/>
      <c r="F1" s="790">
        <f>IF(AFactor2&lt;=5,F5,F7)</f>
        <v>2.2000000000000002</v>
      </c>
      <c r="G1" s="790">
        <f>IF(AFactor2&lt;=5,G5,G7)</f>
        <v>2.4750000000000001</v>
      </c>
      <c r="H1" s="790">
        <f>IF(AFactor2&lt;=5,H5,H7)</f>
        <v>2.75</v>
      </c>
      <c r="I1" s="790">
        <f>IF(AFactor2&lt;=5,I5,I7)</f>
        <v>3.0249999999999999</v>
      </c>
      <c r="J1" s="790">
        <f>IF(AFactor2&lt;=5,J5,J7)</f>
        <v>3.3</v>
      </c>
      <c r="K1" s="657"/>
      <c r="L1" s="657"/>
      <c r="M1" s="778"/>
    </row>
    <row r="2" spans="1:13" ht="5.15" customHeight="1" x14ac:dyDescent="0.35">
      <c r="A2" s="775" t="s">
        <v>1673</v>
      </c>
      <c r="B2" s="791"/>
      <c r="C2" s="791"/>
      <c r="D2" s="791"/>
      <c r="E2" s="791"/>
      <c r="F2" s="791"/>
      <c r="G2" s="791"/>
      <c r="H2" s="791"/>
      <c r="I2" s="791"/>
      <c r="J2" s="791"/>
      <c r="K2" s="791"/>
      <c r="L2" s="791"/>
      <c r="M2" s="778"/>
    </row>
    <row r="3" spans="1:13" ht="15" customHeight="1" x14ac:dyDescent="0.35">
      <c r="A3" s="775" t="s">
        <v>1673</v>
      </c>
      <c r="B3" s="791"/>
      <c r="C3" s="792" t="s">
        <v>1674</v>
      </c>
      <c r="D3" s="793"/>
      <c r="E3" s="793"/>
      <c r="F3" s="793"/>
      <c r="G3" s="793"/>
      <c r="H3" s="793"/>
      <c r="I3" s="793"/>
      <c r="J3" s="793"/>
      <c r="K3" s="794"/>
      <c r="L3" s="791"/>
      <c r="M3" s="778"/>
    </row>
    <row r="4" spans="1:13" ht="5.15" customHeight="1" x14ac:dyDescent="0.35">
      <c r="A4" s="775"/>
      <c r="B4" s="791"/>
      <c r="C4" s="795"/>
      <c r="D4" s="796"/>
      <c r="E4" s="796"/>
      <c r="F4" s="796"/>
      <c r="G4" s="796"/>
      <c r="H4" s="796"/>
      <c r="I4" s="796"/>
      <c r="J4" s="796"/>
      <c r="K4" s="797"/>
      <c r="L4" s="791"/>
      <c r="M4" s="778"/>
    </row>
    <row r="5" spans="1:13" ht="12.75" customHeight="1" x14ac:dyDescent="0.35">
      <c r="A5" s="663">
        <v>2.75</v>
      </c>
      <c r="B5" s="791"/>
      <c r="C5" s="798"/>
      <c r="D5" s="799" t="s">
        <v>1675</v>
      </c>
      <c r="E5" s="800"/>
      <c r="F5" s="801">
        <f>$H5-($H5*0.2)</f>
        <v>2.2000000000000002</v>
      </c>
      <c r="G5" s="802">
        <f>$H5-($H5*0.1)</f>
        <v>2.4750000000000001</v>
      </c>
      <c r="H5" s="803">
        <f>DiscYear</f>
        <v>2.75</v>
      </c>
      <c r="I5" s="802">
        <f>$H5+($H5*0.1)</f>
        <v>3.0249999999999999</v>
      </c>
      <c r="J5" s="804">
        <f>$H5+($H5*0.2)</f>
        <v>3.3</v>
      </c>
      <c r="K5" s="805"/>
      <c r="L5" s="791"/>
      <c r="M5" s="778"/>
    </row>
    <row r="6" spans="1:13" ht="12.75" customHeight="1" x14ac:dyDescent="0.35">
      <c r="A6" s="663">
        <v>0</v>
      </c>
      <c r="B6" s="791"/>
      <c r="C6" s="798"/>
      <c r="D6" s="806" t="s">
        <v>1676</v>
      </c>
      <c r="E6" s="807"/>
      <c r="F6" s="808">
        <f>(F5-$H5)/IF($H5=0,0.00001,$H5)*100</f>
        <v>-19.999999999999993</v>
      </c>
      <c r="G6" s="809">
        <f>(G5-$H5)/IF($H5=0,0.00001,$H5)*100</f>
        <v>-9.9999999999999964</v>
      </c>
      <c r="H6" s="810">
        <v>0</v>
      </c>
      <c r="I6" s="809">
        <f>(I5-$H5)/IF($H5=0,0.00001,$H5)*100</f>
        <v>9.9999999999999964</v>
      </c>
      <c r="J6" s="811">
        <f>(J5-$H5)/IF($H5=0,0.00001,$H5)*100</f>
        <v>19.999999999999993</v>
      </c>
      <c r="K6" s="805"/>
      <c r="L6" s="791"/>
      <c r="M6" s="778"/>
    </row>
    <row r="7" spans="1:13" ht="15.5" hidden="1" x14ac:dyDescent="0.35">
      <c r="A7" s="663">
        <v>0</v>
      </c>
      <c r="B7" s="791"/>
      <c r="C7" s="798"/>
      <c r="D7" s="799" t="s">
        <v>1677</v>
      </c>
      <c r="E7" s="800"/>
      <c r="F7" s="801">
        <f>$H7-($H7*0.2)</f>
        <v>0</v>
      </c>
      <c r="G7" s="802">
        <f>$H7-($H7*0.1)</f>
        <v>0</v>
      </c>
      <c r="H7" s="1210">
        <f>DiscYearEquity</f>
        <v>0</v>
      </c>
      <c r="I7" s="802">
        <f>$H7+($H7*0.1)</f>
        <v>0</v>
      </c>
      <c r="J7" s="804">
        <f>$H7+($H7*0.2)</f>
        <v>0</v>
      </c>
      <c r="K7" s="805"/>
      <c r="L7" s="791"/>
      <c r="M7" s="778"/>
    </row>
    <row r="8" spans="1:13" ht="15.5" hidden="1" x14ac:dyDescent="0.35">
      <c r="A8" s="663">
        <v>0</v>
      </c>
      <c r="B8" s="791"/>
      <c r="C8" s="798"/>
      <c r="D8" s="806" t="str">
        <f>$D$6</f>
        <v xml:space="preserve"> Change, %</v>
      </c>
      <c r="E8" s="807"/>
      <c r="F8" s="808">
        <f>(F7-$H7)/IF($H7=0,0.00001,$H7)*100</f>
        <v>0</v>
      </c>
      <c r="G8" s="809">
        <f>(G7-$H7)/IF($H7=0,0.00001,$H7)*100</f>
        <v>0</v>
      </c>
      <c r="H8" s="809">
        <v>0</v>
      </c>
      <c r="I8" s="809">
        <f>(I7-$H7)/IF($H7=0,0.00001,$H7)*100</f>
        <v>0</v>
      </c>
      <c r="J8" s="811">
        <f>(J7-$H7)/IF($H7=0,0.00001,$H7)*100</f>
        <v>0</v>
      </c>
      <c r="K8" s="805"/>
      <c r="L8" s="791"/>
      <c r="M8" s="778"/>
    </row>
    <row r="9" spans="1:13" ht="16" customHeight="1" x14ac:dyDescent="0.35">
      <c r="A9" s="663">
        <v>39895817.305392884</v>
      </c>
      <c r="B9" s="791"/>
      <c r="C9" s="798"/>
      <c r="D9" s="812" t="str">
        <f>" "&amp;INDEX(AFactorList2,AFactor2)</f>
        <v xml:space="preserve"> Net Present Value (NPV)</v>
      </c>
      <c r="E9" s="813"/>
      <c r="F9" s="1217">
        <v>41118006.046516784</v>
      </c>
      <c r="G9" s="1218">
        <v>40502364.552645579</v>
      </c>
      <c r="H9" s="1219">
        <v>39895817.305392884</v>
      </c>
      <c r="I9" s="1220">
        <v>39298201.20435638</v>
      </c>
      <c r="J9" s="1221">
        <v>38709356.556832239</v>
      </c>
      <c r="K9" s="805"/>
      <c r="L9" s="791"/>
      <c r="M9" s="778"/>
    </row>
    <row r="10" spans="1:13" ht="15.5" hidden="1" x14ac:dyDescent="0.35">
      <c r="A10" s="663">
        <v>39895817.305392884</v>
      </c>
      <c r="B10" s="791"/>
      <c r="C10" s="798"/>
      <c r="D10" s="814"/>
      <c r="E10" s="815"/>
      <c r="F10" s="816">
        <v>41118006.046516784</v>
      </c>
      <c r="G10" s="650">
        <v>40502364.552645579</v>
      </c>
      <c r="H10" s="650">
        <v>39895817.305392884</v>
      </c>
      <c r="I10" s="650">
        <v>39298201.20435638</v>
      </c>
      <c r="J10" s="817">
        <v>38709356.556832239</v>
      </c>
      <c r="K10" s="805"/>
      <c r="L10" s="791"/>
      <c r="M10" s="778"/>
    </row>
    <row r="11" spans="1:13" ht="15.5" hidden="1" x14ac:dyDescent="0.35">
      <c r="A11" s="663">
        <v>5.7491919579975583</v>
      </c>
      <c r="B11" s="791"/>
      <c r="C11" s="798"/>
      <c r="D11" s="814"/>
      <c r="E11" s="815"/>
      <c r="F11" s="818">
        <v>5.8828282885752206</v>
      </c>
      <c r="G11" s="652">
        <v>5.8155677282139839</v>
      </c>
      <c r="H11" s="652">
        <v>5.7491919579975583</v>
      </c>
      <c r="I11" s="652">
        <v>5.6836865555372817</v>
      </c>
      <c r="J11" s="819">
        <v>5.6190373715288056</v>
      </c>
      <c r="K11" s="805"/>
      <c r="L11" s="791"/>
      <c r="M11" s="778"/>
    </row>
    <row r="12" spans="1:13" ht="15.5" hidden="1" x14ac:dyDescent="0.35">
      <c r="A12" s="663">
        <v>39345017.293103077</v>
      </c>
      <c r="B12" s="791"/>
      <c r="C12" s="798"/>
      <c r="D12" s="814"/>
      <c r="E12" s="815"/>
      <c r="F12" s="816">
        <v>40676419.807671264</v>
      </c>
      <c r="G12" s="650">
        <v>40006115.457268454</v>
      </c>
      <c r="H12" s="650">
        <v>39345017.293103077</v>
      </c>
      <c r="I12" s="650">
        <v>38692960.24735938</v>
      </c>
      <c r="J12" s="817">
        <v>38049782.709426694</v>
      </c>
      <c r="K12" s="805"/>
      <c r="L12" s="791"/>
      <c r="M12" s="778"/>
    </row>
    <row r="13" spans="1:13" ht="15.5" hidden="1" x14ac:dyDescent="0.35">
      <c r="A13" s="663">
        <v>2.6216576699339078</v>
      </c>
      <c r="B13" s="791"/>
      <c r="C13" s="798"/>
      <c r="D13" s="814"/>
      <c r="E13" s="815"/>
      <c r="F13" s="820">
        <v>2.598816867373877</v>
      </c>
      <c r="G13" s="654">
        <v>2.610186974073486</v>
      </c>
      <c r="H13" s="654">
        <v>2.6216576699339078</v>
      </c>
      <c r="I13" s="654">
        <v>2.6332293034066625</v>
      </c>
      <c r="J13" s="821">
        <v>2.644902222943267</v>
      </c>
      <c r="K13" s="805"/>
      <c r="L13" s="791"/>
      <c r="M13" s="778"/>
    </row>
    <row r="14" spans="1:13" ht="15.5" hidden="1" x14ac:dyDescent="0.35">
      <c r="A14" s="663">
        <v>2.5114354093822029</v>
      </c>
      <c r="B14" s="791"/>
      <c r="C14" s="798"/>
      <c r="D14" s="814"/>
      <c r="E14" s="815"/>
      <c r="F14" s="820">
        <v>2.5114354093822029</v>
      </c>
      <c r="G14" s="654">
        <v>2.5114354093822029</v>
      </c>
      <c r="H14" s="654">
        <v>2.5114354093822029</v>
      </c>
      <c r="I14" s="654">
        <v>2.5114354093822029</v>
      </c>
      <c r="J14" s="821">
        <v>2.5114354093822029</v>
      </c>
      <c r="K14" s="805"/>
      <c r="L14" s="791"/>
      <c r="M14" s="778"/>
    </row>
    <row r="15" spans="1:13" ht="15.5" hidden="1" x14ac:dyDescent="0.35">
      <c r="A15" s="663">
        <v>46391295.337819979</v>
      </c>
      <c r="B15" s="791"/>
      <c r="C15" s="798"/>
      <c r="D15" s="814"/>
      <c r="E15" s="815"/>
      <c r="F15" s="816">
        <v>46391295.337819979</v>
      </c>
      <c r="G15" s="650">
        <v>46391295.337819979</v>
      </c>
      <c r="H15" s="650">
        <v>46391295.337819979</v>
      </c>
      <c r="I15" s="650">
        <v>46391295.337819979</v>
      </c>
      <c r="J15" s="817">
        <v>46391295.337819979</v>
      </c>
      <c r="K15" s="805"/>
      <c r="L15" s="791"/>
      <c r="M15" s="778"/>
    </row>
    <row r="16" spans="1:13" ht="15.5" hidden="1" x14ac:dyDescent="0.35">
      <c r="A16" s="663">
        <v>2.5114354093822029</v>
      </c>
      <c r="B16" s="791"/>
      <c r="C16" s="798"/>
      <c r="D16" s="814"/>
      <c r="E16" s="815"/>
      <c r="F16" s="820">
        <v>2.5114354093822029</v>
      </c>
      <c r="G16" s="654">
        <v>2.5114354093822029</v>
      </c>
      <c r="H16" s="654">
        <v>2.5114354093822029</v>
      </c>
      <c r="I16" s="654">
        <v>2.5114354093822029</v>
      </c>
      <c r="J16" s="821">
        <v>2.5114354093822029</v>
      </c>
      <c r="K16" s="805"/>
      <c r="L16" s="791"/>
      <c r="M16" s="778"/>
    </row>
    <row r="17" spans="1:13" ht="15.5" hidden="1" x14ac:dyDescent="0.35">
      <c r="A17" s="663">
        <v>2.5114354093822029</v>
      </c>
      <c r="B17" s="791"/>
      <c r="C17" s="798"/>
      <c r="D17" s="814"/>
      <c r="E17" s="815"/>
      <c r="F17" s="820">
        <v>2.5114354093822029</v>
      </c>
      <c r="G17" s="654">
        <v>2.5114354093822029</v>
      </c>
      <c r="H17" s="654">
        <v>2.5114354093822029</v>
      </c>
      <c r="I17" s="654">
        <v>2.5114354093822029</v>
      </c>
      <c r="J17" s="821">
        <v>2.5114354093822029</v>
      </c>
      <c r="K17" s="805"/>
      <c r="L17" s="791"/>
      <c r="M17" s="778"/>
    </row>
    <row r="18" spans="1:13" ht="12.75" customHeight="1" x14ac:dyDescent="0.35">
      <c r="A18" s="663">
        <v>0</v>
      </c>
      <c r="B18" s="791"/>
      <c r="C18" s="798"/>
      <c r="D18" s="822" t="str">
        <f>$D$6</f>
        <v xml:space="preserve"> Change, %</v>
      </c>
      <c r="E18" s="823"/>
      <c r="F18" s="808">
        <f>IF(AND(ISNUMBER(F9),ISNUMBER($H9)),IF($H9=0,IF(F9&lt;&gt;0,NA(),0),(F9-$H9)/ABS($H9)*100),NA())</f>
        <v>3.063450816832098</v>
      </c>
      <c r="G18" s="809">
        <f>IF(AND(ISNUMBER(G9),ISNUMBER($H9)),IF($H9=0,IF(G9&lt;&gt;0,NA(),0),(G9-$H9)/ABS($H9)*100),NA())</f>
        <v>1.5203279146024806</v>
      </c>
      <c r="H18" s="809">
        <v>0</v>
      </c>
      <c r="I18" s="809">
        <f>IF(AND(ISNUMBER(I9),ISNUMBER($H9)),IF($H9=0,IF(I9&lt;&gt;0,NA(),0),(I9-$H9)/ABS($H9)*100),NA())</f>
        <v>-1.4979417427694148</v>
      </c>
      <c r="J18" s="811">
        <f>IF(AND(ISNUMBER(J9),ISNUMBER($H9)),IF($H9=0,IF(J9&lt;&gt;0,NA(),0),(J9-$H9)/ABS($H9)*100),NA())</f>
        <v>-2.9738975880067153</v>
      </c>
      <c r="K18" s="805"/>
      <c r="L18" s="791"/>
      <c r="M18" s="778"/>
    </row>
    <row r="19" spans="1:13" ht="12.75" customHeight="1" x14ac:dyDescent="0.35">
      <c r="A19" s="663"/>
      <c r="B19" s="791"/>
      <c r="C19" s="798"/>
      <c r="D19" s="824"/>
      <c r="E19" s="824"/>
      <c r="F19" s="824"/>
      <c r="G19" s="824"/>
      <c r="H19" s="824"/>
      <c r="I19" s="824"/>
      <c r="J19" s="824"/>
      <c r="K19" s="805"/>
      <c r="L19" s="791"/>
      <c r="M19" s="778"/>
    </row>
    <row r="20" spans="1:13" ht="12.75" customHeight="1" x14ac:dyDescent="0.35">
      <c r="A20" s="663"/>
      <c r="B20" s="791"/>
      <c r="C20" s="798"/>
      <c r="D20" s="825"/>
      <c r="E20" s="826"/>
      <c r="F20" s="826"/>
      <c r="G20" s="826"/>
      <c r="H20" s="826"/>
      <c r="I20" s="826"/>
      <c r="J20" s="826"/>
      <c r="K20" s="805"/>
      <c r="L20" s="791"/>
      <c r="M20" s="778"/>
    </row>
    <row r="21" spans="1:13" ht="12.75" customHeight="1" x14ac:dyDescent="0.35">
      <c r="A21" s="663"/>
      <c r="B21" s="791"/>
      <c r="C21" s="798"/>
      <c r="D21" s="826"/>
      <c r="E21" s="826"/>
      <c r="F21" s="826"/>
      <c r="G21" s="826"/>
      <c r="H21" s="826"/>
      <c r="I21" s="826"/>
      <c r="J21" s="826"/>
      <c r="K21" s="805"/>
      <c r="L21" s="791"/>
      <c r="M21" s="778"/>
    </row>
    <row r="22" spans="1:13" ht="12.75" customHeight="1" x14ac:dyDescent="0.35">
      <c r="A22" s="663"/>
      <c r="B22" s="791"/>
      <c r="C22" s="798"/>
      <c r="D22" s="826"/>
      <c r="E22" s="826"/>
      <c r="F22" s="826"/>
      <c r="G22" s="826"/>
      <c r="H22" s="826"/>
      <c r="I22" s="826"/>
      <c r="J22" s="826"/>
      <c r="K22" s="805"/>
      <c r="L22" s="791"/>
      <c r="M22" s="778"/>
    </row>
    <row r="23" spans="1:13" ht="12.75" customHeight="1" x14ac:dyDescent="0.35">
      <c r="A23" s="663"/>
      <c r="B23" s="791"/>
      <c r="C23" s="798"/>
      <c r="D23" s="826"/>
      <c r="E23" s="826"/>
      <c r="F23" s="826"/>
      <c r="G23" s="826"/>
      <c r="H23" s="826"/>
      <c r="I23" s="826"/>
      <c r="J23" s="826"/>
      <c r="K23" s="805"/>
      <c r="L23" s="791"/>
      <c r="M23" s="778"/>
    </row>
    <row r="24" spans="1:13" ht="12.75" customHeight="1" x14ac:dyDescent="0.35">
      <c r="A24" s="663"/>
      <c r="B24" s="791"/>
      <c r="C24" s="798"/>
      <c r="D24" s="826"/>
      <c r="E24" s="826"/>
      <c r="F24" s="826"/>
      <c r="G24" s="826"/>
      <c r="H24" s="826"/>
      <c r="I24" s="826"/>
      <c r="J24" s="826"/>
      <c r="K24" s="805"/>
      <c r="L24" s="791"/>
      <c r="M24" s="778"/>
    </row>
    <row r="25" spans="1:13" ht="12.75" customHeight="1" x14ac:dyDescent="0.35">
      <c r="A25" s="663"/>
      <c r="B25" s="791"/>
      <c r="C25" s="798"/>
      <c r="D25" s="826"/>
      <c r="E25" s="826"/>
      <c r="F25" s="826"/>
      <c r="G25" s="826"/>
      <c r="H25" s="826"/>
      <c r="I25" s="826"/>
      <c r="J25" s="826"/>
      <c r="K25" s="805"/>
      <c r="L25" s="791"/>
      <c r="M25" s="778"/>
    </row>
    <row r="26" spans="1:13" ht="12.75" customHeight="1" x14ac:dyDescent="0.35">
      <c r="A26" s="663"/>
      <c r="B26" s="791"/>
      <c r="C26" s="798"/>
      <c r="D26" s="826"/>
      <c r="E26" s="826"/>
      <c r="F26" s="826"/>
      <c r="G26" s="826"/>
      <c r="H26" s="826"/>
      <c r="I26" s="826"/>
      <c r="J26" s="826"/>
      <c r="K26" s="805"/>
      <c r="L26" s="791"/>
      <c r="M26" s="778"/>
    </row>
    <row r="27" spans="1:13" ht="12.75" customHeight="1" x14ac:dyDescent="0.35">
      <c r="A27" s="663"/>
      <c r="B27" s="791"/>
      <c r="C27" s="798"/>
      <c r="D27" s="826"/>
      <c r="E27" s="826"/>
      <c r="F27" s="826"/>
      <c r="G27" s="826"/>
      <c r="H27" s="826"/>
      <c r="I27" s="826"/>
      <c r="J27" s="826"/>
      <c r="K27" s="805"/>
      <c r="L27" s="791"/>
      <c r="M27" s="778"/>
    </row>
    <row r="28" spans="1:13" ht="12.75" customHeight="1" x14ac:dyDescent="0.35">
      <c r="A28" s="663"/>
      <c r="B28" s="791"/>
      <c r="C28" s="798"/>
      <c r="D28" s="826"/>
      <c r="E28" s="826"/>
      <c r="F28" s="826"/>
      <c r="G28" s="826"/>
      <c r="H28" s="826"/>
      <c r="I28" s="826"/>
      <c r="J28" s="826"/>
      <c r="K28" s="805"/>
      <c r="L28" s="791"/>
      <c r="M28" s="778"/>
    </row>
    <row r="29" spans="1:13" ht="12.75" customHeight="1" x14ac:dyDescent="0.35">
      <c r="A29" s="663"/>
      <c r="B29" s="791"/>
      <c r="C29" s="798"/>
      <c r="D29" s="825"/>
      <c r="E29" s="826"/>
      <c r="F29" s="826"/>
      <c r="G29" s="826"/>
      <c r="H29" s="826"/>
      <c r="I29" s="826"/>
      <c r="J29" s="826"/>
      <c r="K29" s="805"/>
      <c r="L29" s="791"/>
      <c r="M29" s="778"/>
    </row>
    <row r="30" spans="1:13" ht="12.75" customHeight="1" x14ac:dyDescent="0.35">
      <c r="A30" s="663"/>
      <c r="B30" s="791"/>
      <c r="C30" s="798"/>
      <c r="D30" s="826"/>
      <c r="E30" s="826"/>
      <c r="F30" s="826"/>
      <c r="G30" s="826"/>
      <c r="H30" s="826"/>
      <c r="I30" s="826"/>
      <c r="J30" s="826"/>
      <c r="K30" s="805"/>
      <c r="L30" s="791"/>
      <c r="M30" s="778"/>
    </row>
    <row r="31" spans="1:13" ht="12.75" customHeight="1" x14ac:dyDescent="0.35">
      <c r="A31" s="663"/>
      <c r="B31" s="791"/>
      <c r="C31" s="798"/>
      <c r="D31" s="826"/>
      <c r="E31" s="826"/>
      <c r="F31" s="826"/>
      <c r="G31" s="826"/>
      <c r="H31" s="826"/>
      <c r="I31" s="826"/>
      <c r="J31" s="826"/>
      <c r="K31" s="805"/>
      <c r="L31" s="791"/>
      <c r="M31" s="778"/>
    </row>
    <row r="32" spans="1:13" ht="12.75" customHeight="1" x14ac:dyDescent="0.35">
      <c r="A32" s="663"/>
      <c r="B32" s="791"/>
      <c r="C32" s="798"/>
      <c r="D32" s="826"/>
      <c r="E32" s="826"/>
      <c r="F32" s="826"/>
      <c r="G32" s="826"/>
      <c r="H32" s="826"/>
      <c r="I32" s="826"/>
      <c r="J32" s="826"/>
      <c r="K32" s="805"/>
      <c r="L32" s="791"/>
      <c r="M32" s="778"/>
    </row>
    <row r="33" spans="1:13" ht="16" customHeight="1" x14ac:dyDescent="0.35">
      <c r="A33" s="663"/>
      <c r="B33" s="791"/>
      <c r="C33" s="798"/>
      <c r="D33" s="827" t="str">
        <f>D78</f>
        <v xml:space="preserve"> Key financials</v>
      </c>
      <c r="E33" s="828"/>
      <c r="F33" s="829">
        <f>F1</f>
        <v>2.2000000000000002</v>
      </c>
      <c r="G33" s="830">
        <f t="shared" ref="G33:J33" si="0">G1</f>
        <v>2.4750000000000001</v>
      </c>
      <c r="H33" s="830">
        <f t="shared" si="0"/>
        <v>2.75</v>
      </c>
      <c r="I33" s="830">
        <f t="shared" si="0"/>
        <v>3.0249999999999999</v>
      </c>
      <c r="J33" s="831">
        <f t="shared" si="0"/>
        <v>3.3</v>
      </c>
      <c r="K33" s="805"/>
      <c r="L33" s="791"/>
      <c r="M33" s="778"/>
    </row>
    <row r="34" spans="1:13" ht="16" customHeight="1" x14ac:dyDescent="0.35">
      <c r="A34" s="663"/>
      <c r="B34" s="791"/>
      <c r="C34" s="798"/>
      <c r="D34" s="827" t="str">
        <f>" "&amp;INDEX(RatiosDD,Analysis06Ratio01)</f>
        <v xml:space="preserve"> EBITDA; Operating income before depreciation, Euro</v>
      </c>
      <c r="E34" s="832"/>
      <c r="F34" s="836">
        <v>1245140.6741645718</v>
      </c>
      <c r="G34" s="837">
        <v>1245140.6741645718</v>
      </c>
      <c r="H34" s="837">
        <v>1245140.6741645718</v>
      </c>
      <c r="I34" s="837">
        <v>1245140.6741645718</v>
      </c>
      <c r="J34" s="838">
        <v>1245140.6741645718</v>
      </c>
      <c r="K34" s="805"/>
      <c r="L34" s="791"/>
      <c r="M34" s="778"/>
    </row>
    <row r="35" spans="1:13" ht="16" customHeight="1" x14ac:dyDescent="0.35">
      <c r="A35" s="663"/>
      <c r="B35" s="791"/>
      <c r="C35" s="798"/>
      <c r="D35" s="827" t="str">
        <f>" "&amp;INDEX(RatiosDD,Analysis06Ratio02)</f>
        <v xml:space="preserve"> EBITDA, %</v>
      </c>
      <c r="E35" s="832"/>
      <c r="F35" s="860">
        <v>0.10864077453878564</v>
      </c>
      <c r="G35" s="861">
        <v>0.10864077453878564</v>
      </c>
      <c r="H35" s="861">
        <v>0.10864077453878564</v>
      </c>
      <c r="I35" s="861">
        <v>0.10864077453878564</v>
      </c>
      <c r="J35" s="862">
        <v>0.10864077453878564</v>
      </c>
      <c r="K35" s="805"/>
      <c r="L35" s="791"/>
      <c r="M35" s="778"/>
    </row>
    <row r="36" spans="1:13" ht="16" customHeight="1" x14ac:dyDescent="0.35">
      <c r="A36" s="663"/>
      <c r="B36" s="791"/>
      <c r="C36" s="798"/>
      <c r="D36" s="827" t="str">
        <f>" "&amp;INDEX(RatiosDD,Analysis06Ratio03)</f>
        <v xml:space="preserve"> EBIT; Operating income, Euro</v>
      </c>
      <c r="E36" s="832"/>
      <c r="F36" s="836">
        <v>1012140.6741645717</v>
      </c>
      <c r="G36" s="837">
        <v>1012140.6741645717</v>
      </c>
      <c r="H36" s="837">
        <v>1012140.6741645717</v>
      </c>
      <c r="I36" s="837">
        <v>1012140.6741645717</v>
      </c>
      <c r="J36" s="838">
        <v>1012140.6741645717</v>
      </c>
      <c r="K36" s="805"/>
      <c r="L36" s="791"/>
      <c r="M36" s="778"/>
    </row>
    <row r="37" spans="1:13" ht="16" customHeight="1" x14ac:dyDescent="0.35">
      <c r="A37" s="663"/>
      <c r="B37" s="791"/>
      <c r="C37" s="798"/>
      <c r="D37" s="827" t="str">
        <f>" "&amp;INDEX(RatiosDD,Analysis06Ratio04)</f>
        <v xml:space="preserve"> EBIT, %</v>
      </c>
      <c r="E37" s="832"/>
      <c r="F37" s="860">
        <v>8.8311103367677959E-2</v>
      </c>
      <c r="G37" s="861">
        <v>8.8311103367677959E-2</v>
      </c>
      <c r="H37" s="861">
        <v>8.8311103367677959E-2</v>
      </c>
      <c r="I37" s="861">
        <v>8.8311103367677959E-2</v>
      </c>
      <c r="J37" s="862">
        <v>8.8311103367677959E-2</v>
      </c>
      <c r="K37" s="805"/>
      <c r="L37" s="791"/>
      <c r="M37" s="778"/>
    </row>
    <row r="38" spans="1:13" ht="16" customHeight="1" x14ac:dyDescent="0.35">
      <c r="A38" s="663"/>
      <c r="B38" s="791"/>
      <c r="C38" s="798"/>
      <c r="D38" s="827" t="str">
        <f>" "&amp;INDEX(RatiosDD,Analysis06Ratio05)</f>
        <v xml:space="preserve"> Return on net assets (RONA), %</v>
      </c>
      <c r="E38" s="832"/>
      <c r="F38" s="888">
        <v>4.1620387100678974E-2</v>
      </c>
      <c r="G38" s="889">
        <v>4.1620387100678974E-2</v>
      </c>
      <c r="H38" s="889">
        <v>4.1620387100678974E-2</v>
      </c>
      <c r="I38" s="889">
        <v>4.1620387100678974E-2</v>
      </c>
      <c r="J38" s="890">
        <v>4.1620387100678974E-2</v>
      </c>
      <c r="K38" s="805"/>
      <c r="L38" s="791"/>
      <c r="M38" s="778"/>
    </row>
    <row r="39" spans="1:13" ht="16" customHeight="1" x14ac:dyDescent="0.35">
      <c r="A39" s="663"/>
      <c r="B39" s="791"/>
      <c r="C39" s="798"/>
      <c r="D39" s="827" t="str">
        <f>" "&amp;INDEX(RatiosDD,Analysis06Ratio06)</f>
        <v xml:space="preserve"> Economic Value Added (EVA), Euro</v>
      </c>
      <c r="E39" s="832"/>
      <c r="F39" s="836">
        <v>193736.77480235253</v>
      </c>
      <c r="G39" s="837">
        <v>126861.21097783523</v>
      </c>
      <c r="H39" s="837">
        <v>59985.647153318045</v>
      </c>
      <c r="I39" s="837">
        <v>-6889.9166711992584</v>
      </c>
      <c r="J39" s="838">
        <v>-73765.480495716445</v>
      </c>
      <c r="K39" s="805"/>
      <c r="L39" s="791"/>
      <c r="M39" s="778"/>
    </row>
    <row r="40" spans="1:13" ht="5.15" customHeight="1" x14ac:dyDescent="0.35">
      <c r="A40" s="663"/>
      <c r="B40" s="791"/>
      <c r="C40" s="839"/>
      <c r="D40" s="840"/>
      <c r="E40" s="840"/>
      <c r="F40" s="840"/>
      <c r="G40" s="840"/>
      <c r="H40" s="840"/>
      <c r="I40" s="840"/>
      <c r="J40" s="840"/>
      <c r="K40" s="841"/>
      <c r="L40" s="791"/>
      <c r="M40" s="778"/>
    </row>
    <row r="41" spans="1:13" ht="5.15" customHeight="1" x14ac:dyDescent="0.35">
      <c r="A41" s="663"/>
      <c r="B41" s="285"/>
      <c r="C41" s="285"/>
      <c r="D41" s="285"/>
      <c r="E41" s="285"/>
      <c r="F41" s="285"/>
      <c r="G41" s="285"/>
      <c r="H41" s="285"/>
      <c r="I41" s="285"/>
      <c r="J41" s="285"/>
      <c r="K41" s="285"/>
      <c r="L41" s="285"/>
      <c r="M41" s="778"/>
    </row>
    <row r="42" spans="1:13" ht="12.75" customHeight="1" x14ac:dyDescent="0.35">
      <c r="A42" s="663"/>
      <c r="B42" s="285"/>
      <c r="C42" s="285"/>
      <c r="D42" s="285"/>
      <c r="E42" s="285"/>
      <c r="F42" s="285"/>
      <c r="G42" s="285"/>
      <c r="H42" s="285"/>
      <c r="I42" s="285"/>
      <c r="J42" s="285"/>
      <c r="K42" s="285"/>
      <c r="L42" s="285"/>
      <c r="M42" s="778"/>
    </row>
    <row r="43" spans="1:13" ht="5.15" customHeight="1" x14ac:dyDescent="0.35">
      <c r="A43" s="663" t="s">
        <v>1678</v>
      </c>
      <c r="B43" s="285"/>
      <c r="C43" s="285"/>
      <c r="D43" s="285"/>
      <c r="E43" s="285"/>
      <c r="F43" s="285"/>
      <c r="G43" s="285"/>
      <c r="H43" s="285"/>
      <c r="I43" s="285"/>
      <c r="J43" s="285"/>
      <c r="K43" s="285"/>
      <c r="L43" s="285"/>
      <c r="M43" s="778"/>
    </row>
    <row r="44" spans="1:13" ht="15" customHeight="1" x14ac:dyDescent="0.35">
      <c r="A44" s="663" t="s">
        <v>1678</v>
      </c>
      <c r="B44" s="791"/>
      <c r="C44" s="792" t="s">
        <v>1679</v>
      </c>
      <c r="D44" s="793"/>
      <c r="E44" s="793"/>
      <c r="F44" s="793"/>
      <c r="G44" s="793"/>
      <c r="H44" s="793"/>
      <c r="I44" s="793"/>
      <c r="J44" s="793"/>
      <c r="K44" s="794"/>
      <c r="L44" s="791"/>
      <c r="M44" s="778"/>
    </row>
    <row r="45" spans="1:13" ht="5.15" customHeight="1" x14ac:dyDescent="0.35">
      <c r="A45" s="663"/>
      <c r="B45" s="791"/>
      <c r="C45" s="798"/>
      <c r="D45" s="796"/>
      <c r="E45" s="796"/>
      <c r="F45" s="783">
        <f ca="1">1+(F47/100)</f>
        <v>0.8</v>
      </c>
      <c r="G45" s="783">
        <f ca="1">(1+(G47/100))/F45</f>
        <v>1.125</v>
      </c>
      <c r="H45" s="842"/>
      <c r="I45" s="783">
        <f ca="1">(1+(I47/100))/(1+(G47/100))</f>
        <v>1.2222222222222223</v>
      </c>
      <c r="J45" s="783">
        <f ca="1">(1+(J47/100))/(1+(I47/100))</f>
        <v>1.0909090909090908</v>
      </c>
      <c r="K45" s="805"/>
      <c r="L45" s="791"/>
      <c r="M45" s="778"/>
    </row>
    <row r="46" spans="1:13" ht="14.15" customHeight="1" x14ac:dyDescent="0.35">
      <c r="A46" s="663">
        <v>-8505000</v>
      </c>
      <c r="B46" s="791"/>
      <c r="C46" s="798"/>
      <c r="D46" s="843" t="str">
        <f>" Total investment, "&amp;IF(Figures&gt;1,Figures&amp;" ","")&amp;Currency</f>
        <v xml:space="preserve"> Total investment, Euro</v>
      </c>
      <c r="E46" s="844"/>
      <c r="F46" s="845">
        <f ca="1">$H46-($H46*0.2)</f>
        <v>-6804000</v>
      </c>
      <c r="G46" s="846">
        <f ca="1">$H46-($H46*0.1)</f>
        <v>-7654500</v>
      </c>
      <c r="H46" s="847">
        <f ca="1">SUM(TotalInvestment)</f>
        <v>-8505000</v>
      </c>
      <c r="I46" s="846">
        <f ca="1">$H46+($H46*0.1)</f>
        <v>-9355500</v>
      </c>
      <c r="J46" s="848">
        <f ca="1">$H46+($H46*0.2)</f>
        <v>-10206000</v>
      </c>
      <c r="K46" s="805"/>
      <c r="L46" s="791"/>
      <c r="M46" s="778"/>
    </row>
    <row r="47" spans="1:13" ht="13" customHeight="1" x14ac:dyDescent="0.35">
      <c r="A47" s="663">
        <v>0</v>
      </c>
      <c r="B47" s="791"/>
      <c r="C47" s="798"/>
      <c r="D47" s="822" t="str">
        <f>$D$6</f>
        <v xml:space="preserve"> Change, %</v>
      </c>
      <c r="E47" s="849"/>
      <c r="F47" s="808">
        <f ca="1">(OFFSET(F47,-1,0)-$H46)/IF($H46=0,0.00001,$H46)*100</f>
        <v>-20</v>
      </c>
      <c r="G47" s="809">
        <f ca="1">(OFFSET(G47,-1,0)-$H46)/IF($H46=0,0.00001,$H46)*100</f>
        <v>-10</v>
      </c>
      <c r="H47" s="810">
        <f>0</f>
        <v>0</v>
      </c>
      <c r="I47" s="809">
        <f ca="1">(OFFSET(I47,-1,0)-$H46)/IF($H46=0,0.00001,$H46)*100</f>
        <v>10</v>
      </c>
      <c r="J47" s="811">
        <f ca="1">(OFFSET(J47,-1,0)-$H46)/IF($H46=0,0.00001,$H46)*100</f>
        <v>20</v>
      </c>
      <c r="K47" s="805"/>
      <c r="L47" s="791"/>
      <c r="M47" s="778"/>
    </row>
    <row r="48" spans="1:13" ht="16" customHeight="1" x14ac:dyDescent="0.35">
      <c r="A48" s="663">
        <v>39895817.305392884</v>
      </c>
      <c r="B48" s="791"/>
      <c r="C48" s="798"/>
      <c r="D48" s="812" t="str">
        <f>" "&amp;INDEX(AFactorList,AFactor)</f>
        <v xml:space="preserve"> Net Present Value (NPV)</v>
      </c>
      <c r="E48" s="850"/>
      <c r="F48" s="1217">
        <v>42130047.181646205</v>
      </c>
      <c r="G48" s="1218">
        <v>41012932.243519537</v>
      </c>
      <c r="H48" s="1219">
        <v>39895817.305392884</v>
      </c>
      <c r="I48" s="1220">
        <v>38778702.367266223</v>
      </c>
      <c r="J48" s="1221">
        <v>37661587.429139555</v>
      </c>
      <c r="K48" s="805"/>
      <c r="L48" s="791"/>
      <c r="M48" s="778"/>
    </row>
    <row r="49" spans="1:13" ht="15.5" hidden="1" x14ac:dyDescent="0.35">
      <c r="A49" s="663">
        <v>39895817.305392884</v>
      </c>
      <c r="B49" s="791"/>
      <c r="C49" s="798"/>
      <c r="D49" s="814"/>
      <c r="E49" s="851"/>
      <c r="F49" s="816">
        <v>42130047.181646205</v>
      </c>
      <c r="G49" s="650">
        <v>41012932.243519537</v>
      </c>
      <c r="H49" s="650">
        <v>39895817.305392884</v>
      </c>
      <c r="I49" s="650">
        <v>38778702.367266223</v>
      </c>
      <c r="J49" s="817">
        <v>37661587.429139555</v>
      </c>
      <c r="K49" s="805"/>
      <c r="L49" s="791"/>
      <c r="M49" s="778"/>
    </row>
    <row r="50" spans="1:13" ht="15.5" hidden="1" x14ac:dyDescent="0.35">
      <c r="A50" s="663">
        <v>0.45335946086278023</v>
      </c>
      <c r="B50" s="791"/>
      <c r="C50" s="798"/>
      <c r="D50" s="814"/>
      <c r="E50" s="851"/>
      <c r="F50" s="852">
        <v>0.50098903322898036</v>
      </c>
      <c r="G50" s="653">
        <v>0.47644271264712534</v>
      </c>
      <c r="H50" s="653">
        <v>0.45335946086278023</v>
      </c>
      <c r="I50" s="653">
        <v>0.43159036447934485</v>
      </c>
      <c r="J50" s="853">
        <v>0.41100640380755316</v>
      </c>
      <c r="K50" s="805"/>
      <c r="L50" s="791"/>
      <c r="M50" s="778"/>
    </row>
    <row r="51" spans="1:13" ht="15.5" hidden="1" x14ac:dyDescent="0.35">
      <c r="A51" s="663">
        <v>0.59430318007658811</v>
      </c>
      <c r="B51" s="791"/>
      <c r="C51" s="798"/>
      <c r="D51" s="814"/>
      <c r="E51" s="851"/>
      <c r="F51" s="852">
        <v>0.64861033094390108</v>
      </c>
      <c r="G51" s="653">
        <v>0.62058449149837402</v>
      </c>
      <c r="H51" s="653">
        <v>0.59430318007658811</v>
      </c>
      <c r="I51" s="653">
        <v>0.56958721111711119</v>
      </c>
      <c r="J51" s="853">
        <v>0.54628152463805191</v>
      </c>
      <c r="K51" s="805"/>
      <c r="L51" s="791"/>
      <c r="M51" s="778"/>
    </row>
    <row r="52" spans="1:13" ht="15.5" hidden="1" x14ac:dyDescent="0.35">
      <c r="A52" s="663">
        <v>0.23840164667677533</v>
      </c>
      <c r="B52" s="791"/>
      <c r="C52" s="798"/>
      <c r="D52" s="814"/>
      <c r="E52" s="851"/>
      <c r="F52" s="852">
        <v>0.25736170663401903</v>
      </c>
      <c r="G52" s="653">
        <v>0.24770052799836262</v>
      </c>
      <c r="H52" s="653">
        <v>0.23840164667677533</v>
      </c>
      <c r="I52" s="653">
        <v>0.22943829889430312</v>
      </c>
      <c r="J52" s="853">
        <v>0.22078648952187807</v>
      </c>
      <c r="K52" s="805"/>
      <c r="L52" s="791"/>
      <c r="M52" s="778"/>
    </row>
    <row r="53" spans="1:13" ht="15.5" hidden="1" x14ac:dyDescent="0.35">
      <c r="A53" s="663">
        <v>5.7491919579975583</v>
      </c>
      <c r="B53" s="791"/>
      <c r="C53" s="798"/>
      <c r="D53" s="814"/>
      <c r="E53" s="851"/>
      <c r="F53" s="818">
        <v>7.2689429236885728</v>
      </c>
      <c r="G53" s="652">
        <v>6.4246368316380087</v>
      </c>
      <c r="H53" s="652">
        <v>5.7491919579975583</v>
      </c>
      <c r="I53" s="652">
        <v>5.1965552432008266</v>
      </c>
      <c r="J53" s="819">
        <v>4.7360246475368815</v>
      </c>
      <c r="K53" s="805"/>
      <c r="L53" s="791"/>
      <c r="M53" s="778"/>
    </row>
    <row r="54" spans="1:13" ht="15.5" hidden="1" x14ac:dyDescent="0.35">
      <c r="A54" s="663">
        <v>39345017.293103077</v>
      </c>
      <c r="B54" s="791"/>
      <c r="C54" s="798"/>
      <c r="D54" s="814"/>
      <c r="E54" s="851"/>
      <c r="F54" s="816">
        <v>40590486.459427945</v>
      </c>
      <c r="G54" s="650">
        <v>39967751.876265503</v>
      </c>
      <c r="H54" s="650">
        <v>39345017.293103077</v>
      </c>
      <c r="I54" s="650">
        <v>38722282.709940642</v>
      </c>
      <c r="J54" s="817">
        <v>38099548.126778208</v>
      </c>
      <c r="K54" s="805"/>
      <c r="L54" s="791"/>
      <c r="M54" s="778"/>
    </row>
    <row r="55" spans="1:13" ht="15.5" hidden="1" x14ac:dyDescent="0.35">
      <c r="A55" s="663">
        <v>2.6216576699339078</v>
      </c>
      <c r="B55" s="791"/>
      <c r="C55" s="798"/>
      <c r="D55" s="814"/>
      <c r="E55" s="851"/>
      <c r="F55" s="820">
        <v>2.4070565032894446</v>
      </c>
      <c r="G55" s="654">
        <v>2.514357086611676</v>
      </c>
      <c r="H55" s="654">
        <v>2.6216576699339078</v>
      </c>
      <c r="I55" s="654">
        <v>2.7289582532561396</v>
      </c>
      <c r="J55" s="821">
        <v>2.8362588365783705</v>
      </c>
      <c r="K55" s="805"/>
      <c r="L55" s="791"/>
      <c r="M55" s="778"/>
    </row>
    <row r="56" spans="1:13" ht="15.5" hidden="1" x14ac:dyDescent="0.35">
      <c r="A56" s="663">
        <v>2.5114354093822029</v>
      </c>
      <c r="B56" s="791"/>
      <c r="C56" s="798"/>
      <c r="D56" s="814"/>
      <c r="E56" s="851"/>
      <c r="F56" s="820">
        <v>2.3041071133487891</v>
      </c>
      <c r="G56" s="654">
        <v>2.4123528794192493</v>
      </c>
      <c r="H56" s="654">
        <v>2.5114354093822029</v>
      </c>
      <c r="I56" s="654">
        <v>2.6105179393451565</v>
      </c>
      <c r="J56" s="821">
        <v>2.7096004693081106</v>
      </c>
      <c r="K56" s="805"/>
      <c r="L56" s="791"/>
      <c r="M56" s="778"/>
    </row>
    <row r="57" spans="1:13" ht="15.5" hidden="1" x14ac:dyDescent="0.35">
      <c r="A57" s="663">
        <v>46391295.337819979</v>
      </c>
      <c r="B57" s="791"/>
      <c r="C57" s="798"/>
      <c r="D57" s="814"/>
      <c r="E57" s="851"/>
      <c r="F57" s="816">
        <v>48732679.224538729</v>
      </c>
      <c r="G57" s="650">
        <v>47561987.281179354</v>
      </c>
      <c r="H57" s="650">
        <v>46391295.337819979</v>
      </c>
      <c r="I57" s="650">
        <v>45220603.394460604</v>
      </c>
      <c r="J57" s="817">
        <v>44049911.451101229</v>
      </c>
      <c r="K57" s="805"/>
      <c r="L57" s="791"/>
      <c r="M57" s="778"/>
    </row>
    <row r="58" spans="1:13" ht="15.5" hidden="1" x14ac:dyDescent="0.35">
      <c r="A58" s="663">
        <v>0.45335946086278023</v>
      </c>
      <c r="B58" s="791"/>
      <c r="C58" s="798"/>
      <c r="D58" s="814"/>
      <c r="E58" s="851"/>
      <c r="F58" s="852">
        <v>0.50098903322898036</v>
      </c>
      <c r="G58" s="653">
        <v>0.47644271264712534</v>
      </c>
      <c r="H58" s="653">
        <v>0.45335946086278023</v>
      </c>
      <c r="I58" s="653">
        <v>0.43159036447934485</v>
      </c>
      <c r="J58" s="853">
        <v>0.41100640380755316</v>
      </c>
      <c r="K58" s="805"/>
      <c r="L58" s="791"/>
      <c r="M58" s="778"/>
    </row>
    <row r="59" spans="1:13" ht="15.5" hidden="1" x14ac:dyDescent="0.35">
      <c r="A59" s="663">
        <v>0.59430318007658811</v>
      </c>
      <c r="B59" s="791"/>
      <c r="C59" s="798"/>
      <c r="D59" s="814"/>
      <c r="E59" s="851"/>
      <c r="F59" s="852">
        <v>0.64861033094390108</v>
      </c>
      <c r="G59" s="653">
        <v>0.62058449149837402</v>
      </c>
      <c r="H59" s="653">
        <v>0.59430318007658811</v>
      </c>
      <c r="I59" s="653">
        <v>0.56958721111711119</v>
      </c>
      <c r="J59" s="853">
        <v>0.54628152463805191</v>
      </c>
      <c r="K59" s="805"/>
      <c r="L59" s="791"/>
      <c r="M59" s="778"/>
    </row>
    <row r="60" spans="1:13" ht="15.5" hidden="1" x14ac:dyDescent="0.35">
      <c r="A60" s="663">
        <v>0.22616366592115345</v>
      </c>
      <c r="B60" s="791"/>
      <c r="C60" s="798"/>
      <c r="D60" s="814"/>
      <c r="E60" s="851"/>
      <c r="F60" s="852">
        <v>0.24502191417771946</v>
      </c>
      <c r="G60" s="653">
        <v>0.23541331587791015</v>
      </c>
      <c r="H60" s="653">
        <v>0.22616366592115345</v>
      </c>
      <c r="I60" s="653">
        <v>0.21724643191606674</v>
      </c>
      <c r="J60" s="853">
        <v>0.20863782560668898</v>
      </c>
      <c r="K60" s="805"/>
      <c r="L60" s="791"/>
      <c r="M60" s="778"/>
    </row>
    <row r="61" spans="1:13" ht="15.5" hidden="1" x14ac:dyDescent="0.35">
      <c r="A61" s="663">
        <v>2.5114354093822029</v>
      </c>
      <c r="B61" s="791"/>
      <c r="C61" s="798"/>
      <c r="D61" s="814"/>
      <c r="E61" s="851"/>
      <c r="F61" s="820">
        <v>2.3041071133487896</v>
      </c>
      <c r="G61" s="654">
        <v>2.4123528794192493</v>
      </c>
      <c r="H61" s="654">
        <v>2.5114354093822029</v>
      </c>
      <c r="I61" s="654">
        <v>2.6105179393451565</v>
      </c>
      <c r="J61" s="821">
        <v>2.7096004693081106</v>
      </c>
      <c r="K61" s="805"/>
      <c r="L61" s="791"/>
      <c r="M61" s="778"/>
    </row>
    <row r="62" spans="1:13" ht="15.5" hidden="1" x14ac:dyDescent="0.35">
      <c r="A62" s="663">
        <v>2.5114354093822029</v>
      </c>
      <c r="B62" s="791"/>
      <c r="C62" s="798"/>
      <c r="D62" s="814"/>
      <c r="E62" s="851"/>
      <c r="F62" s="820">
        <v>2.3041071133487891</v>
      </c>
      <c r="G62" s="654">
        <v>2.4123528794192493</v>
      </c>
      <c r="H62" s="654">
        <v>2.5114354093822029</v>
      </c>
      <c r="I62" s="654">
        <v>2.6105179393451565</v>
      </c>
      <c r="J62" s="821">
        <v>2.7096004693081106</v>
      </c>
      <c r="K62" s="805"/>
      <c r="L62" s="791"/>
      <c r="M62" s="778"/>
    </row>
    <row r="63" spans="1:13" ht="14.15" customHeight="1" x14ac:dyDescent="0.35">
      <c r="A63" s="663">
        <v>0</v>
      </c>
      <c r="B63" s="791"/>
      <c r="C63" s="798"/>
      <c r="D63" s="822" t="str">
        <f>$D$6</f>
        <v xml:space="preserve"> Change, %</v>
      </c>
      <c r="E63" s="823"/>
      <c r="F63" s="808">
        <f>IF(AND(ISNUMBER(F48),ISNUMBER($H48)),(F48-$H48)/IF($H48=0,0.00001,ABS($H48))*100,"")</f>
        <v>5.6001606863968458</v>
      </c>
      <c r="G63" s="809">
        <f>IF(AND(ISNUMBER(G48),ISNUMBER($H48)),(G48-$H48)/IF($H48=0,0.00001,ABS($H48))*100,"")</f>
        <v>2.8000803431984043</v>
      </c>
      <c r="H63" s="809">
        <v>0</v>
      </c>
      <c r="I63" s="809">
        <f>IF(AND(ISNUMBER(I48),ISNUMBER($H48)),(I48-$H48)/IF($H48=0,0.00001,ABS($H48))*100,"")</f>
        <v>-2.8000803431984229</v>
      </c>
      <c r="J63" s="811">
        <f>IF(AND(ISNUMBER(J48),ISNUMBER($H48)),(J48-$H48)/IF($H48=0,0.00001,ABS($H48))*100,"")</f>
        <v>-5.6001606863968645</v>
      </c>
      <c r="K63" s="805"/>
      <c r="L63" s="791"/>
      <c r="M63" s="778"/>
    </row>
    <row r="64" spans="1:13" ht="12.75" customHeight="1" x14ac:dyDescent="0.35">
      <c r="A64" s="663"/>
      <c r="B64" s="791"/>
      <c r="C64" s="798"/>
      <c r="D64" s="854"/>
      <c r="E64" s="855"/>
      <c r="F64" s="855"/>
      <c r="G64" s="855"/>
      <c r="H64" s="855"/>
      <c r="I64" s="855"/>
      <c r="J64" s="856"/>
      <c r="K64" s="805"/>
      <c r="L64" s="791"/>
      <c r="M64" s="778"/>
    </row>
    <row r="65" spans="1:13" ht="12.75" customHeight="1" x14ac:dyDescent="0.35">
      <c r="A65" s="663"/>
      <c r="B65" s="791"/>
      <c r="C65" s="798"/>
      <c r="D65" s="785"/>
      <c r="E65" s="782"/>
      <c r="F65" s="782"/>
      <c r="G65" s="782"/>
      <c r="H65" s="782"/>
      <c r="I65" s="782"/>
      <c r="J65" s="786"/>
      <c r="K65" s="805"/>
      <c r="L65" s="791"/>
      <c r="M65" s="778"/>
    </row>
    <row r="66" spans="1:13" ht="12.75" customHeight="1" x14ac:dyDescent="0.35">
      <c r="A66" s="663"/>
      <c r="B66" s="791"/>
      <c r="C66" s="798"/>
      <c r="D66" s="785"/>
      <c r="E66" s="782"/>
      <c r="F66" s="782"/>
      <c r="G66" s="782"/>
      <c r="H66" s="782"/>
      <c r="I66" s="782"/>
      <c r="J66" s="786"/>
      <c r="K66" s="805"/>
      <c r="L66" s="791"/>
      <c r="M66" s="778"/>
    </row>
    <row r="67" spans="1:13" ht="12.75" customHeight="1" x14ac:dyDescent="0.35">
      <c r="A67" s="663"/>
      <c r="B67" s="791"/>
      <c r="C67" s="798"/>
      <c r="D67" s="785"/>
      <c r="E67" s="782"/>
      <c r="F67" s="782"/>
      <c r="G67" s="782"/>
      <c r="H67" s="782"/>
      <c r="I67" s="782"/>
      <c r="J67" s="786"/>
      <c r="K67" s="805"/>
      <c r="L67" s="791"/>
      <c r="M67" s="778"/>
    </row>
    <row r="68" spans="1:13" ht="12.75" customHeight="1" x14ac:dyDescent="0.35">
      <c r="A68" s="663"/>
      <c r="B68" s="791"/>
      <c r="C68" s="798"/>
      <c r="D68" s="785"/>
      <c r="E68" s="782"/>
      <c r="F68" s="782"/>
      <c r="G68" s="782"/>
      <c r="H68" s="782"/>
      <c r="I68" s="782"/>
      <c r="J68" s="786"/>
      <c r="K68" s="805"/>
      <c r="L68" s="791"/>
      <c r="M68" s="778"/>
    </row>
    <row r="69" spans="1:13" ht="12.75" customHeight="1" x14ac:dyDescent="0.35">
      <c r="A69" s="663"/>
      <c r="B69" s="791"/>
      <c r="C69" s="798"/>
      <c r="D69" s="785"/>
      <c r="E69" s="782"/>
      <c r="F69" s="782"/>
      <c r="G69" s="782"/>
      <c r="H69" s="782"/>
      <c r="I69" s="782"/>
      <c r="J69" s="786"/>
      <c r="K69" s="805"/>
      <c r="L69" s="791"/>
      <c r="M69" s="778"/>
    </row>
    <row r="70" spans="1:13" ht="12.75" customHeight="1" x14ac:dyDescent="0.35">
      <c r="A70" s="663"/>
      <c r="B70" s="791"/>
      <c r="C70" s="798"/>
      <c r="D70" s="785"/>
      <c r="E70" s="782"/>
      <c r="F70" s="782"/>
      <c r="G70" s="782"/>
      <c r="H70" s="782"/>
      <c r="I70" s="782"/>
      <c r="J70" s="786"/>
      <c r="K70" s="805"/>
      <c r="L70" s="791"/>
      <c r="M70" s="778"/>
    </row>
    <row r="71" spans="1:13" ht="12.75" customHeight="1" x14ac:dyDescent="0.35">
      <c r="A71" s="663"/>
      <c r="B71" s="791"/>
      <c r="C71" s="798"/>
      <c r="D71" s="785"/>
      <c r="E71" s="782"/>
      <c r="F71" s="782"/>
      <c r="G71" s="782"/>
      <c r="H71" s="782"/>
      <c r="I71" s="782"/>
      <c r="J71" s="786"/>
      <c r="K71" s="805"/>
      <c r="L71" s="791"/>
      <c r="M71" s="778"/>
    </row>
    <row r="72" spans="1:13" ht="12.75" customHeight="1" x14ac:dyDescent="0.35">
      <c r="A72" s="663"/>
      <c r="B72" s="791"/>
      <c r="C72" s="798"/>
      <c r="D72" s="785"/>
      <c r="E72" s="782"/>
      <c r="F72" s="782"/>
      <c r="G72" s="782"/>
      <c r="H72" s="782"/>
      <c r="I72" s="782"/>
      <c r="J72" s="786"/>
      <c r="K72" s="805"/>
      <c r="L72" s="791"/>
      <c r="M72" s="778"/>
    </row>
    <row r="73" spans="1:13" ht="12.75" customHeight="1" x14ac:dyDescent="0.35">
      <c r="A73" s="663"/>
      <c r="B73" s="791"/>
      <c r="C73" s="798"/>
      <c r="D73" s="785"/>
      <c r="E73" s="782"/>
      <c r="F73" s="782"/>
      <c r="G73" s="782"/>
      <c r="H73" s="782"/>
      <c r="I73" s="782"/>
      <c r="J73" s="786"/>
      <c r="K73" s="805"/>
      <c r="L73" s="791"/>
      <c r="M73" s="778"/>
    </row>
    <row r="74" spans="1:13" ht="12.75" customHeight="1" x14ac:dyDescent="0.35">
      <c r="A74" s="663"/>
      <c r="B74" s="791"/>
      <c r="C74" s="798"/>
      <c r="D74" s="785"/>
      <c r="E74" s="782"/>
      <c r="F74" s="782"/>
      <c r="G74" s="782"/>
      <c r="H74" s="782"/>
      <c r="I74" s="782"/>
      <c r="J74" s="786"/>
      <c r="K74" s="805"/>
      <c r="L74" s="791"/>
      <c r="M74" s="778"/>
    </row>
    <row r="75" spans="1:13" ht="12.75" customHeight="1" x14ac:dyDescent="0.35">
      <c r="A75" s="663"/>
      <c r="B75" s="791"/>
      <c r="C75" s="798"/>
      <c r="D75" s="785"/>
      <c r="E75" s="782"/>
      <c r="F75" s="782"/>
      <c r="G75" s="782"/>
      <c r="H75" s="782"/>
      <c r="I75" s="782"/>
      <c r="J75" s="786"/>
      <c r="K75" s="805"/>
      <c r="L75" s="791"/>
      <c r="M75" s="778"/>
    </row>
    <row r="76" spans="1:13" ht="12.75" customHeight="1" x14ac:dyDescent="0.35">
      <c r="A76" s="663"/>
      <c r="B76" s="791"/>
      <c r="C76" s="798"/>
      <c r="D76" s="785"/>
      <c r="E76" s="782"/>
      <c r="F76" s="782"/>
      <c r="G76" s="782"/>
      <c r="H76" s="782"/>
      <c r="I76" s="782"/>
      <c r="J76" s="786"/>
      <c r="K76" s="805"/>
      <c r="L76" s="791"/>
      <c r="M76" s="778"/>
    </row>
    <row r="77" spans="1:13" ht="12.75" customHeight="1" x14ac:dyDescent="0.35">
      <c r="A77" s="663"/>
      <c r="B77" s="791"/>
      <c r="C77" s="798"/>
      <c r="D77" s="787"/>
      <c r="E77" s="788"/>
      <c r="F77" s="788"/>
      <c r="G77" s="788"/>
      <c r="H77" s="788"/>
      <c r="I77" s="788"/>
      <c r="J77" s="789"/>
      <c r="K77" s="805"/>
      <c r="L77" s="791"/>
      <c r="M77" s="778"/>
    </row>
    <row r="78" spans="1:13" ht="16" customHeight="1" x14ac:dyDescent="0.35">
      <c r="A78" s="663">
        <v>0</v>
      </c>
      <c r="B78" s="791"/>
      <c r="C78" s="798"/>
      <c r="D78" s="827" t="s">
        <v>1680</v>
      </c>
      <c r="E78" s="828" t="str">
        <f>FinYearR01</f>
        <v>12/2019</v>
      </c>
      <c r="F78" s="857">
        <f ca="1">F46</f>
        <v>-6804000</v>
      </c>
      <c r="G78" s="858">
        <f ca="1">G46</f>
        <v>-7654500</v>
      </c>
      <c r="H78" s="858">
        <f ca="1">H46</f>
        <v>-8505000</v>
      </c>
      <c r="I78" s="858">
        <f ca="1">I46</f>
        <v>-9355500</v>
      </c>
      <c r="J78" s="859">
        <f ca="1">J46</f>
        <v>-10206000</v>
      </c>
      <c r="K78" s="805"/>
      <c r="L78" s="791"/>
      <c r="M78" s="778"/>
    </row>
    <row r="79" spans="1:13" ht="16" customHeight="1" x14ac:dyDescent="0.35">
      <c r="A79" s="663">
        <v>0</v>
      </c>
      <c r="B79" s="791"/>
      <c r="C79" s="798"/>
      <c r="D79" s="827" t="str">
        <f>" "&amp;INDEX(RatiosDD,Analysis01Ratio01)</f>
        <v xml:space="preserve"> EBITDA; Operating income before depreciation, Euro</v>
      </c>
      <c r="E79" s="832"/>
      <c r="F79" s="836">
        <v>1245140.6741645718</v>
      </c>
      <c r="G79" s="837">
        <v>1245140.6741645718</v>
      </c>
      <c r="H79" s="837">
        <v>1245140.6741645718</v>
      </c>
      <c r="I79" s="837">
        <v>1245140.6741645718</v>
      </c>
      <c r="J79" s="838">
        <v>1245140.6741645718</v>
      </c>
      <c r="K79" s="805"/>
      <c r="L79" s="791"/>
      <c r="M79" s="778"/>
    </row>
    <row r="80" spans="1:13" ht="16" customHeight="1" x14ac:dyDescent="0.35">
      <c r="A80" s="663"/>
      <c r="B80" s="791"/>
      <c r="C80" s="798"/>
      <c r="D80" s="827" t="str">
        <f>" "&amp;INDEX(RatiosDD,Analysis01Ratio02)</f>
        <v xml:space="preserve"> EBITDA, %</v>
      </c>
      <c r="E80" s="832"/>
      <c r="F80" s="860">
        <v>0.10864077453878564</v>
      </c>
      <c r="G80" s="861">
        <v>0.10864077453878564</v>
      </c>
      <c r="H80" s="861">
        <v>0.10864077453878564</v>
      </c>
      <c r="I80" s="861">
        <v>0.10864077453878564</v>
      </c>
      <c r="J80" s="862">
        <v>0.10864077453878564</v>
      </c>
      <c r="K80" s="805"/>
      <c r="L80" s="791"/>
      <c r="M80" s="778"/>
    </row>
    <row r="81" spans="1:13" ht="16" customHeight="1" x14ac:dyDescent="0.35">
      <c r="A81" s="663" t="s">
        <v>39</v>
      </c>
      <c r="B81" s="791"/>
      <c r="C81" s="798"/>
      <c r="D81" s="827" t="str">
        <f>" "&amp;INDEX(RatiosDD,Analysis01Ratio03)</f>
        <v xml:space="preserve"> EBIT; Operating income, Euro</v>
      </c>
      <c r="E81" s="832"/>
      <c r="F81" s="836">
        <v>1058740.6741645718</v>
      </c>
      <c r="G81" s="837">
        <v>1035440.6741645717</v>
      </c>
      <c r="H81" s="837">
        <v>1012140.6741645717</v>
      </c>
      <c r="I81" s="837">
        <v>988840.67416457168</v>
      </c>
      <c r="J81" s="838">
        <v>965540.67416457168</v>
      </c>
      <c r="K81" s="805"/>
      <c r="L81" s="791"/>
      <c r="M81" s="778"/>
    </row>
    <row r="82" spans="1:13" ht="16" customHeight="1" x14ac:dyDescent="0.35">
      <c r="A82" s="663"/>
      <c r="B82" s="791"/>
      <c r="C82" s="798"/>
      <c r="D82" s="827" t="str">
        <f>" "&amp;INDEX(RatiosDD,Analysis01Ratio04)</f>
        <v xml:space="preserve"> EBIT, %</v>
      </c>
      <c r="E82" s="832"/>
      <c r="F82" s="860">
        <v>9.2377037601899498E-2</v>
      </c>
      <c r="G82" s="861">
        <v>9.0344070484788722E-2</v>
      </c>
      <c r="H82" s="861">
        <v>8.8311103367677959E-2</v>
      </c>
      <c r="I82" s="861">
        <v>8.6278136250567197E-2</v>
      </c>
      <c r="J82" s="862">
        <v>8.4245169133456435E-2</v>
      </c>
      <c r="K82" s="805"/>
      <c r="L82" s="791"/>
      <c r="M82" s="778"/>
    </row>
    <row r="83" spans="1:13" ht="16" customHeight="1" x14ac:dyDescent="0.35">
      <c r="A83" s="663"/>
      <c r="B83" s="791"/>
      <c r="C83" s="798"/>
      <c r="D83" s="827" t="str">
        <f>" "&amp;INDEX(RatiosDD,Analysis01Ratio05)</f>
        <v xml:space="preserve"> Return on net assets (RONA), %</v>
      </c>
      <c r="E83" s="832"/>
      <c r="F83" s="888">
        <v>4.3536632627016042E-2</v>
      </c>
      <c r="G83" s="889">
        <v>4.2578509863847508E-2</v>
      </c>
      <c r="H83" s="889">
        <v>4.1620387100678974E-2</v>
      </c>
      <c r="I83" s="889">
        <v>4.066226433751044E-2</v>
      </c>
      <c r="J83" s="890">
        <v>3.9704141574341913E-2</v>
      </c>
      <c r="K83" s="805"/>
      <c r="L83" s="791"/>
      <c r="M83" s="778"/>
    </row>
    <row r="84" spans="1:13" ht="16" customHeight="1" x14ac:dyDescent="0.35">
      <c r="A84" s="663"/>
      <c r="B84" s="791"/>
      <c r="C84" s="798"/>
      <c r="D84" s="827" t="str">
        <f>" "&amp;INDEX(RatiosDD,Analysis01Ratio06)</f>
        <v xml:space="preserve"> Economic Value Added (EVA), Euro</v>
      </c>
      <c r="E84" s="832"/>
      <c r="F84" s="836">
        <v>106585.64715331804</v>
      </c>
      <c r="G84" s="837">
        <v>83285.647153318045</v>
      </c>
      <c r="H84" s="837">
        <v>59985.647153318045</v>
      </c>
      <c r="I84" s="837">
        <v>36685.647153318045</v>
      </c>
      <c r="J84" s="838">
        <v>13385.647153318045</v>
      </c>
      <c r="K84" s="805"/>
      <c r="L84" s="791"/>
      <c r="M84" s="778"/>
    </row>
    <row r="85" spans="1:13" ht="5.15" customHeight="1" x14ac:dyDescent="0.35">
      <c r="A85" s="663"/>
      <c r="B85" s="791"/>
      <c r="C85" s="839"/>
      <c r="D85" s="840"/>
      <c r="E85" s="840"/>
      <c r="F85" s="840"/>
      <c r="G85" s="840"/>
      <c r="H85" s="840"/>
      <c r="I85" s="840"/>
      <c r="J85" s="840"/>
      <c r="K85" s="841"/>
      <c r="L85" s="791"/>
      <c r="M85" s="778"/>
    </row>
    <row r="86" spans="1:13" ht="5.15" customHeight="1" x14ac:dyDescent="0.35">
      <c r="A86" s="663"/>
      <c r="B86" s="285"/>
      <c r="C86" s="285"/>
      <c r="D86" s="285"/>
      <c r="E86" s="285"/>
      <c r="F86" s="285"/>
      <c r="G86" s="285"/>
      <c r="H86" s="285"/>
      <c r="I86" s="285"/>
      <c r="J86" s="285"/>
      <c r="K86" s="285"/>
      <c r="L86" s="285"/>
      <c r="M86" s="778"/>
    </row>
    <row r="87" spans="1:13" ht="12.75" customHeight="1" x14ac:dyDescent="0.35">
      <c r="A87" s="663"/>
      <c r="B87" s="285"/>
      <c r="C87" s="285"/>
      <c r="D87" s="285"/>
      <c r="E87" s="285"/>
      <c r="F87" s="285"/>
      <c r="G87" s="285"/>
      <c r="H87" s="285"/>
      <c r="I87" s="285"/>
      <c r="J87" s="285"/>
      <c r="K87" s="285"/>
      <c r="L87" s="285"/>
      <c r="M87" s="778"/>
    </row>
    <row r="88" spans="1:13" ht="5.15" customHeight="1" x14ac:dyDescent="0.35">
      <c r="A88" s="663" t="s">
        <v>1681</v>
      </c>
      <c r="B88" s="285"/>
      <c r="C88" s="285"/>
      <c r="D88" s="285"/>
      <c r="E88" s="285"/>
      <c r="F88" s="285"/>
      <c r="G88" s="285"/>
      <c r="H88" s="285"/>
      <c r="I88" s="285"/>
      <c r="J88" s="285"/>
      <c r="K88" s="285"/>
      <c r="L88" s="285"/>
      <c r="M88" s="778"/>
    </row>
    <row r="89" spans="1:13" ht="15" customHeight="1" x14ac:dyDescent="0.35">
      <c r="A89" s="663" t="s">
        <v>1681</v>
      </c>
      <c r="B89" s="791"/>
      <c r="C89" s="792" t="s">
        <v>1682</v>
      </c>
      <c r="D89" s="793"/>
      <c r="E89" s="793"/>
      <c r="F89" s="793"/>
      <c r="G89" s="793"/>
      <c r="H89" s="793"/>
      <c r="I89" s="793"/>
      <c r="J89" s="793"/>
      <c r="K89" s="794"/>
      <c r="L89" s="791"/>
      <c r="M89" s="778"/>
    </row>
    <row r="90" spans="1:13" ht="5.15" customHeight="1" x14ac:dyDescent="0.35">
      <c r="A90" s="663"/>
      <c r="B90" s="791"/>
      <c r="C90" s="863"/>
      <c r="D90" s="864"/>
      <c r="E90" s="864"/>
      <c r="F90" s="784">
        <f ca="1">1+(OFFSET(F90,1,0)/100)</f>
        <v>0.8</v>
      </c>
      <c r="G90" s="784">
        <f ca="1">(1+(OFFSET(G90,1,0)/100))/F90</f>
        <v>1.125</v>
      </c>
      <c r="H90" s="865"/>
      <c r="I90" s="784">
        <f ca="1">(1+(OFFSET(I90,1,0)/100))/(1+(OFFSET(G90,1,0)/100))</f>
        <v>1.2222222222222223</v>
      </c>
      <c r="J90" s="784">
        <f ca="1">(1+(OFFSET(J90,1,0)/100))/(1+(OFFSET(I90,1,0)/100))</f>
        <v>1.0909090909090908</v>
      </c>
      <c r="K90" s="866"/>
      <c r="L90" s="791"/>
      <c r="M90" s="778"/>
    </row>
    <row r="91" spans="1:13" ht="15" customHeight="1" x14ac:dyDescent="0.35">
      <c r="A91" s="663">
        <v>0</v>
      </c>
      <c r="B91" s="791"/>
      <c r="C91" s="798"/>
      <c r="D91" s="867" t="s">
        <v>1683</v>
      </c>
      <c r="E91" s="868"/>
      <c r="F91" s="869">
        <v>-20</v>
      </c>
      <c r="G91" s="870">
        <v>-10</v>
      </c>
      <c r="H91" s="871">
        <v>0</v>
      </c>
      <c r="I91" s="870">
        <v>10</v>
      </c>
      <c r="J91" s="872">
        <v>20</v>
      </c>
      <c r="K91" s="805"/>
      <c r="L91" s="791"/>
      <c r="M91" s="778"/>
    </row>
    <row r="92" spans="1:13" ht="16" customHeight="1" x14ac:dyDescent="0.35">
      <c r="A92" s="663">
        <v>39895817.305392884</v>
      </c>
      <c r="B92" s="791"/>
      <c r="C92" s="798"/>
      <c r="D92" s="812" t="str">
        <f>$D$48</f>
        <v xml:space="preserve"> Net Present Value (NPV)</v>
      </c>
      <c r="E92" s="850"/>
      <c r="F92" s="1217">
        <v>-23435777.491902873</v>
      </c>
      <c r="G92" s="1218">
        <v>8230019.9067450073</v>
      </c>
      <c r="H92" s="1219">
        <v>39895817.305392884</v>
      </c>
      <c r="I92" s="1220">
        <v>71561614.704040796</v>
      </c>
      <c r="J92" s="1221">
        <v>103227412.10268867</v>
      </c>
      <c r="K92" s="805"/>
      <c r="L92" s="791"/>
      <c r="M92" s="778"/>
    </row>
    <row r="93" spans="1:13" ht="15.5" hidden="1" x14ac:dyDescent="0.35">
      <c r="A93" s="663">
        <v>39895817.305392884</v>
      </c>
      <c r="B93" s="791"/>
      <c r="C93" s="798"/>
      <c r="D93" s="814"/>
      <c r="E93" s="851"/>
      <c r="F93" s="816">
        <v>-23435777.491902873</v>
      </c>
      <c r="G93" s="650">
        <v>8230019.9067450073</v>
      </c>
      <c r="H93" s="650">
        <v>39895817.305392884</v>
      </c>
      <c r="I93" s="650">
        <v>71561614.704040796</v>
      </c>
      <c r="J93" s="817">
        <v>103227412.10268867</v>
      </c>
      <c r="K93" s="805"/>
      <c r="L93" s="791"/>
      <c r="M93" s="778"/>
    </row>
    <row r="94" spans="1:13" ht="15.5" hidden="1" x14ac:dyDescent="0.35">
      <c r="A94" s="663">
        <v>0.45335946086278023</v>
      </c>
      <c r="B94" s="791"/>
      <c r="C94" s="798"/>
      <c r="D94" s="814"/>
      <c r="E94" s="851"/>
      <c r="F94" s="852">
        <v>-0.32432388764297937</v>
      </c>
      <c r="G94" s="653">
        <v>0.12514973793290274</v>
      </c>
      <c r="H94" s="653">
        <v>0.45335946086278023</v>
      </c>
      <c r="I94" s="653">
        <v>0.75414789648769243</v>
      </c>
      <c r="J94" s="853">
        <v>1.0557610801803827</v>
      </c>
      <c r="K94" s="805"/>
      <c r="L94" s="791"/>
      <c r="M94" s="778"/>
    </row>
    <row r="95" spans="1:13" ht="15.5" hidden="1" x14ac:dyDescent="0.35">
      <c r="A95" s="663">
        <v>0.59430318007658811</v>
      </c>
      <c r="B95" s="791"/>
      <c r="C95" s="798"/>
      <c r="D95" s="814"/>
      <c r="E95" s="851"/>
      <c r="F95" s="852">
        <v>-4.5684354406975713E-2</v>
      </c>
      <c r="G95" s="653">
        <v>0.29724797164984351</v>
      </c>
      <c r="H95" s="653">
        <v>0.59430318007658811</v>
      </c>
      <c r="I95" s="653">
        <v>0.88398956928333172</v>
      </c>
      <c r="J95" s="853">
        <v>1.1830357013563999</v>
      </c>
      <c r="K95" s="805"/>
      <c r="L95" s="791"/>
      <c r="M95" s="778"/>
    </row>
    <row r="96" spans="1:13" ht="15.5" hidden="1" x14ac:dyDescent="0.35">
      <c r="A96" s="663">
        <v>0.23840164667677533</v>
      </c>
      <c r="B96" s="791"/>
      <c r="C96" s="798"/>
      <c r="D96" s="814"/>
      <c r="E96" s="851"/>
      <c r="F96" s="852">
        <v>-0.13911713133920867</v>
      </c>
      <c r="G96" s="653">
        <v>8.4812521479136871E-2</v>
      </c>
      <c r="H96" s="653">
        <v>0.23840164667677533</v>
      </c>
      <c r="I96" s="653">
        <v>0.34579623374721624</v>
      </c>
      <c r="J96" s="853">
        <v>0.43282080112497523</v>
      </c>
      <c r="K96" s="805"/>
      <c r="L96" s="791"/>
      <c r="M96" s="778"/>
    </row>
    <row r="97" spans="1:13" ht="15.5" hidden="1" x14ac:dyDescent="0.35">
      <c r="A97" s="663">
        <v>5.7491919579975583</v>
      </c>
      <c r="B97" s="791"/>
      <c r="C97" s="798"/>
      <c r="D97" s="814"/>
      <c r="E97" s="851"/>
      <c r="F97" s="818">
        <v>-1.789791349353314</v>
      </c>
      <c r="G97" s="652">
        <v>1.9797003043221224</v>
      </c>
      <c r="H97" s="652">
        <v>5.7491919579975583</v>
      </c>
      <c r="I97" s="652">
        <v>9.5186836116729978</v>
      </c>
      <c r="J97" s="819">
        <v>13.288175265348434</v>
      </c>
      <c r="K97" s="805"/>
      <c r="L97" s="791"/>
      <c r="M97" s="778"/>
    </row>
    <row r="98" spans="1:13" ht="15.5" hidden="1" x14ac:dyDescent="0.35">
      <c r="A98" s="663">
        <v>39345017.293103077</v>
      </c>
      <c r="B98" s="791"/>
      <c r="C98" s="798"/>
      <c r="D98" s="814"/>
      <c r="E98" s="851"/>
      <c r="F98" s="816">
        <v>-23986577.504192673</v>
      </c>
      <c r="G98" s="650">
        <v>7679219.8944552038</v>
      </c>
      <c r="H98" s="650">
        <v>39345017.293103077</v>
      </c>
      <c r="I98" s="650">
        <v>71010814.691751003</v>
      </c>
      <c r="J98" s="817">
        <v>102676612.09039886</v>
      </c>
      <c r="K98" s="805"/>
      <c r="L98" s="791"/>
      <c r="M98" s="778"/>
    </row>
    <row r="99" spans="1:13" ht="15.5" hidden="1" x14ac:dyDescent="0.35">
      <c r="A99" s="663">
        <v>2.6216576699339078</v>
      </c>
      <c r="B99" s="791"/>
      <c r="C99" s="798"/>
      <c r="D99" s="814"/>
      <c r="E99" s="851"/>
      <c r="F99" s="820" t="s">
        <v>39</v>
      </c>
      <c r="G99" s="654" t="s">
        <v>39</v>
      </c>
      <c r="H99" s="654">
        <v>2.6216576699339078</v>
      </c>
      <c r="I99" s="654">
        <v>1.5568903917415324</v>
      </c>
      <c r="J99" s="821">
        <v>1.2093960270766777</v>
      </c>
      <c r="K99" s="805"/>
      <c r="L99" s="791"/>
      <c r="M99" s="778"/>
    </row>
    <row r="100" spans="1:13" ht="15.5" hidden="1" x14ac:dyDescent="0.35">
      <c r="A100" s="663">
        <v>2.5114354093822029</v>
      </c>
      <c r="B100" s="791"/>
      <c r="C100" s="798"/>
      <c r="D100" s="814"/>
      <c r="E100" s="851"/>
      <c r="F100" s="820" t="s">
        <v>39</v>
      </c>
      <c r="G100" s="654" t="s">
        <v>39</v>
      </c>
      <c r="H100" s="654">
        <v>2.5114354093822029</v>
      </c>
      <c r="I100" s="654">
        <v>1.4949824459838534</v>
      </c>
      <c r="J100" s="821">
        <v>1.1859490936674881</v>
      </c>
      <c r="K100" s="805"/>
      <c r="L100" s="791"/>
      <c r="M100" s="778"/>
    </row>
    <row r="101" spans="1:13" ht="15.5" hidden="1" x14ac:dyDescent="0.35">
      <c r="A101" s="663">
        <v>46391295.337819979</v>
      </c>
      <c r="B101" s="791"/>
      <c r="C101" s="798"/>
      <c r="D101" s="814"/>
      <c r="E101" s="851"/>
      <c r="F101" s="816">
        <v>-23419584.355094973</v>
      </c>
      <c r="G101" s="650">
        <v>11485855.491362507</v>
      </c>
      <c r="H101" s="650">
        <v>46391295.337819979</v>
      </c>
      <c r="I101" s="650">
        <v>81296735.18427749</v>
      </c>
      <c r="J101" s="817">
        <v>116202175.03073496</v>
      </c>
      <c r="K101" s="805"/>
      <c r="L101" s="791"/>
      <c r="M101" s="778"/>
    </row>
    <row r="102" spans="1:13" ht="15.5" hidden="1" x14ac:dyDescent="0.35">
      <c r="A102" s="663">
        <v>0.45335946086278023</v>
      </c>
      <c r="B102" s="791"/>
      <c r="C102" s="798"/>
      <c r="D102" s="814"/>
      <c r="E102" s="851"/>
      <c r="F102" s="852">
        <v>-0.32432388764297937</v>
      </c>
      <c r="G102" s="653">
        <v>0.12514973793290274</v>
      </c>
      <c r="H102" s="653">
        <v>0.45335946086278023</v>
      </c>
      <c r="I102" s="653">
        <v>0.75414789648769243</v>
      </c>
      <c r="J102" s="853">
        <v>1.0557610801803827</v>
      </c>
      <c r="K102" s="805"/>
      <c r="L102" s="791"/>
      <c r="M102" s="778"/>
    </row>
    <row r="103" spans="1:13" ht="15.5" hidden="1" x14ac:dyDescent="0.35">
      <c r="A103" s="663">
        <v>0.59430318007658811</v>
      </c>
      <c r="B103" s="791"/>
      <c r="C103" s="798"/>
      <c r="D103" s="814"/>
      <c r="E103" s="851"/>
      <c r="F103" s="852">
        <v>-4.5684354406978267E-2</v>
      </c>
      <c r="G103" s="653">
        <v>0.29724797164984351</v>
      </c>
      <c r="H103" s="653">
        <v>0.59430318007658811</v>
      </c>
      <c r="I103" s="653">
        <v>0.88398956928333172</v>
      </c>
      <c r="J103" s="853">
        <v>1.1830357013563999</v>
      </c>
      <c r="K103" s="805"/>
      <c r="L103" s="791"/>
      <c r="M103" s="778"/>
    </row>
    <row r="104" spans="1:13" ht="15.5" hidden="1" x14ac:dyDescent="0.35">
      <c r="A104" s="663">
        <v>0.22616366592115345</v>
      </c>
      <c r="B104" s="791"/>
      <c r="C104" s="798"/>
      <c r="D104" s="814"/>
      <c r="E104" s="851"/>
      <c r="F104" s="852">
        <v>-0.15336238350573939</v>
      </c>
      <c r="G104" s="653">
        <v>7.4132818999138372E-2</v>
      </c>
      <c r="H104" s="653">
        <v>0.22616366592115345</v>
      </c>
      <c r="I104" s="653">
        <v>0.33247943194066365</v>
      </c>
      <c r="J104" s="853">
        <v>0.41863337824063596</v>
      </c>
      <c r="K104" s="805"/>
      <c r="L104" s="791"/>
      <c r="M104" s="778"/>
    </row>
    <row r="105" spans="1:13" ht="15.5" hidden="1" x14ac:dyDescent="0.35">
      <c r="A105" s="663">
        <v>2.5114354093822029</v>
      </c>
      <c r="B105" s="791"/>
      <c r="C105" s="798"/>
      <c r="D105" s="814"/>
      <c r="E105" s="851"/>
      <c r="F105" s="820" t="s">
        <v>39</v>
      </c>
      <c r="G105" s="654" t="s">
        <v>39</v>
      </c>
      <c r="H105" s="654">
        <v>2.5114354093822029</v>
      </c>
      <c r="I105" s="654">
        <v>1.4949824459838534</v>
      </c>
      <c r="J105" s="821">
        <v>1.1859490936674881</v>
      </c>
      <c r="K105" s="805"/>
      <c r="L105" s="791"/>
      <c r="M105" s="778"/>
    </row>
    <row r="106" spans="1:13" ht="15.5" hidden="1" x14ac:dyDescent="0.35">
      <c r="A106" s="663">
        <v>2.5114354093822029</v>
      </c>
      <c r="B106" s="791"/>
      <c r="C106" s="798"/>
      <c r="D106" s="814"/>
      <c r="E106" s="851"/>
      <c r="F106" s="820" t="s">
        <v>39</v>
      </c>
      <c r="G106" s="654" t="s">
        <v>39</v>
      </c>
      <c r="H106" s="654">
        <v>2.5114354093822029</v>
      </c>
      <c r="I106" s="654">
        <v>1.4949824459838534</v>
      </c>
      <c r="J106" s="821">
        <v>1.1859490936674881</v>
      </c>
      <c r="K106" s="805"/>
      <c r="L106" s="791"/>
      <c r="M106" s="778"/>
    </row>
    <row r="107" spans="1:13" ht="14.15" customHeight="1" x14ac:dyDescent="0.35">
      <c r="A107" s="663">
        <v>0</v>
      </c>
      <c r="B107" s="791"/>
      <c r="C107" s="798"/>
      <c r="D107" s="822" t="str">
        <f>$D$6</f>
        <v xml:space="preserve"> Change, %</v>
      </c>
      <c r="E107" s="823"/>
      <c r="F107" s="808">
        <f>IF(AND(ISNUMBER(F92),ISNUMBER($H92)),(F92-$H92)/IF($H92=0,0.00001,ABS($H92))*100,"")</f>
        <v>-158.7424423781261</v>
      </c>
      <c r="G107" s="809">
        <f>IF(AND(ISNUMBER(G92),ISNUMBER($H92)),(G92-$H92)/IF($H92=0,0.00001,ABS($H92))*100,"")</f>
        <v>-79.371221189063036</v>
      </c>
      <c r="H107" s="809">
        <v>0</v>
      </c>
      <c r="I107" s="809">
        <f>IF(AND(ISNUMBER(I92),ISNUMBER($H92)),(I92-$H92)/IF($H92=0,0.00001,ABS($H92))*100,"")</f>
        <v>79.371221189063135</v>
      </c>
      <c r="J107" s="811">
        <f>IF(AND(ISNUMBER(J92),ISNUMBER($H92)),(J92-$H92)/IF($H92=0,0.00001,ABS($H92))*100,"")</f>
        <v>158.74244237812616</v>
      </c>
      <c r="K107" s="805"/>
      <c r="L107" s="791"/>
      <c r="M107" s="778"/>
    </row>
    <row r="108" spans="1:13" ht="12.75" customHeight="1" x14ac:dyDescent="0.35">
      <c r="A108" s="663"/>
      <c r="B108" s="791"/>
      <c r="C108" s="798"/>
      <c r="D108" s="873"/>
      <c r="E108" s="874"/>
      <c r="F108" s="874"/>
      <c r="G108" s="874"/>
      <c r="H108" s="874"/>
      <c r="I108" s="874"/>
      <c r="J108" s="875"/>
      <c r="K108" s="805"/>
      <c r="L108" s="791"/>
      <c r="M108" s="778"/>
    </row>
    <row r="109" spans="1:13" ht="12.75" customHeight="1" x14ac:dyDescent="0.35">
      <c r="A109" s="663"/>
      <c r="B109" s="791"/>
      <c r="C109" s="798"/>
      <c r="D109" s="876"/>
      <c r="E109" s="826"/>
      <c r="F109" s="826"/>
      <c r="G109" s="826"/>
      <c r="H109" s="826"/>
      <c r="I109" s="826"/>
      <c r="J109" s="877"/>
      <c r="K109" s="805"/>
      <c r="L109" s="791"/>
      <c r="M109" s="778"/>
    </row>
    <row r="110" spans="1:13" ht="12.75" customHeight="1" x14ac:dyDescent="0.35">
      <c r="A110" s="663"/>
      <c r="B110" s="791"/>
      <c r="C110" s="798"/>
      <c r="D110" s="876"/>
      <c r="E110" s="826"/>
      <c r="F110" s="826"/>
      <c r="G110" s="826"/>
      <c r="H110" s="826"/>
      <c r="I110" s="826"/>
      <c r="J110" s="877"/>
      <c r="K110" s="805"/>
      <c r="L110" s="791"/>
      <c r="M110" s="778"/>
    </row>
    <row r="111" spans="1:13" ht="12.75" customHeight="1" x14ac:dyDescent="0.35">
      <c r="A111" s="663"/>
      <c r="B111" s="791"/>
      <c r="C111" s="798"/>
      <c r="D111" s="876"/>
      <c r="E111" s="826"/>
      <c r="F111" s="826"/>
      <c r="G111" s="826"/>
      <c r="H111" s="826"/>
      <c r="I111" s="826"/>
      <c r="J111" s="877"/>
      <c r="K111" s="805"/>
      <c r="L111" s="791"/>
      <c r="M111" s="778"/>
    </row>
    <row r="112" spans="1:13" ht="12.75" customHeight="1" x14ac:dyDescent="0.35">
      <c r="A112" s="663"/>
      <c r="B112" s="791"/>
      <c r="C112" s="798"/>
      <c r="D112" s="876"/>
      <c r="E112" s="826"/>
      <c r="F112" s="826"/>
      <c r="G112" s="826"/>
      <c r="H112" s="826"/>
      <c r="I112" s="826"/>
      <c r="J112" s="877"/>
      <c r="K112" s="805"/>
      <c r="L112" s="791"/>
      <c r="M112" s="778"/>
    </row>
    <row r="113" spans="1:13" ht="12.75" customHeight="1" x14ac:dyDescent="0.35">
      <c r="A113" s="663"/>
      <c r="B113" s="791"/>
      <c r="C113" s="798"/>
      <c r="D113" s="876"/>
      <c r="E113" s="826"/>
      <c r="F113" s="826"/>
      <c r="G113" s="826"/>
      <c r="H113" s="826"/>
      <c r="I113" s="826"/>
      <c r="J113" s="877"/>
      <c r="K113" s="805"/>
      <c r="L113" s="791"/>
      <c r="M113" s="778"/>
    </row>
    <row r="114" spans="1:13" ht="12.75" customHeight="1" x14ac:dyDescent="0.35">
      <c r="A114" s="663"/>
      <c r="B114" s="791"/>
      <c r="C114" s="798"/>
      <c r="D114" s="876"/>
      <c r="E114" s="826"/>
      <c r="F114" s="826"/>
      <c r="G114" s="826"/>
      <c r="H114" s="826"/>
      <c r="I114" s="826"/>
      <c r="J114" s="877"/>
      <c r="K114" s="805"/>
      <c r="L114" s="791"/>
      <c r="M114" s="778"/>
    </row>
    <row r="115" spans="1:13" ht="12.75" customHeight="1" x14ac:dyDescent="0.35">
      <c r="A115" s="663"/>
      <c r="B115" s="791"/>
      <c r="C115" s="798"/>
      <c r="D115" s="876"/>
      <c r="E115" s="826"/>
      <c r="F115" s="826"/>
      <c r="G115" s="826"/>
      <c r="H115" s="826"/>
      <c r="I115" s="826"/>
      <c r="J115" s="877"/>
      <c r="K115" s="805"/>
      <c r="L115" s="791"/>
      <c r="M115" s="778"/>
    </row>
    <row r="116" spans="1:13" ht="12.75" customHeight="1" x14ac:dyDescent="0.35">
      <c r="A116" s="663"/>
      <c r="B116" s="791"/>
      <c r="C116" s="798"/>
      <c r="D116" s="876"/>
      <c r="E116" s="826"/>
      <c r="F116" s="826"/>
      <c r="G116" s="826"/>
      <c r="H116" s="826"/>
      <c r="I116" s="826"/>
      <c r="J116" s="877"/>
      <c r="K116" s="805"/>
      <c r="L116" s="791"/>
      <c r="M116" s="778"/>
    </row>
    <row r="117" spans="1:13" ht="12.75" customHeight="1" x14ac:dyDescent="0.35">
      <c r="A117" s="663"/>
      <c r="B117" s="791"/>
      <c r="C117" s="798"/>
      <c r="D117" s="876"/>
      <c r="E117" s="826"/>
      <c r="F117" s="826"/>
      <c r="G117" s="826"/>
      <c r="H117" s="826"/>
      <c r="I117" s="826"/>
      <c r="J117" s="877"/>
      <c r="K117" s="805"/>
      <c r="L117" s="791"/>
      <c r="M117" s="778"/>
    </row>
    <row r="118" spans="1:13" ht="12.75" customHeight="1" x14ac:dyDescent="0.35">
      <c r="A118" s="663"/>
      <c r="B118" s="791"/>
      <c r="C118" s="798"/>
      <c r="D118" s="876"/>
      <c r="E118" s="826"/>
      <c r="F118" s="826"/>
      <c r="G118" s="826"/>
      <c r="H118" s="826"/>
      <c r="I118" s="826"/>
      <c r="J118" s="877"/>
      <c r="K118" s="805"/>
      <c r="L118" s="791"/>
      <c r="M118" s="778"/>
    </row>
    <row r="119" spans="1:13" ht="12.75" customHeight="1" x14ac:dyDescent="0.35">
      <c r="A119" s="663"/>
      <c r="B119" s="791"/>
      <c r="C119" s="798"/>
      <c r="D119" s="876"/>
      <c r="E119" s="826"/>
      <c r="F119" s="826"/>
      <c r="G119" s="826"/>
      <c r="H119" s="826"/>
      <c r="I119" s="826"/>
      <c r="J119" s="877"/>
      <c r="K119" s="805"/>
      <c r="L119" s="791"/>
      <c r="M119" s="778"/>
    </row>
    <row r="120" spans="1:13" ht="12.75" customHeight="1" x14ac:dyDescent="0.35">
      <c r="A120" s="663"/>
      <c r="B120" s="791"/>
      <c r="C120" s="798"/>
      <c r="D120" s="876"/>
      <c r="E120" s="826"/>
      <c r="F120" s="826"/>
      <c r="G120" s="826"/>
      <c r="H120" s="826"/>
      <c r="I120" s="826"/>
      <c r="J120" s="877"/>
      <c r="K120" s="805"/>
      <c r="L120" s="791"/>
      <c r="M120" s="778"/>
    </row>
    <row r="121" spans="1:13" ht="12.75" customHeight="1" x14ac:dyDescent="0.35">
      <c r="A121" s="663"/>
      <c r="B121" s="791"/>
      <c r="C121" s="798"/>
      <c r="D121" s="878"/>
      <c r="E121" s="879"/>
      <c r="F121" s="879"/>
      <c r="G121" s="879"/>
      <c r="H121" s="879"/>
      <c r="I121" s="879"/>
      <c r="J121" s="880"/>
      <c r="K121" s="805"/>
      <c r="L121" s="791"/>
      <c r="M121" s="778"/>
    </row>
    <row r="122" spans="1:13" ht="16" customHeight="1" x14ac:dyDescent="0.35">
      <c r="A122" s="663">
        <v>0</v>
      </c>
      <c r="B122" s="791"/>
      <c r="C122" s="798"/>
      <c r="D122" s="827" t="str">
        <f>$D$78</f>
        <v xml:space="preserve"> Key financials</v>
      </c>
      <c r="E122" s="881" t="str">
        <f>FinYearR02</f>
        <v>12/2019</v>
      </c>
      <c r="F122" s="882">
        <f>F91</f>
        <v>-20</v>
      </c>
      <c r="G122" s="883">
        <f>G91</f>
        <v>-10</v>
      </c>
      <c r="H122" s="883">
        <f>H91</f>
        <v>0</v>
      </c>
      <c r="I122" s="883">
        <f>I91</f>
        <v>10</v>
      </c>
      <c r="J122" s="884">
        <f>J91</f>
        <v>20</v>
      </c>
      <c r="K122" s="805"/>
      <c r="L122" s="791"/>
      <c r="M122" s="778"/>
    </row>
    <row r="123" spans="1:13" ht="16" customHeight="1" x14ac:dyDescent="0.35">
      <c r="A123" s="663">
        <v>0</v>
      </c>
      <c r="B123" s="791"/>
      <c r="C123" s="798"/>
      <c r="D123" s="827" t="str">
        <f>" "&amp;INDEX(RatiosDD,Analysis02Ratio01)</f>
        <v xml:space="preserve"> EBITDA; Operating income before depreciation, Euro</v>
      </c>
      <c r="E123" s="832"/>
      <c r="F123" s="836">
        <v>-1047075.4471776905</v>
      </c>
      <c r="G123" s="837">
        <v>99032.613493439741</v>
      </c>
      <c r="H123" s="837">
        <v>1245140.6741645718</v>
      </c>
      <c r="I123" s="837">
        <v>2391248.734835702</v>
      </c>
      <c r="J123" s="838">
        <v>3537356.7955068322</v>
      </c>
      <c r="K123" s="805"/>
      <c r="L123" s="791"/>
      <c r="M123" s="778"/>
    </row>
    <row r="124" spans="1:13" ht="16" customHeight="1" x14ac:dyDescent="0.35">
      <c r="A124" s="663"/>
      <c r="B124" s="791"/>
      <c r="C124" s="798"/>
      <c r="D124" s="827" t="str">
        <f>" "&amp;INDEX(RatiosDD,Analysis02Ratio02)</f>
        <v xml:space="preserve"> EBITDA, %</v>
      </c>
      <c r="E124" s="832"/>
      <c r="F124" s="860">
        <v>-0.114199031826518</v>
      </c>
      <c r="G124" s="861">
        <v>9.6008605986505936E-3</v>
      </c>
      <c r="H124" s="861">
        <v>0.10864077453878564</v>
      </c>
      <c r="I124" s="861">
        <v>0.18967343139889598</v>
      </c>
      <c r="J124" s="862">
        <v>0.25720064544898796</v>
      </c>
      <c r="K124" s="805"/>
      <c r="L124" s="791"/>
      <c r="M124" s="778"/>
    </row>
    <row r="125" spans="1:13" ht="16" customHeight="1" x14ac:dyDescent="0.35">
      <c r="A125" s="663" t="s">
        <v>39</v>
      </c>
      <c r="B125" s="791"/>
      <c r="C125" s="798"/>
      <c r="D125" s="827" t="str">
        <f>" "&amp;INDEX(RatiosDD,Analysis02Ratio03)</f>
        <v xml:space="preserve"> EBIT; Operating income, Euro</v>
      </c>
      <c r="E125" s="832"/>
      <c r="F125" s="836">
        <v>-1280075.4471776905</v>
      </c>
      <c r="G125" s="837">
        <v>-133967.38650656035</v>
      </c>
      <c r="H125" s="837">
        <v>1012140.6741645717</v>
      </c>
      <c r="I125" s="837">
        <v>2158248.734835702</v>
      </c>
      <c r="J125" s="838">
        <v>3304356.7955068322</v>
      </c>
      <c r="K125" s="805"/>
      <c r="L125" s="791"/>
      <c r="M125" s="778"/>
    </row>
    <row r="126" spans="1:13" ht="16" customHeight="1" x14ac:dyDescent="0.35">
      <c r="A126" s="663"/>
      <c r="B126" s="791"/>
      <c r="C126" s="798"/>
      <c r="D126" s="827" t="str">
        <f>" "&amp;INDEX(RatiosDD,Analysis02Ratio04)</f>
        <v xml:space="preserve"> EBIT, %</v>
      </c>
      <c r="E126" s="832"/>
      <c r="F126" s="860">
        <v>-0.13961112079040258</v>
      </c>
      <c r="G126" s="861">
        <v>-1.2987662924802372E-2</v>
      </c>
      <c r="H126" s="861">
        <v>8.8311103367677959E-2</v>
      </c>
      <c r="I126" s="861">
        <v>0.17119191215243448</v>
      </c>
      <c r="J126" s="862">
        <v>0.24025925280639823</v>
      </c>
      <c r="K126" s="805"/>
      <c r="L126" s="791"/>
      <c r="M126" s="778"/>
    </row>
    <row r="127" spans="1:13" ht="16" customHeight="1" x14ac:dyDescent="0.35">
      <c r="A127" s="663"/>
      <c r="B127" s="791"/>
      <c r="C127" s="798"/>
      <c r="D127" s="827" t="str">
        <f>" "&amp;INDEX(RatiosDD,Analysis02Ratio05)</f>
        <v xml:space="preserve"> Return on net assets (RONA), %</v>
      </c>
      <c r="E127" s="832"/>
      <c r="F127" s="888">
        <v>-5.2638172725926302E-2</v>
      </c>
      <c r="G127" s="889">
        <v>-5.5088928126237032E-3</v>
      </c>
      <c r="H127" s="889">
        <v>4.1620387100678974E-2</v>
      </c>
      <c r="I127" s="889">
        <v>8.8749667013981584E-2</v>
      </c>
      <c r="J127" s="890">
        <v>0.13587894692728419</v>
      </c>
      <c r="K127" s="805"/>
      <c r="L127" s="791"/>
      <c r="M127" s="778"/>
    </row>
    <row r="128" spans="1:13" ht="16" customHeight="1" x14ac:dyDescent="0.35">
      <c r="A128" s="663">
        <v>0</v>
      </c>
      <c r="B128" s="791"/>
      <c r="C128" s="798"/>
      <c r="D128" s="827" t="str">
        <f>" "&amp;INDEX(RatiosDD,Analysis02Ratio06)</f>
        <v xml:space="preserve"> Economic Value Added (EVA), Euro</v>
      </c>
      <c r="E128" s="832"/>
      <c r="F128" s="836">
        <v>-2232230.4741889443</v>
      </c>
      <c r="G128" s="837">
        <v>-1086122.4135178141</v>
      </c>
      <c r="H128" s="837">
        <v>59985.647153318045</v>
      </c>
      <c r="I128" s="837">
        <v>1206093.7078244481</v>
      </c>
      <c r="J128" s="838">
        <v>2352201.7684955783</v>
      </c>
      <c r="K128" s="805"/>
      <c r="L128" s="791"/>
      <c r="M128" s="778"/>
    </row>
    <row r="129" spans="1:13" ht="5.15" customHeight="1" x14ac:dyDescent="0.35">
      <c r="A129" s="663"/>
      <c r="B129" s="791"/>
      <c r="C129" s="839"/>
      <c r="D129" s="840"/>
      <c r="E129" s="840"/>
      <c r="F129" s="840"/>
      <c r="G129" s="840"/>
      <c r="H129" s="840"/>
      <c r="I129" s="840"/>
      <c r="J129" s="840"/>
      <c r="K129" s="841"/>
      <c r="L129" s="791"/>
      <c r="M129" s="778"/>
    </row>
    <row r="130" spans="1:13" ht="5.15" customHeight="1" x14ac:dyDescent="0.35">
      <c r="A130" s="663"/>
      <c r="B130" s="285"/>
      <c r="C130" s="285"/>
      <c r="D130" s="285"/>
      <c r="E130" s="285"/>
      <c r="F130" s="285"/>
      <c r="G130" s="285"/>
      <c r="H130" s="285"/>
      <c r="I130" s="285"/>
      <c r="J130" s="285"/>
      <c r="K130" s="285"/>
      <c r="L130" s="285"/>
      <c r="M130" s="778"/>
    </row>
    <row r="131" spans="1:13" ht="12.75" customHeight="1" x14ac:dyDescent="0.35">
      <c r="A131" s="663"/>
      <c r="B131" s="285"/>
      <c r="C131" s="285"/>
      <c r="D131" s="285"/>
      <c r="E131" s="285"/>
      <c r="F131" s="285"/>
      <c r="G131" s="285"/>
      <c r="H131" s="285"/>
      <c r="I131" s="285"/>
      <c r="J131" s="285"/>
      <c r="K131" s="285"/>
      <c r="L131" s="285"/>
      <c r="M131" s="778"/>
    </row>
    <row r="132" spans="1:13" ht="5.15" customHeight="1" x14ac:dyDescent="0.35">
      <c r="A132" s="663" t="s">
        <v>1684</v>
      </c>
      <c r="B132" s="285"/>
      <c r="C132" s="285"/>
      <c r="D132" s="285"/>
      <c r="E132" s="285"/>
      <c r="F132" s="285"/>
      <c r="G132" s="285"/>
      <c r="H132" s="285"/>
      <c r="I132" s="285"/>
      <c r="J132" s="285"/>
      <c r="K132" s="285"/>
      <c r="L132" s="285"/>
      <c r="M132" s="778"/>
    </row>
    <row r="133" spans="1:13" ht="15" customHeight="1" x14ac:dyDescent="0.35">
      <c r="A133" s="663" t="s">
        <v>1684</v>
      </c>
      <c r="B133" s="791"/>
      <c r="C133" s="792" t="s">
        <v>1685</v>
      </c>
      <c r="D133" s="793"/>
      <c r="E133" s="793"/>
      <c r="F133" s="793"/>
      <c r="G133" s="793"/>
      <c r="H133" s="793"/>
      <c r="I133" s="793"/>
      <c r="J133" s="793"/>
      <c r="K133" s="794"/>
      <c r="L133" s="791"/>
      <c r="M133" s="778"/>
    </row>
    <row r="134" spans="1:13" ht="5.15" customHeight="1" x14ac:dyDescent="0.35">
      <c r="A134" s="663"/>
      <c r="B134" s="791"/>
      <c r="C134" s="863"/>
      <c r="D134" s="864"/>
      <c r="E134" s="864"/>
      <c r="F134" s="784">
        <f ca="1">1+(OFFSET(F134,1,0)/100)</f>
        <v>0.8</v>
      </c>
      <c r="G134" s="784">
        <f ca="1">(1+(OFFSET(G134,1,0)/100))/F134</f>
        <v>1.125</v>
      </c>
      <c r="H134" s="865"/>
      <c r="I134" s="784">
        <f ca="1">(1+(OFFSET(I134,1,0)/100))/(1+(OFFSET(G134,1,0)/100))</f>
        <v>1.2222222222222223</v>
      </c>
      <c r="J134" s="784">
        <f ca="1">(1+(OFFSET(J134,1,0)/100))/(1+(OFFSET(I134,1,0)/100))</f>
        <v>1.0909090909090908</v>
      </c>
      <c r="K134" s="866"/>
      <c r="L134" s="791"/>
      <c r="M134" s="778"/>
    </row>
    <row r="135" spans="1:13" ht="15" customHeight="1" x14ac:dyDescent="0.35">
      <c r="A135" s="663">
        <v>0</v>
      </c>
      <c r="B135" s="791"/>
      <c r="C135" s="798"/>
      <c r="D135" s="867" t="s">
        <v>1686</v>
      </c>
      <c r="E135" s="868"/>
      <c r="F135" s="869">
        <v>-20</v>
      </c>
      <c r="G135" s="870">
        <v>-10</v>
      </c>
      <c r="H135" s="871">
        <v>0</v>
      </c>
      <c r="I135" s="870">
        <v>10</v>
      </c>
      <c r="J135" s="872">
        <v>20</v>
      </c>
      <c r="K135" s="805"/>
      <c r="L135" s="791"/>
      <c r="M135" s="778"/>
    </row>
    <row r="136" spans="1:13" ht="16" customHeight="1" x14ac:dyDescent="0.35">
      <c r="A136" s="663">
        <v>39895817.305392884</v>
      </c>
      <c r="B136" s="791"/>
      <c r="C136" s="798"/>
      <c r="D136" s="812" t="str">
        <f>$D$48</f>
        <v xml:space="preserve"> Net Present Value (NPV)</v>
      </c>
      <c r="E136" s="850"/>
      <c r="F136" s="1217">
        <v>83085107.892721653</v>
      </c>
      <c r="G136" s="1218">
        <v>61490462.599057257</v>
      </c>
      <c r="H136" s="1219">
        <v>39895817.305392884</v>
      </c>
      <c r="I136" s="1220">
        <v>18301172.011728466</v>
      </c>
      <c r="J136" s="1221">
        <v>-3293473.281935906</v>
      </c>
      <c r="K136" s="805"/>
      <c r="L136" s="791"/>
      <c r="M136" s="778"/>
    </row>
    <row r="137" spans="1:13" ht="15.5" hidden="1" x14ac:dyDescent="0.35">
      <c r="A137" s="663">
        <v>39895817.305392884</v>
      </c>
      <c r="B137" s="791"/>
      <c r="C137" s="798"/>
      <c r="D137" s="814"/>
      <c r="E137" s="851"/>
      <c r="F137" s="816">
        <v>83085107.892721653</v>
      </c>
      <c r="G137" s="650">
        <v>61490462.599057257</v>
      </c>
      <c r="H137" s="650">
        <v>39895817.305392884</v>
      </c>
      <c r="I137" s="650">
        <v>18301172.011728466</v>
      </c>
      <c r="J137" s="817">
        <v>-3293473.281935906</v>
      </c>
      <c r="K137" s="805"/>
      <c r="L137" s="791"/>
      <c r="M137" s="778"/>
    </row>
    <row r="138" spans="1:13" ht="15.5" hidden="1" x14ac:dyDescent="0.35">
      <c r="A138" s="663">
        <v>0.45335946086278023</v>
      </c>
      <c r="B138" s="791"/>
      <c r="C138" s="798"/>
      <c r="D138" s="814"/>
      <c r="E138" s="851"/>
      <c r="F138" s="852">
        <v>0.86291924145641308</v>
      </c>
      <c r="G138" s="653">
        <v>0.659291923127449</v>
      </c>
      <c r="H138" s="653">
        <v>0.45335946086278023</v>
      </c>
      <c r="I138" s="653">
        <v>0.23561237712689231</v>
      </c>
      <c r="J138" s="853">
        <v>-1.4149087985595665E-2</v>
      </c>
      <c r="K138" s="805"/>
      <c r="L138" s="791"/>
      <c r="M138" s="778"/>
    </row>
    <row r="139" spans="1:13" ht="15.5" hidden="1" x14ac:dyDescent="0.35">
      <c r="A139" s="663">
        <v>0.59430318007658811</v>
      </c>
      <c r="B139" s="791"/>
      <c r="C139" s="798"/>
      <c r="D139" s="814"/>
      <c r="E139" s="851"/>
      <c r="F139" s="852">
        <v>0.99110349413945475</v>
      </c>
      <c r="G139" s="653">
        <v>0.79145136150292905</v>
      </c>
      <c r="H139" s="653">
        <v>0.59430318007658811</v>
      </c>
      <c r="I139" s="653">
        <v>0.39408071208752293</v>
      </c>
      <c r="J139" s="853">
        <v>0.18131046511441284</v>
      </c>
      <c r="K139" s="805"/>
      <c r="L139" s="791"/>
      <c r="M139" s="778"/>
    </row>
    <row r="140" spans="1:13" ht="15.5" hidden="1" x14ac:dyDescent="0.35">
      <c r="A140" s="663">
        <v>0.23840164667677533</v>
      </c>
      <c r="B140" s="791"/>
      <c r="C140" s="798"/>
      <c r="D140" s="814"/>
      <c r="E140" s="851"/>
      <c r="F140" s="852">
        <v>0.37918264764344856</v>
      </c>
      <c r="G140" s="653">
        <v>0.31452641730595565</v>
      </c>
      <c r="H140" s="653">
        <v>0.23840164667677533</v>
      </c>
      <c r="I140" s="653">
        <v>0.14211937632729277</v>
      </c>
      <c r="J140" s="853">
        <v>2.4148220505424423E-3</v>
      </c>
      <c r="K140" s="805"/>
      <c r="L140" s="791"/>
      <c r="M140" s="778"/>
    </row>
    <row r="141" spans="1:13" ht="15.5" hidden="1" x14ac:dyDescent="0.35">
      <c r="A141" s="663">
        <v>5.7491919579975583</v>
      </c>
      <c r="B141" s="791"/>
      <c r="C141" s="798"/>
      <c r="D141" s="814"/>
      <c r="E141" s="851"/>
      <c r="F141" s="818">
        <v>10.890438469100749</v>
      </c>
      <c r="G141" s="652">
        <v>8.3198152135491519</v>
      </c>
      <c r="H141" s="652">
        <v>5.7491919579975583</v>
      </c>
      <c r="I141" s="652">
        <v>3.178568702445959</v>
      </c>
      <c r="J141" s="819">
        <v>0.60794544689436592</v>
      </c>
      <c r="K141" s="805"/>
      <c r="L141" s="791"/>
      <c r="M141" s="778"/>
    </row>
    <row r="142" spans="1:13" ht="15.5" hidden="1" x14ac:dyDescent="0.35">
      <c r="A142" s="663">
        <v>39345017.293103077</v>
      </c>
      <c r="B142" s="791"/>
      <c r="C142" s="798"/>
      <c r="D142" s="814"/>
      <c r="E142" s="851"/>
      <c r="F142" s="816">
        <v>82534307.880431846</v>
      </c>
      <c r="G142" s="650">
        <v>60939662.58676745</v>
      </c>
      <c r="H142" s="650">
        <v>39345017.293103077</v>
      </c>
      <c r="I142" s="650">
        <v>17750371.999438658</v>
      </c>
      <c r="J142" s="817">
        <v>-3844273.2942257132</v>
      </c>
      <c r="K142" s="805"/>
      <c r="L142" s="791"/>
      <c r="M142" s="778"/>
    </row>
    <row r="143" spans="1:13" ht="15.5" hidden="1" x14ac:dyDescent="0.35">
      <c r="A143" s="663">
        <v>2.6216576699339078</v>
      </c>
      <c r="B143" s="791"/>
      <c r="C143" s="798"/>
      <c r="D143" s="814"/>
      <c r="E143" s="851"/>
      <c r="F143" s="820">
        <v>1.3651034996171469</v>
      </c>
      <c r="G143" s="654">
        <v>1.7891693912774216</v>
      </c>
      <c r="H143" s="654">
        <v>2.6216576699339078</v>
      </c>
      <c r="I143" s="654">
        <v>4.373956700501858</v>
      </c>
      <c r="J143" s="821" t="s">
        <v>39</v>
      </c>
      <c r="K143" s="805"/>
      <c r="L143" s="791"/>
      <c r="M143" s="778"/>
    </row>
    <row r="144" spans="1:13" ht="15.5" hidden="1" x14ac:dyDescent="0.35">
      <c r="A144" s="663">
        <v>2.5114354093822029</v>
      </c>
      <c r="B144" s="791"/>
      <c r="C144" s="798"/>
      <c r="D144" s="814"/>
      <c r="E144" s="851"/>
      <c r="F144" s="820">
        <v>1.3241143263586437</v>
      </c>
      <c r="G144" s="654">
        <v>1.709911062772606</v>
      </c>
      <c r="H144" s="654">
        <v>2.5114354093822029</v>
      </c>
      <c r="I144" s="654">
        <v>4.1484616584988601</v>
      </c>
      <c r="J144" s="821" t="s">
        <v>39</v>
      </c>
      <c r="K144" s="805"/>
      <c r="L144" s="791"/>
      <c r="M144" s="778"/>
    </row>
    <row r="145" spans="1:13" ht="15.5" hidden="1" x14ac:dyDescent="0.35">
      <c r="A145" s="663">
        <v>46391295.337819979</v>
      </c>
      <c r="B145" s="791"/>
      <c r="C145" s="798"/>
      <c r="D145" s="814"/>
      <c r="E145" s="851"/>
      <c r="F145" s="816">
        <v>93999165.925394297</v>
      </c>
      <c r="G145" s="650">
        <v>70195230.63160713</v>
      </c>
      <c r="H145" s="650">
        <v>46391295.337819979</v>
      </c>
      <c r="I145" s="650">
        <v>22587360.044032775</v>
      </c>
      <c r="J145" s="817">
        <v>-1216575.249754386</v>
      </c>
      <c r="K145" s="805"/>
      <c r="L145" s="791"/>
      <c r="M145" s="778"/>
    </row>
    <row r="146" spans="1:13" ht="15.5" hidden="1" x14ac:dyDescent="0.35">
      <c r="A146" s="663">
        <v>0.45335946086278023</v>
      </c>
      <c r="B146" s="791"/>
      <c r="C146" s="798"/>
      <c r="D146" s="814"/>
      <c r="E146" s="851"/>
      <c r="F146" s="852">
        <v>0.86291924145641308</v>
      </c>
      <c r="G146" s="653">
        <v>0.659291923127449</v>
      </c>
      <c r="H146" s="653">
        <v>0.45335946086278023</v>
      </c>
      <c r="I146" s="653">
        <v>0.23561237712689231</v>
      </c>
      <c r="J146" s="853">
        <v>-1.4149087985595665E-2</v>
      </c>
      <c r="K146" s="805"/>
      <c r="L146" s="791"/>
      <c r="M146" s="778"/>
    </row>
    <row r="147" spans="1:13" ht="15.5" hidden="1" x14ac:dyDescent="0.35">
      <c r="A147" s="663">
        <v>0.59430318007658811</v>
      </c>
      <c r="B147" s="791"/>
      <c r="C147" s="798"/>
      <c r="D147" s="814"/>
      <c r="E147" s="851"/>
      <c r="F147" s="852">
        <v>0.99110349413945475</v>
      </c>
      <c r="G147" s="653">
        <v>0.79145136150292905</v>
      </c>
      <c r="H147" s="653">
        <v>0.59430318007658811</v>
      </c>
      <c r="I147" s="653">
        <v>0.39408071208752293</v>
      </c>
      <c r="J147" s="853">
        <v>0.18131046511441284</v>
      </c>
      <c r="K147" s="805"/>
      <c r="L147" s="791"/>
      <c r="M147" s="778"/>
    </row>
    <row r="148" spans="1:13" ht="15.5" hidden="1" x14ac:dyDescent="0.35">
      <c r="A148" s="663">
        <v>0.22616366592115345</v>
      </c>
      <c r="B148" s="791"/>
      <c r="C148" s="798"/>
      <c r="D148" s="814"/>
      <c r="E148" s="851"/>
      <c r="F148" s="852">
        <v>0.36553153851808018</v>
      </c>
      <c r="G148" s="653">
        <v>0.30152313356996285</v>
      </c>
      <c r="H148" s="653">
        <v>0.22616366592115345</v>
      </c>
      <c r="I148" s="653">
        <v>0.13085529192780143</v>
      </c>
      <c r="J148" s="853">
        <v>-8.6016859696241843E-3</v>
      </c>
      <c r="K148" s="805"/>
      <c r="L148" s="791"/>
      <c r="M148" s="778"/>
    </row>
    <row r="149" spans="1:13" ht="15.5" hidden="1" x14ac:dyDescent="0.35">
      <c r="A149" s="663">
        <v>2.5114354093822029</v>
      </c>
      <c r="B149" s="791"/>
      <c r="C149" s="798"/>
      <c r="D149" s="814"/>
      <c r="E149" s="851"/>
      <c r="F149" s="820">
        <v>1.3241143263586437</v>
      </c>
      <c r="G149" s="654">
        <v>1.7099110627726064</v>
      </c>
      <c r="H149" s="654">
        <v>2.5114354093822029</v>
      </c>
      <c r="I149" s="654">
        <v>4.1484616584988601</v>
      </c>
      <c r="J149" s="821" t="s">
        <v>39</v>
      </c>
      <c r="K149" s="805"/>
      <c r="L149" s="791"/>
      <c r="M149" s="778"/>
    </row>
    <row r="150" spans="1:13" ht="15.5" hidden="1" x14ac:dyDescent="0.35">
      <c r="A150" s="663">
        <v>2.5114354093822029</v>
      </c>
      <c r="B150" s="791"/>
      <c r="C150" s="798"/>
      <c r="D150" s="814"/>
      <c r="E150" s="851"/>
      <c r="F150" s="820">
        <v>1.3241143263586437</v>
      </c>
      <c r="G150" s="654">
        <v>1.709911062772606</v>
      </c>
      <c r="H150" s="654">
        <v>2.5114354093822029</v>
      </c>
      <c r="I150" s="654">
        <v>4.1484616584988601</v>
      </c>
      <c r="J150" s="821" t="s">
        <v>39</v>
      </c>
      <c r="K150" s="805"/>
      <c r="L150" s="791"/>
      <c r="M150" s="778"/>
    </row>
    <row r="151" spans="1:13" ht="14.15" customHeight="1" x14ac:dyDescent="0.35">
      <c r="A151" s="663">
        <v>0</v>
      </c>
      <c r="B151" s="791"/>
      <c r="C151" s="798"/>
      <c r="D151" s="822" t="str">
        <f>$D$6</f>
        <v xml:space="preserve"> Change, %</v>
      </c>
      <c r="E151" s="823"/>
      <c r="F151" s="808">
        <f>IF(AND(ISNUMBER(F136),ISNUMBER($H136)),(F136-$H136)/IF($H136=0,0.00001,ABS($H136))*100,"")</f>
        <v>108.25518438869202</v>
      </c>
      <c r="G151" s="809">
        <f>IF(AND(ISNUMBER(G136),ISNUMBER($H136)),(G136-$H136)/IF($H136=0,0.00001,ABS($H136))*100,"")</f>
        <v>54.127592194345986</v>
      </c>
      <c r="H151" s="809">
        <v>0</v>
      </c>
      <c r="I151" s="809">
        <f>IF(AND(ISNUMBER(I136),ISNUMBER($H136)),(I136-$H136)/IF($H136=0,0.00001,ABS($H136))*100,"")</f>
        <v>-54.1275921943461</v>
      </c>
      <c r="J151" s="811">
        <f>IF(AND(ISNUMBER(J136),ISNUMBER($H136)),(J136-$H136)/IF($H136=0,0.00001,ABS($H136))*100,"")</f>
        <v>-108.25518438869209</v>
      </c>
      <c r="K151" s="805"/>
      <c r="L151" s="791"/>
      <c r="M151" s="778"/>
    </row>
    <row r="152" spans="1:13" ht="12.75" customHeight="1" x14ac:dyDescent="0.35">
      <c r="A152" s="663"/>
      <c r="B152" s="791"/>
      <c r="C152" s="798"/>
      <c r="D152" s="873"/>
      <c r="E152" s="874"/>
      <c r="F152" s="874"/>
      <c r="G152" s="874"/>
      <c r="H152" s="874"/>
      <c r="I152" s="874"/>
      <c r="J152" s="875"/>
      <c r="K152" s="805"/>
      <c r="L152" s="791"/>
      <c r="M152" s="778"/>
    </row>
    <row r="153" spans="1:13" ht="12.75" customHeight="1" x14ac:dyDescent="0.35">
      <c r="A153" s="663"/>
      <c r="B153" s="791"/>
      <c r="C153" s="798"/>
      <c r="D153" s="876"/>
      <c r="E153" s="826"/>
      <c r="F153" s="826"/>
      <c r="G153" s="826"/>
      <c r="H153" s="826"/>
      <c r="I153" s="826"/>
      <c r="J153" s="877"/>
      <c r="K153" s="805"/>
      <c r="L153" s="791"/>
      <c r="M153" s="778"/>
    </row>
    <row r="154" spans="1:13" ht="12.75" customHeight="1" x14ac:dyDescent="0.35">
      <c r="A154" s="663"/>
      <c r="B154" s="791"/>
      <c r="C154" s="798"/>
      <c r="D154" s="876"/>
      <c r="E154" s="826"/>
      <c r="F154" s="826"/>
      <c r="G154" s="826"/>
      <c r="H154" s="826"/>
      <c r="I154" s="826"/>
      <c r="J154" s="877"/>
      <c r="K154" s="805"/>
      <c r="L154" s="791"/>
      <c r="M154" s="778"/>
    </row>
    <row r="155" spans="1:13" ht="12.75" customHeight="1" x14ac:dyDescent="0.35">
      <c r="A155" s="663"/>
      <c r="B155" s="791"/>
      <c r="C155" s="798"/>
      <c r="D155" s="876"/>
      <c r="E155" s="826"/>
      <c r="F155" s="826"/>
      <c r="G155" s="826"/>
      <c r="H155" s="826"/>
      <c r="I155" s="826"/>
      <c r="J155" s="877"/>
      <c r="K155" s="805"/>
      <c r="L155" s="791"/>
      <c r="M155" s="778"/>
    </row>
    <row r="156" spans="1:13" ht="12.75" customHeight="1" x14ac:dyDescent="0.35">
      <c r="A156" s="663"/>
      <c r="B156" s="791"/>
      <c r="C156" s="798"/>
      <c r="D156" s="876"/>
      <c r="E156" s="826"/>
      <c r="F156" s="826"/>
      <c r="G156" s="826"/>
      <c r="H156" s="826"/>
      <c r="I156" s="826"/>
      <c r="J156" s="877"/>
      <c r="K156" s="805"/>
      <c r="L156" s="791"/>
      <c r="M156" s="778"/>
    </row>
    <row r="157" spans="1:13" ht="12.75" customHeight="1" x14ac:dyDescent="0.35">
      <c r="A157" s="663"/>
      <c r="B157" s="791"/>
      <c r="C157" s="798"/>
      <c r="D157" s="876"/>
      <c r="E157" s="826"/>
      <c r="F157" s="826"/>
      <c r="G157" s="826"/>
      <c r="H157" s="826"/>
      <c r="I157" s="826"/>
      <c r="J157" s="877"/>
      <c r="K157" s="805"/>
      <c r="L157" s="791"/>
      <c r="M157" s="778"/>
    </row>
    <row r="158" spans="1:13" ht="12.75" customHeight="1" x14ac:dyDescent="0.35">
      <c r="A158" s="663"/>
      <c r="B158" s="791"/>
      <c r="C158" s="798"/>
      <c r="D158" s="876"/>
      <c r="E158" s="826"/>
      <c r="F158" s="826"/>
      <c r="G158" s="826"/>
      <c r="H158" s="826"/>
      <c r="I158" s="826"/>
      <c r="J158" s="877"/>
      <c r="K158" s="805"/>
      <c r="L158" s="791"/>
      <c r="M158" s="778"/>
    </row>
    <row r="159" spans="1:13" ht="12.75" customHeight="1" x14ac:dyDescent="0.35">
      <c r="A159" s="663"/>
      <c r="B159" s="791"/>
      <c r="C159" s="798"/>
      <c r="D159" s="876"/>
      <c r="E159" s="826"/>
      <c r="F159" s="826"/>
      <c r="G159" s="826"/>
      <c r="H159" s="826"/>
      <c r="I159" s="826"/>
      <c r="J159" s="877"/>
      <c r="K159" s="805"/>
      <c r="L159" s="791"/>
      <c r="M159" s="778"/>
    </row>
    <row r="160" spans="1:13" ht="12.75" customHeight="1" x14ac:dyDescent="0.35">
      <c r="A160" s="663"/>
      <c r="B160" s="791"/>
      <c r="C160" s="798"/>
      <c r="D160" s="876"/>
      <c r="E160" s="826"/>
      <c r="F160" s="826"/>
      <c r="G160" s="826"/>
      <c r="H160" s="826"/>
      <c r="I160" s="826"/>
      <c r="J160" s="877"/>
      <c r="K160" s="805"/>
      <c r="L160" s="791"/>
      <c r="M160" s="778"/>
    </row>
    <row r="161" spans="1:13" ht="12.75" customHeight="1" x14ac:dyDescent="0.35">
      <c r="A161" s="663"/>
      <c r="B161" s="791"/>
      <c r="C161" s="798"/>
      <c r="D161" s="876"/>
      <c r="E161" s="826"/>
      <c r="F161" s="826"/>
      <c r="G161" s="826"/>
      <c r="H161" s="826"/>
      <c r="I161" s="826"/>
      <c r="J161" s="877"/>
      <c r="K161" s="805"/>
      <c r="L161" s="791"/>
      <c r="M161" s="778"/>
    </row>
    <row r="162" spans="1:13" ht="12.75" customHeight="1" x14ac:dyDescent="0.35">
      <c r="A162" s="663"/>
      <c r="B162" s="791"/>
      <c r="C162" s="798"/>
      <c r="D162" s="876"/>
      <c r="E162" s="826"/>
      <c r="F162" s="826"/>
      <c r="G162" s="826"/>
      <c r="H162" s="826"/>
      <c r="I162" s="826"/>
      <c r="J162" s="877"/>
      <c r="K162" s="805"/>
      <c r="L162" s="791"/>
      <c r="M162" s="778"/>
    </row>
    <row r="163" spans="1:13" ht="12.75" customHeight="1" x14ac:dyDescent="0.35">
      <c r="A163" s="663"/>
      <c r="B163" s="791"/>
      <c r="C163" s="798"/>
      <c r="D163" s="876"/>
      <c r="E163" s="826"/>
      <c r="F163" s="826"/>
      <c r="G163" s="826"/>
      <c r="H163" s="826"/>
      <c r="I163" s="826"/>
      <c r="J163" s="877"/>
      <c r="K163" s="805"/>
      <c r="L163" s="791"/>
      <c r="M163" s="778"/>
    </row>
    <row r="164" spans="1:13" ht="12.75" customHeight="1" x14ac:dyDescent="0.35">
      <c r="A164" s="663"/>
      <c r="B164" s="791"/>
      <c r="C164" s="798"/>
      <c r="D164" s="876"/>
      <c r="E164" s="826"/>
      <c r="F164" s="826"/>
      <c r="G164" s="826"/>
      <c r="H164" s="826"/>
      <c r="I164" s="826"/>
      <c r="J164" s="877"/>
      <c r="K164" s="805"/>
      <c r="L164" s="791"/>
      <c r="M164" s="778"/>
    </row>
    <row r="165" spans="1:13" ht="12.75" customHeight="1" x14ac:dyDescent="0.35">
      <c r="A165" s="663"/>
      <c r="B165" s="791"/>
      <c r="C165" s="798"/>
      <c r="D165" s="878"/>
      <c r="E165" s="879"/>
      <c r="F165" s="879"/>
      <c r="G165" s="879"/>
      <c r="H165" s="879"/>
      <c r="I165" s="879"/>
      <c r="J165" s="880"/>
      <c r="K165" s="805"/>
      <c r="L165" s="791"/>
      <c r="M165" s="778"/>
    </row>
    <row r="166" spans="1:13" ht="16" customHeight="1" x14ac:dyDescent="0.35">
      <c r="A166" s="663">
        <v>0</v>
      </c>
      <c r="B166" s="791"/>
      <c r="C166" s="798"/>
      <c r="D166" s="827" t="str">
        <f>$D$78</f>
        <v xml:space="preserve"> Key financials</v>
      </c>
      <c r="E166" s="881" t="str">
        <f>FinYearR03</f>
        <v>12/2019</v>
      </c>
      <c r="F166" s="885">
        <f>F135</f>
        <v>-20</v>
      </c>
      <c r="G166" s="886">
        <f>G135</f>
        <v>-10</v>
      </c>
      <c r="H166" s="886">
        <f>H135</f>
        <v>0</v>
      </c>
      <c r="I166" s="886">
        <f>I135</f>
        <v>10</v>
      </c>
      <c r="J166" s="887">
        <f>J135</f>
        <v>20</v>
      </c>
      <c r="K166" s="805"/>
      <c r="L166" s="791"/>
      <c r="M166" s="778"/>
    </row>
    <row r="167" spans="1:13" ht="16" customHeight="1" x14ac:dyDescent="0.35">
      <c r="A167" s="663">
        <v>0</v>
      </c>
      <c r="B167" s="791"/>
      <c r="C167" s="798"/>
      <c r="D167" s="827" t="str">
        <f>" "&amp;INDEX(RatiosDD,Analysis03Ratio01)</f>
        <v xml:space="preserve"> EBITDA; Operating income before depreciation, Euro</v>
      </c>
      <c r="E167" s="832"/>
      <c r="F167" s="836">
        <v>2808328.6606739191</v>
      </c>
      <c r="G167" s="837">
        <v>2026734.6674192455</v>
      </c>
      <c r="H167" s="837">
        <v>1245140.6741645718</v>
      </c>
      <c r="I167" s="837">
        <v>463546.68090989813</v>
      </c>
      <c r="J167" s="838">
        <v>-318047.3123447746</v>
      </c>
      <c r="K167" s="805"/>
      <c r="L167" s="791"/>
      <c r="M167" s="778"/>
    </row>
    <row r="168" spans="1:13" ht="16" customHeight="1" x14ac:dyDescent="0.35">
      <c r="A168" s="663"/>
      <c r="B168" s="791"/>
      <c r="C168" s="798"/>
      <c r="D168" s="827" t="str">
        <f>" "&amp;INDEX(RatiosDD,Analysis03Ratio02)</f>
        <v xml:space="preserve"> EBITDA, %</v>
      </c>
      <c r="E168" s="832"/>
      <c r="F168" s="860">
        <v>0.24503175198239469</v>
      </c>
      <c r="G168" s="861">
        <v>0.17683626326059015</v>
      </c>
      <c r="H168" s="861">
        <v>0.10864077453878564</v>
      </c>
      <c r="I168" s="861">
        <v>4.0445285816981105E-2</v>
      </c>
      <c r="J168" s="862">
        <v>-2.7750202904823339E-2</v>
      </c>
      <c r="K168" s="805"/>
      <c r="L168" s="791"/>
      <c r="M168" s="778"/>
    </row>
    <row r="169" spans="1:13" ht="16" customHeight="1" x14ac:dyDescent="0.35">
      <c r="A169" s="663" t="s">
        <v>39</v>
      </c>
      <c r="B169" s="791"/>
      <c r="C169" s="798"/>
      <c r="D169" s="827" t="str">
        <f>" "&amp;INDEX(RatiosDD,Analysis03Ratio03)</f>
        <v xml:space="preserve"> EBIT; Operating income, Euro</v>
      </c>
      <c r="E169" s="832"/>
      <c r="F169" s="836">
        <v>2575328.6606739191</v>
      </c>
      <c r="G169" s="837">
        <v>1793734.6674192455</v>
      </c>
      <c r="H169" s="837">
        <v>1012140.6741645717</v>
      </c>
      <c r="I169" s="837">
        <v>230546.68090989804</v>
      </c>
      <c r="J169" s="838">
        <v>-551047.31234477472</v>
      </c>
      <c r="K169" s="805"/>
      <c r="L169" s="791"/>
      <c r="M169" s="778"/>
    </row>
    <row r="170" spans="1:13" ht="16" customHeight="1" x14ac:dyDescent="0.35">
      <c r="A170" s="663"/>
      <c r="B170" s="791"/>
      <c r="C170" s="798"/>
      <c r="D170" s="827" t="str">
        <f>" "&amp;INDEX(RatiosDD,Analysis03Ratio04)</f>
        <v xml:space="preserve"> EBIT, %</v>
      </c>
      <c r="E170" s="832"/>
      <c r="F170" s="860">
        <v>0.22470208081128701</v>
      </c>
      <c r="G170" s="861">
        <v>0.1565065920894825</v>
      </c>
      <c r="H170" s="861">
        <v>8.8311103367677959E-2</v>
      </c>
      <c r="I170" s="861">
        <v>2.0115614645873438E-2</v>
      </c>
      <c r="J170" s="862">
        <v>-4.8079874075931006E-2</v>
      </c>
      <c r="K170" s="805"/>
      <c r="L170" s="791"/>
      <c r="M170" s="778"/>
    </row>
    <row r="171" spans="1:13" ht="16" customHeight="1" x14ac:dyDescent="0.35">
      <c r="A171" s="663"/>
      <c r="B171" s="791"/>
      <c r="C171" s="798"/>
      <c r="D171" s="827" t="str">
        <f>" "&amp;INDEX(RatiosDD,Analysis03Ratio05)</f>
        <v xml:space="preserve"> Return on net assets (RONA), %</v>
      </c>
      <c r="E171" s="832"/>
      <c r="F171" s="888">
        <v>0.10590047263656695</v>
      </c>
      <c r="G171" s="889">
        <v>7.3760429868622968E-2</v>
      </c>
      <c r="H171" s="889">
        <v>4.1620387100678974E-2</v>
      </c>
      <c r="I171" s="889">
        <v>9.4803443327349923E-3</v>
      </c>
      <c r="J171" s="890">
        <v>-2.2659698435208951E-2</v>
      </c>
      <c r="K171" s="805"/>
      <c r="L171" s="791"/>
      <c r="M171" s="778"/>
    </row>
    <row r="172" spans="1:13" ht="16" customHeight="1" x14ac:dyDescent="0.35">
      <c r="A172" s="663">
        <v>0</v>
      </c>
      <c r="B172" s="791"/>
      <c r="C172" s="798"/>
      <c r="D172" s="827" t="str">
        <f>" "&amp;INDEX(RatiosDD,Analysis03Ratio06)</f>
        <v xml:space="preserve"> Economic Value Added (EVA), Euro</v>
      </c>
      <c r="E172" s="832"/>
      <c r="F172" s="836">
        <v>1623173.6336626653</v>
      </c>
      <c r="G172" s="837">
        <v>841579.64040799171</v>
      </c>
      <c r="H172" s="837">
        <v>59985.647153318045</v>
      </c>
      <c r="I172" s="837">
        <v>-721608.34610135562</v>
      </c>
      <c r="J172" s="838">
        <v>-1503202.3393560285</v>
      </c>
      <c r="K172" s="805"/>
      <c r="L172" s="791"/>
      <c r="M172" s="778"/>
    </row>
    <row r="173" spans="1:13" ht="5.15" customHeight="1" x14ac:dyDescent="0.35">
      <c r="A173" s="663"/>
      <c r="B173" s="791"/>
      <c r="C173" s="839"/>
      <c r="D173" s="840"/>
      <c r="E173" s="840"/>
      <c r="F173" s="840"/>
      <c r="G173" s="840"/>
      <c r="H173" s="840"/>
      <c r="I173" s="840"/>
      <c r="J173" s="840"/>
      <c r="K173" s="841"/>
      <c r="L173" s="791"/>
      <c r="M173" s="778"/>
    </row>
    <row r="174" spans="1:13" ht="5.15" customHeight="1" x14ac:dyDescent="0.35">
      <c r="A174" s="663"/>
      <c r="B174" s="285"/>
      <c r="C174" s="285"/>
      <c r="D174" s="285"/>
      <c r="E174" s="285"/>
      <c r="F174" s="285"/>
      <c r="G174" s="285"/>
      <c r="H174" s="285"/>
      <c r="I174" s="285"/>
      <c r="J174" s="285"/>
      <c r="K174" s="285"/>
      <c r="L174" s="285"/>
      <c r="M174" s="778"/>
    </row>
    <row r="175" spans="1:13" ht="12.75" customHeight="1" x14ac:dyDescent="0.35">
      <c r="A175" s="663"/>
      <c r="B175" s="285"/>
      <c r="C175" s="285"/>
      <c r="D175" s="285"/>
      <c r="E175" s="285"/>
      <c r="F175" s="285"/>
      <c r="G175" s="285"/>
      <c r="H175" s="285"/>
      <c r="I175" s="285"/>
      <c r="J175" s="285"/>
      <c r="K175" s="285"/>
      <c r="L175" s="285"/>
      <c r="M175" s="778"/>
    </row>
    <row r="176" spans="1:13" ht="5.15" customHeight="1" x14ac:dyDescent="0.35">
      <c r="A176" s="663" t="s">
        <v>1687</v>
      </c>
      <c r="B176" s="285"/>
      <c r="C176" s="285"/>
      <c r="D176" s="285"/>
      <c r="E176" s="285"/>
      <c r="F176" s="285"/>
      <c r="G176" s="285"/>
      <c r="H176" s="285"/>
      <c r="I176" s="285"/>
      <c r="J176" s="285"/>
      <c r="K176" s="285"/>
      <c r="L176" s="285"/>
      <c r="M176" s="778"/>
    </row>
    <row r="177" spans="1:13" ht="15" customHeight="1" x14ac:dyDescent="0.35">
      <c r="A177" s="663" t="s">
        <v>1687</v>
      </c>
      <c r="B177" s="791"/>
      <c r="C177" s="792" t="s">
        <v>1688</v>
      </c>
      <c r="D177" s="793"/>
      <c r="E177" s="793"/>
      <c r="F177" s="793"/>
      <c r="G177" s="793"/>
      <c r="H177" s="793"/>
      <c r="I177" s="793"/>
      <c r="J177" s="793"/>
      <c r="K177" s="794"/>
      <c r="L177" s="791"/>
      <c r="M177" s="778"/>
    </row>
    <row r="178" spans="1:13" ht="5.15" customHeight="1" x14ac:dyDescent="0.35">
      <c r="A178" s="663"/>
      <c r="B178" s="791"/>
      <c r="C178" s="863"/>
      <c r="D178" s="864"/>
      <c r="E178" s="864"/>
      <c r="F178" s="784">
        <f ca="1">1+(OFFSET(F178,1,0)/100)</f>
        <v>0.8</v>
      </c>
      <c r="G178" s="784">
        <f ca="1">(1+(OFFSET(G178,1,0)/100))/F178</f>
        <v>1.125</v>
      </c>
      <c r="H178" s="865"/>
      <c r="I178" s="784">
        <f ca="1">(1+(OFFSET(I178,1,0)/100))/(1+(OFFSET(G178,1,0)/100))</f>
        <v>1.2222222222222223</v>
      </c>
      <c r="J178" s="784">
        <f ca="1">(1+(OFFSET(J178,1,0)/100))/(1+(OFFSET(I178,1,0)/100))</f>
        <v>1.0909090909090908</v>
      </c>
      <c r="K178" s="866"/>
      <c r="L178" s="791"/>
      <c r="M178" s="778"/>
    </row>
    <row r="179" spans="1:13" ht="15" customHeight="1" x14ac:dyDescent="0.35">
      <c r="A179" s="663">
        <v>0</v>
      </c>
      <c r="B179" s="791"/>
      <c r="C179" s="798"/>
      <c r="D179" s="867" t="s">
        <v>1689</v>
      </c>
      <c r="E179" s="868"/>
      <c r="F179" s="869">
        <v>-20</v>
      </c>
      <c r="G179" s="870">
        <v>-10</v>
      </c>
      <c r="H179" s="871">
        <v>0</v>
      </c>
      <c r="I179" s="870">
        <v>10</v>
      </c>
      <c r="J179" s="872">
        <v>20</v>
      </c>
      <c r="K179" s="805"/>
      <c r="L179" s="791"/>
      <c r="M179" s="778"/>
    </row>
    <row r="180" spans="1:13" ht="16" customHeight="1" x14ac:dyDescent="0.35">
      <c r="A180" s="663">
        <v>39895817.305392884</v>
      </c>
      <c r="B180" s="791"/>
      <c r="C180" s="798"/>
      <c r="D180" s="812" t="str">
        <f>$D$48</f>
        <v xml:space="preserve"> Net Present Value (NPV)</v>
      </c>
      <c r="E180" s="850"/>
      <c r="F180" s="1217">
        <v>46953820.993113466</v>
      </c>
      <c r="G180" s="1218">
        <v>43424819.149253175</v>
      </c>
      <c r="H180" s="1219">
        <v>39895817.305392884</v>
      </c>
      <c r="I180" s="1220">
        <v>36366815.461532585</v>
      </c>
      <c r="J180" s="1221">
        <v>32837813.617672294</v>
      </c>
      <c r="K180" s="805"/>
      <c r="L180" s="791"/>
      <c r="M180" s="778"/>
    </row>
    <row r="181" spans="1:13" ht="15.5" hidden="1" x14ac:dyDescent="0.35">
      <c r="A181" s="663">
        <v>39895817.305392884</v>
      </c>
      <c r="B181" s="791"/>
      <c r="C181" s="798"/>
      <c r="D181" s="814"/>
      <c r="E181" s="851"/>
      <c r="F181" s="816">
        <v>46953820.993113466</v>
      </c>
      <c r="G181" s="650">
        <v>43424819.149253175</v>
      </c>
      <c r="H181" s="650">
        <v>39895817.305392884</v>
      </c>
      <c r="I181" s="650">
        <v>36366815.461532585</v>
      </c>
      <c r="J181" s="817">
        <v>32837813.617672294</v>
      </c>
      <c r="K181" s="805"/>
      <c r="L181" s="791"/>
      <c r="M181" s="778"/>
    </row>
    <row r="182" spans="1:13" ht="15.5" hidden="1" x14ac:dyDescent="0.35">
      <c r="A182" s="663">
        <v>0.45335946086278023</v>
      </c>
      <c r="B182" s="791"/>
      <c r="C182" s="798"/>
      <c r="D182" s="814"/>
      <c r="E182" s="851"/>
      <c r="F182" s="852">
        <v>0.53572090735608824</v>
      </c>
      <c r="G182" s="653">
        <v>0.49420799535847504</v>
      </c>
      <c r="H182" s="653">
        <v>0.45335946086278023</v>
      </c>
      <c r="I182" s="653">
        <v>0.41314190961887043</v>
      </c>
      <c r="J182" s="853">
        <v>0.37352215810432821</v>
      </c>
      <c r="K182" s="805"/>
      <c r="L182" s="791"/>
      <c r="M182" s="778"/>
    </row>
    <row r="183" spans="1:13" ht="15.5" hidden="1" x14ac:dyDescent="0.35">
      <c r="A183" s="663">
        <v>0.59430318007658811</v>
      </c>
      <c r="B183" s="791"/>
      <c r="C183" s="798"/>
      <c r="D183" s="814"/>
      <c r="E183" s="851"/>
      <c r="F183" s="852">
        <v>0.67543375840946229</v>
      </c>
      <c r="G183" s="653">
        <v>0.63447735077448697</v>
      </c>
      <c r="H183" s="653">
        <v>0.59430318007658811</v>
      </c>
      <c r="I183" s="653">
        <v>0.55488098874178737</v>
      </c>
      <c r="J183" s="853">
        <v>0.51618111686213464</v>
      </c>
      <c r="K183" s="805"/>
      <c r="L183" s="791"/>
      <c r="M183" s="778"/>
    </row>
    <row r="184" spans="1:13" ht="15.5" hidden="1" x14ac:dyDescent="0.35">
      <c r="A184" s="663">
        <v>0.23840164667677533</v>
      </c>
      <c r="B184" s="791"/>
      <c r="C184" s="798"/>
      <c r="D184" s="814"/>
      <c r="E184" s="851"/>
      <c r="F184" s="852">
        <v>0.26646877531636015</v>
      </c>
      <c r="G184" s="653">
        <v>0.25263158453845569</v>
      </c>
      <c r="H184" s="653">
        <v>0.23840164667677533</v>
      </c>
      <c r="I184" s="653">
        <v>0.22373532924762651</v>
      </c>
      <c r="J184" s="853">
        <v>0.20858224532368408</v>
      </c>
      <c r="K184" s="805"/>
      <c r="L184" s="791"/>
      <c r="M184" s="778"/>
    </row>
    <row r="185" spans="1:13" ht="15.5" hidden="1" x14ac:dyDescent="0.35">
      <c r="A185" s="663">
        <v>5.7491919579975583</v>
      </c>
      <c r="B185" s="791"/>
      <c r="C185" s="798"/>
      <c r="D185" s="814"/>
      <c r="E185" s="851"/>
      <c r="F185" s="818">
        <v>6.5893756318061074</v>
      </c>
      <c r="G185" s="652">
        <v>6.1692837949018333</v>
      </c>
      <c r="H185" s="652">
        <v>5.7491919579975583</v>
      </c>
      <c r="I185" s="652">
        <v>5.3291001210932825</v>
      </c>
      <c r="J185" s="819">
        <v>4.9090082841890075</v>
      </c>
      <c r="K185" s="805"/>
      <c r="L185" s="791"/>
      <c r="M185" s="778"/>
    </row>
    <row r="186" spans="1:13" ht="15.5" hidden="1" x14ac:dyDescent="0.35">
      <c r="A186" s="663">
        <v>39345017.293103077</v>
      </c>
      <c r="B186" s="791"/>
      <c r="C186" s="798"/>
      <c r="D186" s="814"/>
      <c r="E186" s="851"/>
      <c r="F186" s="816">
        <v>46403020.980823666</v>
      </c>
      <c r="G186" s="650">
        <v>42874019.136963367</v>
      </c>
      <c r="H186" s="650">
        <v>39345017.293103077</v>
      </c>
      <c r="I186" s="650">
        <v>35816015.449242786</v>
      </c>
      <c r="J186" s="817">
        <v>32287013.605382487</v>
      </c>
      <c r="K186" s="805"/>
      <c r="L186" s="791"/>
      <c r="M186" s="778"/>
    </row>
    <row r="187" spans="1:13" ht="15.5" hidden="1" x14ac:dyDescent="0.35">
      <c r="A187" s="663">
        <v>2.6216576699339078</v>
      </c>
      <c r="B187" s="791"/>
      <c r="C187" s="798"/>
      <c r="D187" s="814"/>
      <c r="E187" s="851"/>
      <c r="F187" s="820">
        <v>2.1863698262757469</v>
      </c>
      <c r="G187" s="654">
        <v>2.4069986240978198</v>
      </c>
      <c r="H187" s="654">
        <v>2.6216576699339078</v>
      </c>
      <c r="I187" s="654">
        <v>2.8763178666635043</v>
      </c>
      <c r="J187" s="821">
        <v>3.1833092100191767</v>
      </c>
      <c r="K187" s="805"/>
      <c r="L187" s="791"/>
      <c r="M187" s="778"/>
    </row>
    <row r="188" spans="1:13" ht="15.5" hidden="1" x14ac:dyDescent="0.35">
      <c r="A188" s="663">
        <v>2.5114354093822029</v>
      </c>
      <c r="B188" s="791"/>
      <c r="C188" s="798"/>
      <c r="D188" s="814"/>
      <c r="E188" s="851"/>
      <c r="F188" s="820">
        <v>2.075088580921399</v>
      </c>
      <c r="G188" s="654">
        <v>2.306189822445933</v>
      </c>
      <c r="H188" s="654">
        <v>2.5114354093822029</v>
      </c>
      <c r="I188" s="654">
        <v>2.7454351143066162</v>
      </c>
      <c r="J188" s="821">
        <v>3.0275203584166461</v>
      </c>
      <c r="K188" s="805"/>
      <c r="L188" s="791"/>
      <c r="M188" s="778"/>
    </row>
    <row r="189" spans="1:13" ht="15.5" hidden="1" x14ac:dyDescent="0.35">
      <c r="A189" s="663">
        <v>46391295.337819979</v>
      </c>
      <c r="B189" s="791"/>
      <c r="C189" s="798"/>
      <c r="D189" s="814"/>
      <c r="E189" s="851"/>
      <c r="F189" s="816">
        <v>54071295.337819979</v>
      </c>
      <c r="G189" s="650">
        <v>50231295.337819979</v>
      </c>
      <c r="H189" s="650">
        <v>46391295.337819979</v>
      </c>
      <c r="I189" s="650">
        <v>42551295.337819979</v>
      </c>
      <c r="J189" s="817">
        <v>38711295.337819979</v>
      </c>
      <c r="K189" s="805"/>
      <c r="L189" s="791"/>
      <c r="M189" s="778"/>
    </row>
    <row r="190" spans="1:13" ht="15.5" hidden="1" x14ac:dyDescent="0.35">
      <c r="A190" s="663">
        <v>0.45335946086278023</v>
      </c>
      <c r="B190" s="791"/>
      <c r="C190" s="798"/>
      <c r="D190" s="814"/>
      <c r="E190" s="851"/>
      <c r="F190" s="852">
        <v>0.53572090735608824</v>
      </c>
      <c r="G190" s="653">
        <v>0.49420799535847504</v>
      </c>
      <c r="H190" s="653">
        <v>0.45335946086278023</v>
      </c>
      <c r="I190" s="653">
        <v>0.41314190961887043</v>
      </c>
      <c r="J190" s="853">
        <v>0.37352215810432821</v>
      </c>
      <c r="K190" s="805"/>
      <c r="L190" s="791"/>
      <c r="M190" s="778"/>
    </row>
    <row r="191" spans="1:13" ht="15.5" hidden="1" x14ac:dyDescent="0.35">
      <c r="A191" s="663">
        <v>0.59430318007658811</v>
      </c>
      <c r="B191" s="791"/>
      <c r="C191" s="798"/>
      <c r="D191" s="814"/>
      <c r="E191" s="851"/>
      <c r="F191" s="852">
        <v>0.67543375840946229</v>
      </c>
      <c r="G191" s="653">
        <v>0.6344773507744832</v>
      </c>
      <c r="H191" s="653">
        <v>0.59430318007658811</v>
      </c>
      <c r="I191" s="653">
        <v>0.55488098874178382</v>
      </c>
      <c r="J191" s="853">
        <v>0.51618111686213464</v>
      </c>
      <c r="K191" s="805"/>
      <c r="L191" s="791"/>
      <c r="M191" s="778"/>
    </row>
    <row r="192" spans="1:13" ht="15.5" hidden="1" x14ac:dyDescent="0.35">
      <c r="A192" s="663">
        <v>0.22616366592115345</v>
      </c>
      <c r="B192" s="791"/>
      <c r="C192" s="798"/>
      <c r="D192" s="814"/>
      <c r="E192" s="851"/>
      <c r="F192" s="852">
        <v>0.25370944302032328</v>
      </c>
      <c r="G192" s="653">
        <v>0.24012637976048778</v>
      </c>
      <c r="H192" s="653">
        <v>0.22616366592115345</v>
      </c>
      <c r="I192" s="653">
        <v>0.21177947299692623</v>
      </c>
      <c r="J192" s="853">
        <v>0.19692557969593638</v>
      </c>
      <c r="K192" s="805"/>
      <c r="L192" s="791"/>
      <c r="M192" s="778"/>
    </row>
    <row r="193" spans="1:13" ht="15.5" hidden="1" x14ac:dyDescent="0.35">
      <c r="A193" s="663">
        <v>2.5114354093822029</v>
      </c>
      <c r="B193" s="791"/>
      <c r="C193" s="798"/>
      <c r="D193" s="814"/>
      <c r="E193" s="851"/>
      <c r="F193" s="820">
        <v>2.075088580921399</v>
      </c>
      <c r="G193" s="654">
        <v>2.306189822445933</v>
      </c>
      <c r="H193" s="654">
        <v>2.5114354093822029</v>
      </c>
      <c r="I193" s="654">
        <v>2.7454351143066167</v>
      </c>
      <c r="J193" s="821">
        <v>3.0275203584166461</v>
      </c>
      <c r="K193" s="805"/>
      <c r="L193" s="791"/>
      <c r="M193" s="778"/>
    </row>
    <row r="194" spans="1:13" ht="15.5" hidden="1" x14ac:dyDescent="0.35">
      <c r="A194" s="663">
        <v>2.5114354093822029</v>
      </c>
      <c r="B194" s="791"/>
      <c r="C194" s="798"/>
      <c r="D194" s="814"/>
      <c r="E194" s="851"/>
      <c r="F194" s="820">
        <v>2.075088580921399</v>
      </c>
      <c r="G194" s="654">
        <v>2.306189822445933</v>
      </c>
      <c r="H194" s="654">
        <v>2.5114354093822029</v>
      </c>
      <c r="I194" s="654">
        <v>2.7454351143066162</v>
      </c>
      <c r="J194" s="821">
        <v>3.0275203584166461</v>
      </c>
      <c r="K194" s="805"/>
      <c r="L194" s="791"/>
      <c r="M194" s="778"/>
    </row>
    <row r="195" spans="1:13" ht="14.15" customHeight="1" x14ac:dyDescent="0.35">
      <c r="A195" s="663">
        <v>0</v>
      </c>
      <c r="B195" s="791"/>
      <c r="C195" s="798"/>
      <c r="D195" s="822" t="str">
        <f>$D$6</f>
        <v xml:space="preserve"> Change, %</v>
      </c>
      <c r="E195" s="823"/>
      <c r="F195" s="808">
        <f>IF(AND(ISNUMBER(F180),ISNUMBER($H180)),(F180-$H180)/IF($H180=0,0.00001,ABS($H180))*100,"")</f>
        <v>17.691086846757045</v>
      </c>
      <c r="G195" s="809">
        <f>IF(AND(ISNUMBER(G180),ISNUMBER($H180)),(G180-$H180)/IF($H180=0,0.00001,ABS($H180))*100,"")</f>
        <v>8.8455434233785226</v>
      </c>
      <c r="H195" s="809">
        <v>0</v>
      </c>
      <c r="I195" s="809">
        <f>IF(AND(ISNUMBER(I180),ISNUMBER($H180)),(I180-$H180)/IF($H180=0,0.00001,ABS($H180))*100,"")</f>
        <v>-8.8455434233785422</v>
      </c>
      <c r="J195" s="811">
        <f>IF(AND(ISNUMBER(J180),ISNUMBER($H180)),(J180-$H180)/IF($H180=0,0.00001,ABS($H180))*100,"")</f>
        <v>-17.691086846757067</v>
      </c>
      <c r="K195" s="805"/>
      <c r="L195" s="791"/>
      <c r="M195" s="778"/>
    </row>
    <row r="196" spans="1:13" ht="12.75" customHeight="1" x14ac:dyDescent="0.35">
      <c r="A196" s="663"/>
      <c r="B196" s="791"/>
      <c r="C196" s="798"/>
      <c r="D196" s="873"/>
      <c r="E196" s="874"/>
      <c r="F196" s="874"/>
      <c r="G196" s="874"/>
      <c r="H196" s="874"/>
      <c r="I196" s="874"/>
      <c r="J196" s="875"/>
      <c r="K196" s="805"/>
      <c r="L196" s="791"/>
      <c r="M196" s="778"/>
    </row>
    <row r="197" spans="1:13" ht="12.75" customHeight="1" x14ac:dyDescent="0.35">
      <c r="A197" s="663"/>
      <c r="B197" s="791"/>
      <c r="C197" s="798"/>
      <c r="D197" s="876"/>
      <c r="E197" s="826"/>
      <c r="F197" s="826"/>
      <c r="G197" s="826"/>
      <c r="H197" s="826"/>
      <c r="I197" s="826"/>
      <c r="J197" s="877"/>
      <c r="K197" s="805"/>
      <c r="L197" s="791"/>
      <c r="M197" s="778"/>
    </row>
    <row r="198" spans="1:13" ht="12.75" customHeight="1" x14ac:dyDescent="0.35">
      <c r="A198" s="663"/>
      <c r="B198" s="791"/>
      <c r="C198" s="798"/>
      <c r="D198" s="876"/>
      <c r="E198" s="826"/>
      <c r="F198" s="826"/>
      <c r="G198" s="826"/>
      <c r="H198" s="826"/>
      <c r="I198" s="826"/>
      <c r="J198" s="877"/>
      <c r="K198" s="805"/>
      <c r="L198" s="791"/>
      <c r="M198" s="778"/>
    </row>
    <row r="199" spans="1:13" ht="12.75" customHeight="1" x14ac:dyDescent="0.35">
      <c r="A199" s="663"/>
      <c r="B199" s="791"/>
      <c r="C199" s="798"/>
      <c r="D199" s="876"/>
      <c r="E199" s="826"/>
      <c r="F199" s="826"/>
      <c r="G199" s="826"/>
      <c r="H199" s="826"/>
      <c r="I199" s="826"/>
      <c r="J199" s="877"/>
      <c r="K199" s="805"/>
      <c r="L199" s="791"/>
      <c r="M199" s="778"/>
    </row>
    <row r="200" spans="1:13" ht="12.75" customHeight="1" x14ac:dyDescent="0.35">
      <c r="A200" s="663"/>
      <c r="B200" s="791"/>
      <c r="C200" s="798"/>
      <c r="D200" s="876"/>
      <c r="E200" s="826"/>
      <c r="F200" s="826"/>
      <c r="G200" s="826"/>
      <c r="H200" s="826"/>
      <c r="I200" s="826"/>
      <c r="J200" s="877"/>
      <c r="K200" s="805"/>
      <c r="L200" s="791"/>
      <c r="M200" s="778"/>
    </row>
    <row r="201" spans="1:13" ht="12.75" customHeight="1" x14ac:dyDescent="0.35">
      <c r="A201" s="663"/>
      <c r="B201" s="791"/>
      <c r="C201" s="798"/>
      <c r="D201" s="876"/>
      <c r="E201" s="826"/>
      <c r="F201" s="826"/>
      <c r="G201" s="826"/>
      <c r="H201" s="826"/>
      <c r="I201" s="826"/>
      <c r="J201" s="877"/>
      <c r="K201" s="805"/>
      <c r="L201" s="791"/>
      <c r="M201" s="778"/>
    </row>
    <row r="202" spans="1:13" ht="12.75" customHeight="1" x14ac:dyDescent="0.35">
      <c r="A202" s="663"/>
      <c r="B202" s="791"/>
      <c r="C202" s="798"/>
      <c r="D202" s="876"/>
      <c r="E202" s="826"/>
      <c r="F202" s="826"/>
      <c r="G202" s="826"/>
      <c r="H202" s="826"/>
      <c r="I202" s="826"/>
      <c r="J202" s="877"/>
      <c r="K202" s="805"/>
      <c r="L202" s="791"/>
      <c r="M202" s="778"/>
    </row>
    <row r="203" spans="1:13" ht="12.75" customHeight="1" x14ac:dyDescent="0.35">
      <c r="A203" s="663"/>
      <c r="B203" s="791"/>
      <c r="C203" s="798"/>
      <c r="D203" s="876"/>
      <c r="E203" s="826"/>
      <c r="F203" s="826"/>
      <c r="G203" s="826"/>
      <c r="H203" s="826"/>
      <c r="I203" s="826"/>
      <c r="J203" s="877"/>
      <c r="K203" s="805"/>
      <c r="L203" s="791"/>
      <c r="M203" s="778"/>
    </row>
    <row r="204" spans="1:13" ht="12.75" customHeight="1" x14ac:dyDescent="0.35">
      <c r="A204" s="663"/>
      <c r="B204" s="791"/>
      <c r="C204" s="798"/>
      <c r="D204" s="876"/>
      <c r="E204" s="826"/>
      <c r="F204" s="826"/>
      <c r="G204" s="826"/>
      <c r="H204" s="826"/>
      <c r="I204" s="826"/>
      <c r="J204" s="877"/>
      <c r="K204" s="805"/>
      <c r="L204" s="791"/>
      <c r="M204" s="778"/>
    </row>
    <row r="205" spans="1:13" ht="12.75" customHeight="1" x14ac:dyDescent="0.35">
      <c r="A205" s="663"/>
      <c r="B205" s="791"/>
      <c r="C205" s="798"/>
      <c r="D205" s="876"/>
      <c r="E205" s="826"/>
      <c r="F205" s="826"/>
      <c r="G205" s="826"/>
      <c r="H205" s="826"/>
      <c r="I205" s="826"/>
      <c r="J205" s="877"/>
      <c r="K205" s="805"/>
      <c r="L205" s="791"/>
      <c r="M205" s="778"/>
    </row>
    <row r="206" spans="1:13" ht="12.75" customHeight="1" x14ac:dyDescent="0.35">
      <c r="A206" s="663"/>
      <c r="B206" s="791"/>
      <c r="C206" s="798"/>
      <c r="D206" s="876"/>
      <c r="E206" s="826"/>
      <c r="F206" s="826"/>
      <c r="G206" s="826"/>
      <c r="H206" s="826"/>
      <c r="I206" s="826"/>
      <c r="J206" s="877"/>
      <c r="K206" s="805"/>
      <c r="L206" s="791"/>
      <c r="M206" s="778"/>
    </row>
    <row r="207" spans="1:13" ht="12.75" customHeight="1" x14ac:dyDescent="0.35">
      <c r="A207" s="663"/>
      <c r="B207" s="791"/>
      <c r="C207" s="798"/>
      <c r="D207" s="876"/>
      <c r="E207" s="826"/>
      <c r="F207" s="826"/>
      <c r="G207" s="826"/>
      <c r="H207" s="826"/>
      <c r="I207" s="826"/>
      <c r="J207" s="877"/>
      <c r="K207" s="805"/>
      <c r="L207" s="791"/>
      <c r="M207" s="778"/>
    </row>
    <row r="208" spans="1:13" ht="12.75" customHeight="1" x14ac:dyDescent="0.35">
      <c r="A208" s="663"/>
      <c r="B208" s="791"/>
      <c r="C208" s="798"/>
      <c r="D208" s="876"/>
      <c r="E208" s="826"/>
      <c r="F208" s="826"/>
      <c r="G208" s="826"/>
      <c r="H208" s="826"/>
      <c r="I208" s="826"/>
      <c r="J208" s="877"/>
      <c r="K208" s="805"/>
      <c r="L208" s="791"/>
      <c r="M208" s="778"/>
    </row>
    <row r="209" spans="1:13" ht="12.75" customHeight="1" x14ac:dyDescent="0.35">
      <c r="A209" s="663"/>
      <c r="B209" s="791"/>
      <c r="C209" s="798"/>
      <c r="D209" s="878"/>
      <c r="E209" s="879"/>
      <c r="F209" s="879"/>
      <c r="G209" s="879"/>
      <c r="H209" s="879"/>
      <c r="I209" s="879"/>
      <c r="J209" s="880"/>
      <c r="K209" s="805"/>
      <c r="L209" s="791"/>
      <c r="M209" s="778"/>
    </row>
    <row r="210" spans="1:13" ht="16" customHeight="1" x14ac:dyDescent="0.35">
      <c r="A210" s="663">
        <v>0</v>
      </c>
      <c r="B210" s="791"/>
      <c r="C210" s="798"/>
      <c r="D210" s="827" t="str">
        <f>$D$78</f>
        <v xml:space="preserve"> Key financials</v>
      </c>
      <c r="E210" s="881" t="str">
        <f>FinYearR04</f>
        <v>12/2019</v>
      </c>
      <c r="F210" s="885">
        <f>F179</f>
        <v>-20</v>
      </c>
      <c r="G210" s="886">
        <f>G179</f>
        <v>-10</v>
      </c>
      <c r="H210" s="886">
        <f>H179</f>
        <v>0</v>
      </c>
      <c r="I210" s="886">
        <f>I179</f>
        <v>10</v>
      </c>
      <c r="J210" s="887">
        <f>J179</f>
        <v>20</v>
      </c>
      <c r="K210" s="805"/>
      <c r="L210" s="791"/>
      <c r="M210" s="778"/>
    </row>
    <row r="211" spans="1:13" ht="16" customHeight="1" x14ac:dyDescent="0.35">
      <c r="A211" s="663">
        <v>0</v>
      </c>
      <c r="B211" s="791"/>
      <c r="C211" s="798"/>
      <c r="D211" s="827" t="str">
        <f>" "&amp;INDEX(RatiosDD,Analysis04Ratio01)</f>
        <v xml:space="preserve"> EBITDA; Operating income before depreciation, Euro</v>
      </c>
      <c r="E211" s="832"/>
      <c r="F211" s="836">
        <v>1725140.6741645718</v>
      </c>
      <c r="G211" s="837">
        <v>1485140.6741645718</v>
      </c>
      <c r="H211" s="837">
        <v>1245140.6741645718</v>
      </c>
      <c r="I211" s="837">
        <v>1005140.6741645718</v>
      </c>
      <c r="J211" s="838">
        <v>765140.6741645718</v>
      </c>
      <c r="K211" s="805"/>
      <c r="L211" s="791"/>
      <c r="M211" s="778"/>
    </row>
    <row r="212" spans="1:13" ht="16" customHeight="1" x14ac:dyDescent="0.35">
      <c r="A212" s="663"/>
      <c r="B212" s="791"/>
      <c r="C212" s="798"/>
      <c r="D212" s="827" t="str">
        <f>" "&amp;INDEX(RatiosDD,Analysis04Ratio02)</f>
        <v xml:space="preserve"> EBITDA, %</v>
      </c>
      <c r="E212" s="832"/>
      <c r="F212" s="860">
        <v>0.15052164218741942</v>
      </c>
      <c r="G212" s="861">
        <v>0.12958120836310252</v>
      </c>
      <c r="H212" s="861">
        <v>0.10864077453878564</v>
      </c>
      <c r="I212" s="861">
        <v>8.7700340714468722E-2</v>
      </c>
      <c r="J212" s="862">
        <v>6.6759906890151821E-2</v>
      </c>
      <c r="K212" s="805"/>
      <c r="L212" s="791"/>
      <c r="M212" s="778"/>
    </row>
    <row r="213" spans="1:13" ht="16" customHeight="1" x14ac:dyDescent="0.35">
      <c r="A213" s="663" t="s">
        <v>39</v>
      </c>
      <c r="B213" s="791"/>
      <c r="C213" s="798"/>
      <c r="D213" s="827" t="str">
        <f>" "&amp;INDEX(RatiosDD,Analysis04Ratio03)</f>
        <v xml:space="preserve"> EBIT; Operating income, Euro</v>
      </c>
      <c r="E213" s="832"/>
      <c r="F213" s="836">
        <v>1492140.6741645718</v>
      </c>
      <c r="G213" s="837">
        <v>1252140.6741645718</v>
      </c>
      <c r="H213" s="837">
        <v>1012140.6741645717</v>
      </c>
      <c r="I213" s="837">
        <v>772140.67416457168</v>
      </c>
      <c r="J213" s="838">
        <v>532140.67416457168</v>
      </c>
      <c r="K213" s="805"/>
      <c r="L213" s="791"/>
      <c r="M213" s="778"/>
    </row>
    <row r="214" spans="1:13" ht="16" customHeight="1" x14ac:dyDescent="0.35">
      <c r="A214" s="663"/>
      <c r="B214" s="791"/>
      <c r="C214" s="798"/>
      <c r="D214" s="827" t="str">
        <f>" "&amp;INDEX(RatiosDD,Analysis04Ratio04)</f>
        <v xml:space="preserve"> EBIT, %</v>
      </c>
      <c r="E214" s="832"/>
      <c r="F214" s="860">
        <v>0.13019197101631177</v>
      </c>
      <c r="G214" s="861">
        <v>0.10925153719199487</v>
      </c>
      <c r="H214" s="861">
        <v>8.8311103367677959E-2</v>
      </c>
      <c r="I214" s="861">
        <v>6.7370669543361059E-2</v>
      </c>
      <c r="J214" s="862">
        <v>4.6430235719044151E-2</v>
      </c>
      <c r="K214" s="805"/>
      <c r="L214" s="791"/>
      <c r="M214" s="778"/>
    </row>
    <row r="215" spans="1:13" ht="16" customHeight="1" x14ac:dyDescent="0.35">
      <c r="A215" s="663"/>
      <c r="B215" s="791"/>
      <c r="C215" s="798"/>
      <c r="D215" s="827" t="str">
        <f>" "&amp;INDEX(RatiosDD,Analysis04Ratio05)</f>
        <v xml:space="preserve"> Return on net assets (RONA), %</v>
      </c>
      <c r="E215" s="832"/>
      <c r="F215" s="888">
        <v>6.1358538444923415E-2</v>
      </c>
      <c r="G215" s="889">
        <v>5.1489462772801198E-2</v>
      </c>
      <c r="H215" s="889">
        <v>4.1620387100678974E-2</v>
      </c>
      <c r="I215" s="889">
        <v>3.1751311428556757E-2</v>
      </c>
      <c r="J215" s="890">
        <v>2.188223575643454E-2</v>
      </c>
      <c r="K215" s="805"/>
      <c r="L215" s="791"/>
      <c r="M215" s="778"/>
    </row>
    <row r="216" spans="1:13" ht="16" customHeight="1" x14ac:dyDescent="0.35">
      <c r="A216" s="663">
        <v>0</v>
      </c>
      <c r="B216" s="791"/>
      <c r="C216" s="798"/>
      <c r="D216" s="827" t="str">
        <f>" "&amp;INDEX(RatiosDD,Analysis04Ratio06)</f>
        <v xml:space="preserve"> Economic Value Added (EVA), Euro</v>
      </c>
      <c r="E216" s="832"/>
      <c r="F216" s="836">
        <v>539985.64715331804</v>
      </c>
      <c r="G216" s="837">
        <v>299985.64715331804</v>
      </c>
      <c r="H216" s="837">
        <v>59985.647153318045</v>
      </c>
      <c r="I216" s="837">
        <v>-180014.35284668201</v>
      </c>
      <c r="J216" s="838">
        <v>-420014.35284668201</v>
      </c>
      <c r="K216" s="805"/>
      <c r="L216" s="791"/>
      <c r="M216" s="778"/>
    </row>
    <row r="217" spans="1:13" ht="5.15" customHeight="1" x14ac:dyDescent="0.35">
      <c r="A217" s="663"/>
      <c r="B217" s="791"/>
      <c r="C217" s="839"/>
      <c r="D217" s="840"/>
      <c r="E217" s="840"/>
      <c r="F217" s="840"/>
      <c r="G217" s="840"/>
      <c r="H217" s="840"/>
      <c r="I217" s="840"/>
      <c r="J217" s="840"/>
      <c r="K217" s="841"/>
      <c r="L217" s="791"/>
      <c r="M217" s="778"/>
    </row>
    <row r="218" spans="1:13" ht="5.15" customHeight="1" x14ac:dyDescent="0.35">
      <c r="A218" s="663"/>
      <c r="B218" s="285"/>
      <c r="C218" s="285"/>
      <c r="D218" s="285"/>
      <c r="E218" s="285"/>
      <c r="F218" s="285"/>
      <c r="G218" s="285"/>
      <c r="H218" s="285"/>
      <c r="I218" s="285"/>
      <c r="J218" s="285"/>
      <c r="K218" s="285"/>
      <c r="L218" s="285"/>
      <c r="M218" s="778"/>
    </row>
    <row r="219" spans="1:13" ht="12.75" customHeight="1" x14ac:dyDescent="0.35">
      <c r="A219" s="663"/>
      <c r="B219" s="285"/>
      <c r="C219" s="285"/>
      <c r="D219" s="285"/>
      <c r="E219" s="285"/>
      <c r="F219" s="285"/>
      <c r="G219" s="285"/>
      <c r="H219" s="285"/>
      <c r="I219" s="285"/>
      <c r="J219" s="285"/>
      <c r="K219" s="285"/>
      <c r="L219" s="285"/>
      <c r="M219" s="778"/>
    </row>
    <row r="220" spans="1:13" ht="5.15" customHeight="1" x14ac:dyDescent="0.35">
      <c r="A220" s="663" t="s">
        <v>1690</v>
      </c>
      <c r="B220" s="285"/>
      <c r="C220" s="285"/>
      <c r="D220" s="285"/>
      <c r="E220" s="285"/>
      <c r="F220" s="285"/>
      <c r="G220" s="285"/>
      <c r="H220" s="285"/>
      <c r="I220" s="285"/>
      <c r="J220" s="285"/>
      <c r="K220" s="285"/>
      <c r="L220" s="285"/>
      <c r="M220" s="778"/>
    </row>
    <row r="221" spans="1:13" ht="15" customHeight="1" x14ac:dyDescent="0.35">
      <c r="A221" s="663" t="s">
        <v>1690</v>
      </c>
      <c r="B221" s="791"/>
      <c r="C221" s="792" t="s">
        <v>5202</v>
      </c>
      <c r="D221" s="793"/>
      <c r="E221" s="793"/>
      <c r="F221" s="793"/>
      <c r="G221" s="793"/>
      <c r="H221" s="793"/>
      <c r="I221" s="793"/>
      <c r="J221" s="793"/>
      <c r="K221" s="794"/>
      <c r="L221" s="791"/>
      <c r="M221" s="778"/>
    </row>
    <row r="222" spans="1:13" ht="5.15" customHeight="1" x14ac:dyDescent="0.35">
      <c r="A222" s="663"/>
      <c r="B222" s="791"/>
      <c r="C222" s="863"/>
      <c r="D222" s="864"/>
      <c r="E222" s="864"/>
      <c r="F222" s="784">
        <f ca="1">1+(OFFSET(F222,2,0)/100)</f>
        <v>0.8</v>
      </c>
      <c r="G222" s="784">
        <f ca="1">(1+(OFFSET(G222,2,0)/100))/F222</f>
        <v>1.125</v>
      </c>
      <c r="H222" s="865"/>
      <c r="I222" s="784">
        <f ca="1">(1+(OFFSET(I222,2,0)/100))/(1+(OFFSET(G222,2,0)/100))</f>
        <v>1.2222222222222223</v>
      </c>
      <c r="J222" s="784">
        <f ca="1">(1+(OFFSET(J222,2,0)/100))/(1+(OFFSET(I222,2,0)/100))</f>
        <v>1.0909090909090908</v>
      </c>
      <c r="K222" s="866"/>
      <c r="L222" s="791"/>
      <c r="M222" s="778"/>
    </row>
    <row r="223" spans="1:13" ht="16" customHeight="1" x14ac:dyDescent="0.35">
      <c r="A223" s="663"/>
      <c r="B223" s="791"/>
      <c r="C223" s="798"/>
      <c r="D223" s="891" t="s">
        <v>1691</v>
      </c>
      <c r="E223" s="892"/>
      <c r="F223" s="827" t="str">
        <f ca="1">" "&amp;OFFSET(VarListAnalysis!$C$1,IncVar1,0)</f>
        <v xml:space="preserve"> &lt; Not in use &gt;</v>
      </c>
      <c r="G223" s="893"/>
      <c r="H223" s="893"/>
      <c r="I223" s="893"/>
      <c r="J223" s="832"/>
      <c r="K223" s="805"/>
      <c r="L223" s="791"/>
      <c r="M223" s="894" t="str">
        <f ca="1">VarRowsTxt</f>
        <v>Show row numbers</v>
      </c>
    </row>
    <row r="224" spans="1:13" ht="15" customHeight="1" x14ac:dyDescent="0.35">
      <c r="A224" s="663">
        <v>0</v>
      </c>
      <c r="B224" s="791"/>
      <c r="C224" s="798"/>
      <c r="D224" s="799" t="s">
        <v>1692</v>
      </c>
      <c r="E224" s="800"/>
      <c r="F224" s="895">
        <v>-20</v>
      </c>
      <c r="G224" s="896">
        <v>-10</v>
      </c>
      <c r="H224" s="897">
        <v>0</v>
      </c>
      <c r="I224" s="896">
        <v>10</v>
      </c>
      <c r="J224" s="898">
        <v>20</v>
      </c>
      <c r="K224" s="805"/>
      <c r="L224" s="791"/>
      <c r="M224" s="778"/>
    </row>
    <row r="225" spans="1:13" ht="16" customHeight="1" x14ac:dyDescent="0.35">
      <c r="A225" s="663">
        <v>0</v>
      </c>
      <c r="B225" s="791"/>
      <c r="C225" s="798"/>
      <c r="D225" s="899" t="s">
        <v>1693</v>
      </c>
      <c r="E225" s="900"/>
      <c r="F225" s="901">
        <f>$H225*(1+F224/100)</f>
        <v>0</v>
      </c>
      <c r="G225" s="902">
        <f>$H225*(1+G224/100)</f>
        <v>0</v>
      </c>
      <c r="H225" s="902">
        <f>IF(ISERROR(Specs!$B$12),0,Specs!$B$12)</f>
        <v>0</v>
      </c>
      <c r="I225" s="902">
        <f>$H225*(1+I224/100)</f>
        <v>0</v>
      </c>
      <c r="J225" s="903">
        <f>$H225*(1+J224/100)</f>
        <v>0</v>
      </c>
      <c r="K225" s="805"/>
      <c r="L225" s="791"/>
      <c r="M225" s="778"/>
    </row>
    <row r="226" spans="1:13" ht="16" customHeight="1" x14ac:dyDescent="0.35">
      <c r="A226" s="663">
        <v>0</v>
      </c>
      <c r="B226" s="791"/>
      <c r="C226" s="798"/>
      <c r="D226" s="812" t="str">
        <f>$D$48</f>
        <v xml:space="preserve"> Net Present Value (NPV)</v>
      </c>
      <c r="E226" s="850"/>
      <c r="F226" s="1217"/>
      <c r="G226" s="1218"/>
      <c r="H226" s="1219"/>
      <c r="I226" s="1220"/>
      <c r="J226" s="1221"/>
      <c r="K226" s="805"/>
      <c r="L226" s="791"/>
      <c r="M226" s="778"/>
    </row>
    <row r="227" spans="1:13" ht="15.5" hidden="1" x14ac:dyDescent="0.35">
      <c r="A227" s="663">
        <v>0</v>
      </c>
      <c r="B227" s="791"/>
      <c r="C227" s="798"/>
      <c r="D227" s="814"/>
      <c r="E227" s="851"/>
      <c r="F227" s="816"/>
      <c r="G227" s="650"/>
      <c r="H227" s="650"/>
      <c r="I227" s="650"/>
      <c r="J227" s="817"/>
      <c r="K227" s="805"/>
      <c r="L227" s="791"/>
      <c r="M227" s="778"/>
    </row>
    <row r="228" spans="1:13" ht="15.5" hidden="1" x14ac:dyDescent="0.35">
      <c r="A228" s="663" t="s">
        <v>39</v>
      </c>
      <c r="B228" s="791"/>
      <c r="C228" s="798"/>
      <c r="D228" s="814"/>
      <c r="E228" s="851"/>
      <c r="F228" s="852"/>
      <c r="G228" s="653"/>
      <c r="H228" s="653"/>
      <c r="I228" s="653"/>
      <c r="J228" s="853"/>
      <c r="K228" s="805"/>
      <c r="L228" s="791"/>
      <c r="M228" s="778"/>
    </row>
    <row r="229" spans="1:13" ht="15.5" hidden="1" x14ac:dyDescent="0.35">
      <c r="A229" s="663"/>
      <c r="B229" s="791"/>
      <c r="C229" s="798"/>
      <c r="D229" s="814"/>
      <c r="E229" s="851"/>
      <c r="F229" s="852"/>
      <c r="G229" s="653"/>
      <c r="H229" s="653"/>
      <c r="I229" s="653"/>
      <c r="J229" s="853"/>
      <c r="K229" s="805"/>
      <c r="L229" s="791"/>
      <c r="M229" s="778"/>
    </row>
    <row r="230" spans="1:13" ht="15.5" hidden="1" x14ac:dyDescent="0.35">
      <c r="A230" s="663"/>
      <c r="B230" s="791"/>
      <c r="C230" s="798"/>
      <c r="D230" s="814"/>
      <c r="E230" s="851"/>
      <c r="F230" s="852"/>
      <c r="G230" s="653"/>
      <c r="H230" s="653"/>
      <c r="I230" s="653"/>
      <c r="J230" s="853"/>
      <c r="K230" s="805"/>
      <c r="L230" s="791"/>
      <c r="M230" s="778"/>
    </row>
    <row r="231" spans="1:13" ht="15.5" hidden="1" x14ac:dyDescent="0.35">
      <c r="A231" s="663"/>
      <c r="B231" s="791"/>
      <c r="C231" s="798"/>
      <c r="D231" s="814"/>
      <c r="E231" s="851"/>
      <c r="F231" s="818"/>
      <c r="G231" s="652"/>
      <c r="H231" s="652"/>
      <c r="I231" s="652"/>
      <c r="J231" s="819"/>
      <c r="K231" s="805"/>
      <c r="L231" s="791"/>
      <c r="M231" s="778"/>
    </row>
    <row r="232" spans="1:13" ht="15.5" hidden="1" x14ac:dyDescent="0.35">
      <c r="A232" s="663"/>
      <c r="B232" s="791"/>
      <c r="C232" s="798"/>
      <c r="D232" s="814"/>
      <c r="E232" s="851"/>
      <c r="F232" s="816"/>
      <c r="G232" s="650"/>
      <c r="H232" s="650"/>
      <c r="I232" s="650"/>
      <c r="J232" s="817"/>
      <c r="K232" s="805"/>
      <c r="L232" s="791"/>
      <c r="M232" s="778"/>
    </row>
    <row r="233" spans="1:13" ht="15.5" hidden="1" x14ac:dyDescent="0.35">
      <c r="A233" s="663"/>
      <c r="B233" s="791"/>
      <c r="C233" s="798"/>
      <c r="D233" s="814"/>
      <c r="E233" s="851"/>
      <c r="F233" s="820"/>
      <c r="G233" s="654"/>
      <c r="H233" s="654"/>
      <c r="I233" s="654"/>
      <c r="J233" s="821"/>
      <c r="K233" s="805"/>
      <c r="L233" s="791"/>
      <c r="M233" s="778"/>
    </row>
    <row r="234" spans="1:13" ht="15.5" hidden="1" x14ac:dyDescent="0.35">
      <c r="A234" s="663" t="s">
        <v>39</v>
      </c>
      <c r="B234" s="791"/>
      <c r="C234" s="798"/>
      <c r="D234" s="814"/>
      <c r="E234" s="851"/>
      <c r="F234" s="820"/>
      <c r="G234" s="654"/>
      <c r="H234" s="654"/>
      <c r="I234" s="654"/>
      <c r="J234" s="821"/>
      <c r="K234" s="805"/>
      <c r="L234" s="791"/>
      <c r="M234" s="778"/>
    </row>
    <row r="235" spans="1:13" ht="15.5" hidden="1" x14ac:dyDescent="0.35">
      <c r="A235" s="663">
        <v>0</v>
      </c>
      <c r="B235" s="791"/>
      <c r="C235" s="798"/>
      <c r="D235" s="814"/>
      <c r="E235" s="851"/>
      <c r="F235" s="816"/>
      <c r="G235" s="650"/>
      <c r="H235" s="650"/>
      <c r="I235" s="650"/>
      <c r="J235" s="817"/>
      <c r="K235" s="805"/>
      <c r="L235" s="791"/>
      <c r="M235" s="778"/>
    </row>
    <row r="236" spans="1:13" ht="15.5" hidden="1" x14ac:dyDescent="0.35">
      <c r="A236" s="663">
        <v>-5.9211894646675012E-16</v>
      </c>
      <c r="B236" s="791"/>
      <c r="C236" s="798"/>
      <c r="D236" s="814"/>
      <c r="E236" s="851"/>
      <c r="F236" s="852"/>
      <c r="G236" s="653"/>
      <c r="H236" s="653"/>
      <c r="I236" s="653"/>
      <c r="J236" s="853"/>
      <c r="K236" s="805"/>
      <c r="L236" s="791"/>
      <c r="M236" s="778"/>
    </row>
    <row r="237" spans="1:13" ht="15.5" hidden="1" x14ac:dyDescent="0.35">
      <c r="A237" s="663"/>
      <c r="B237" s="791"/>
      <c r="C237" s="798"/>
      <c r="D237" s="814"/>
      <c r="E237" s="851"/>
      <c r="F237" s="852"/>
      <c r="G237" s="653"/>
      <c r="H237" s="653"/>
      <c r="I237" s="653"/>
      <c r="J237" s="853"/>
      <c r="K237" s="805"/>
      <c r="L237" s="791"/>
      <c r="M237" s="778"/>
    </row>
    <row r="238" spans="1:13" ht="15.5" hidden="1" x14ac:dyDescent="0.35">
      <c r="A238" s="663"/>
      <c r="B238" s="791"/>
      <c r="C238" s="798"/>
      <c r="D238" s="814"/>
      <c r="E238" s="851"/>
      <c r="F238" s="852"/>
      <c r="G238" s="653"/>
      <c r="H238" s="653"/>
      <c r="I238" s="653"/>
      <c r="J238" s="853"/>
      <c r="K238" s="805"/>
      <c r="L238" s="791"/>
      <c r="M238" s="778"/>
    </row>
    <row r="239" spans="1:13" ht="15.5" hidden="1" x14ac:dyDescent="0.35">
      <c r="A239" s="663"/>
      <c r="B239" s="791"/>
      <c r="C239" s="798"/>
      <c r="D239" s="814"/>
      <c r="E239" s="851"/>
      <c r="F239" s="820"/>
      <c r="G239" s="654"/>
      <c r="H239" s="654"/>
      <c r="I239" s="654"/>
      <c r="J239" s="821"/>
      <c r="K239" s="805"/>
      <c r="L239" s="791"/>
      <c r="M239" s="778"/>
    </row>
    <row r="240" spans="1:13" ht="15.5" hidden="1" x14ac:dyDescent="0.35">
      <c r="A240" s="663"/>
      <c r="B240" s="791"/>
      <c r="C240" s="798"/>
      <c r="D240" s="814"/>
      <c r="E240" s="851"/>
      <c r="F240" s="820"/>
      <c r="G240" s="654"/>
      <c r="H240" s="654"/>
      <c r="I240" s="654"/>
      <c r="J240" s="821"/>
      <c r="K240" s="805"/>
      <c r="L240" s="791"/>
      <c r="M240" s="778"/>
    </row>
    <row r="241" spans="1:13" ht="14.15" customHeight="1" x14ac:dyDescent="0.35">
      <c r="A241" s="663">
        <v>0</v>
      </c>
      <c r="B241" s="791"/>
      <c r="C241" s="798"/>
      <c r="D241" s="822" t="str">
        <f>$D$6</f>
        <v xml:space="preserve"> Change, %</v>
      </c>
      <c r="E241" s="823"/>
      <c r="F241" s="808" t="str">
        <f>IF(AND(ISNUMBER(F226),ISNUMBER($H226)),(F226-$H226)/IF($H226=0,0.00001,ABS($H226))*100,"")</f>
        <v/>
      </c>
      <c r="G241" s="809" t="str">
        <f>IF(AND(ISNUMBER(G226),ISNUMBER($H226)),(G226-$H226)/IF($H226=0,0.00001,ABS($H226))*100,"")</f>
        <v/>
      </c>
      <c r="H241" s="809">
        <v>0</v>
      </c>
      <c r="I241" s="809" t="str">
        <f>IF(AND(ISNUMBER(I226),ISNUMBER($H226)),(I226-$H226)/IF($H226=0,0.00001,ABS($H226))*100,"")</f>
        <v/>
      </c>
      <c r="J241" s="811" t="str">
        <f>IF(AND(ISNUMBER(J226),ISNUMBER($H226)),(J226-$H226)/IF($H226=0,0.00001,ABS($H226))*100,"")</f>
        <v/>
      </c>
      <c r="K241" s="805"/>
      <c r="L241" s="791"/>
      <c r="M241" s="778"/>
    </row>
    <row r="242" spans="1:13" ht="12.75" customHeight="1" x14ac:dyDescent="0.35">
      <c r="A242" s="663"/>
      <c r="B242" s="791"/>
      <c r="C242" s="798"/>
      <c r="D242" s="873"/>
      <c r="E242" s="874"/>
      <c r="F242" s="874"/>
      <c r="G242" s="874"/>
      <c r="H242" s="874"/>
      <c r="I242" s="874"/>
      <c r="J242" s="875"/>
      <c r="K242" s="805"/>
      <c r="L242" s="791"/>
      <c r="M242" s="778"/>
    </row>
    <row r="243" spans="1:13" ht="12.75" customHeight="1" x14ac:dyDescent="0.35">
      <c r="A243" s="663"/>
      <c r="B243" s="791"/>
      <c r="C243" s="798"/>
      <c r="D243" s="876"/>
      <c r="E243" s="826"/>
      <c r="F243" s="826"/>
      <c r="G243" s="826"/>
      <c r="H243" s="826"/>
      <c r="I243" s="826"/>
      <c r="J243" s="877"/>
      <c r="K243" s="805"/>
      <c r="L243" s="791"/>
      <c r="M243" s="778"/>
    </row>
    <row r="244" spans="1:13" ht="12.75" customHeight="1" x14ac:dyDescent="0.35">
      <c r="A244" s="663"/>
      <c r="B244" s="791"/>
      <c r="C244" s="798"/>
      <c r="D244" s="876"/>
      <c r="E244" s="826"/>
      <c r="F244" s="826"/>
      <c r="G244" s="826"/>
      <c r="H244" s="826"/>
      <c r="I244" s="826"/>
      <c r="J244" s="877"/>
      <c r="K244" s="805"/>
      <c r="L244" s="791"/>
      <c r="M244" s="778"/>
    </row>
    <row r="245" spans="1:13" ht="12.75" customHeight="1" x14ac:dyDescent="0.35">
      <c r="A245" s="663"/>
      <c r="B245" s="791"/>
      <c r="C245" s="798"/>
      <c r="D245" s="876"/>
      <c r="E245" s="826"/>
      <c r="F245" s="826"/>
      <c r="G245" s="826"/>
      <c r="H245" s="826"/>
      <c r="I245" s="826"/>
      <c r="J245" s="877"/>
      <c r="K245" s="805"/>
      <c r="L245" s="791"/>
      <c r="M245" s="778"/>
    </row>
    <row r="246" spans="1:13" ht="12.75" customHeight="1" x14ac:dyDescent="0.35">
      <c r="A246" s="663"/>
      <c r="B246" s="791"/>
      <c r="C246" s="798"/>
      <c r="D246" s="876"/>
      <c r="E246" s="826"/>
      <c r="F246" s="826"/>
      <c r="G246" s="826"/>
      <c r="H246" s="826"/>
      <c r="I246" s="826"/>
      <c r="J246" s="877"/>
      <c r="K246" s="805"/>
      <c r="L246" s="791"/>
      <c r="M246" s="778"/>
    </row>
    <row r="247" spans="1:13" ht="12.75" customHeight="1" x14ac:dyDescent="0.35">
      <c r="A247" s="663"/>
      <c r="B247" s="791"/>
      <c r="C247" s="798"/>
      <c r="D247" s="876"/>
      <c r="E247" s="826"/>
      <c r="F247" s="826"/>
      <c r="G247" s="826"/>
      <c r="H247" s="826"/>
      <c r="I247" s="826"/>
      <c r="J247" s="877"/>
      <c r="K247" s="805"/>
      <c r="L247" s="791"/>
      <c r="M247" s="778"/>
    </row>
    <row r="248" spans="1:13" ht="12.75" customHeight="1" x14ac:dyDescent="0.35">
      <c r="A248" s="663"/>
      <c r="B248" s="791"/>
      <c r="C248" s="798"/>
      <c r="D248" s="876"/>
      <c r="E248" s="826"/>
      <c r="F248" s="826"/>
      <c r="G248" s="826"/>
      <c r="H248" s="826"/>
      <c r="I248" s="826"/>
      <c r="J248" s="877"/>
      <c r="K248" s="805"/>
      <c r="L248" s="791"/>
      <c r="M248" s="778"/>
    </row>
    <row r="249" spans="1:13" ht="12.75" customHeight="1" x14ac:dyDescent="0.35">
      <c r="A249" s="663"/>
      <c r="B249" s="791"/>
      <c r="C249" s="798"/>
      <c r="D249" s="876"/>
      <c r="E249" s="826"/>
      <c r="F249" s="826"/>
      <c r="G249" s="826"/>
      <c r="H249" s="826"/>
      <c r="I249" s="826"/>
      <c r="J249" s="877"/>
      <c r="K249" s="805"/>
      <c r="L249" s="791"/>
      <c r="M249" s="778"/>
    </row>
    <row r="250" spans="1:13" ht="12.75" customHeight="1" x14ac:dyDescent="0.35">
      <c r="A250" s="663"/>
      <c r="B250" s="791"/>
      <c r="C250" s="798"/>
      <c r="D250" s="876"/>
      <c r="E250" s="826"/>
      <c r="F250" s="826"/>
      <c r="G250" s="826"/>
      <c r="H250" s="826"/>
      <c r="I250" s="826"/>
      <c r="J250" s="877"/>
      <c r="K250" s="805"/>
      <c r="L250" s="791"/>
      <c r="M250" s="778"/>
    </row>
    <row r="251" spans="1:13" ht="12.75" customHeight="1" x14ac:dyDescent="0.35">
      <c r="A251" s="663"/>
      <c r="B251" s="791"/>
      <c r="C251" s="798"/>
      <c r="D251" s="876"/>
      <c r="E251" s="826"/>
      <c r="F251" s="826"/>
      <c r="G251" s="826"/>
      <c r="H251" s="826"/>
      <c r="I251" s="826"/>
      <c r="J251" s="877"/>
      <c r="K251" s="805"/>
      <c r="L251" s="791"/>
      <c r="M251" s="778"/>
    </row>
    <row r="252" spans="1:13" ht="12.75" customHeight="1" x14ac:dyDescent="0.35">
      <c r="A252" s="663"/>
      <c r="B252" s="791"/>
      <c r="C252" s="798"/>
      <c r="D252" s="876"/>
      <c r="E252" s="826"/>
      <c r="F252" s="826"/>
      <c r="G252" s="826"/>
      <c r="H252" s="826"/>
      <c r="I252" s="826"/>
      <c r="J252" s="877"/>
      <c r="K252" s="805"/>
      <c r="L252" s="791"/>
      <c r="M252" s="778"/>
    </row>
    <row r="253" spans="1:13" ht="12.75" customHeight="1" x14ac:dyDescent="0.35">
      <c r="A253" s="663"/>
      <c r="B253" s="791"/>
      <c r="C253" s="798"/>
      <c r="D253" s="876"/>
      <c r="E253" s="826"/>
      <c r="F253" s="826"/>
      <c r="G253" s="826"/>
      <c r="H253" s="826"/>
      <c r="I253" s="826"/>
      <c r="J253" s="877"/>
      <c r="K253" s="805"/>
      <c r="L253" s="791"/>
      <c r="M253" s="778"/>
    </row>
    <row r="254" spans="1:13" ht="12.75" customHeight="1" x14ac:dyDescent="0.35">
      <c r="A254" s="663"/>
      <c r="B254" s="791"/>
      <c r="C254" s="798"/>
      <c r="D254" s="876"/>
      <c r="E254" s="826"/>
      <c r="F254" s="826"/>
      <c r="G254" s="826"/>
      <c r="H254" s="826"/>
      <c r="I254" s="826"/>
      <c r="J254" s="877"/>
      <c r="K254" s="805"/>
      <c r="L254" s="791"/>
      <c r="M254" s="778"/>
    </row>
    <row r="255" spans="1:13" ht="12.75" customHeight="1" x14ac:dyDescent="0.35">
      <c r="A255" s="663"/>
      <c r="B255" s="791"/>
      <c r="C255" s="798"/>
      <c r="D255" s="878"/>
      <c r="E255" s="879"/>
      <c r="F255" s="879"/>
      <c r="G255" s="879"/>
      <c r="H255" s="879"/>
      <c r="I255" s="879"/>
      <c r="J255" s="880"/>
      <c r="K255" s="805"/>
      <c r="L255" s="791"/>
      <c r="M255" s="778"/>
    </row>
    <row r="256" spans="1:13" ht="16" customHeight="1" x14ac:dyDescent="0.35">
      <c r="A256" s="663">
        <v>0</v>
      </c>
      <c r="B256" s="791"/>
      <c r="C256" s="798"/>
      <c r="D256" s="827" t="str">
        <f>$D$78</f>
        <v xml:space="preserve"> Key financials</v>
      </c>
      <c r="E256" s="881" t="str">
        <f>FinYearR05</f>
        <v>12/2019</v>
      </c>
      <c r="F256" s="885">
        <f>F224</f>
        <v>-20</v>
      </c>
      <c r="G256" s="886">
        <f>G224</f>
        <v>-10</v>
      </c>
      <c r="H256" s="886">
        <f>H224</f>
        <v>0</v>
      </c>
      <c r="I256" s="886">
        <f>I224</f>
        <v>10</v>
      </c>
      <c r="J256" s="887">
        <f>J224</f>
        <v>20</v>
      </c>
      <c r="K256" s="805"/>
      <c r="L256" s="791"/>
      <c r="M256" s="778"/>
    </row>
    <row r="257" spans="1:13" ht="16" customHeight="1" x14ac:dyDescent="0.35">
      <c r="A257" s="663">
        <v>0</v>
      </c>
      <c r="B257" s="791"/>
      <c r="C257" s="798"/>
      <c r="D257" s="827" t="str">
        <f>" "&amp;INDEX(RatiosDD,Analysis05Ratio01)</f>
        <v xml:space="preserve"> EBITDA; Operating income before depreciation, Euro</v>
      </c>
      <c r="E257" s="832"/>
      <c r="F257" s="836"/>
      <c r="G257" s="837"/>
      <c r="H257" s="837"/>
      <c r="I257" s="837"/>
      <c r="J257" s="838"/>
      <c r="K257" s="805"/>
      <c r="L257" s="791"/>
      <c r="M257" s="778"/>
    </row>
    <row r="258" spans="1:13" ht="16" customHeight="1" x14ac:dyDescent="0.35">
      <c r="A258" s="663"/>
      <c r="B258" s="791"/>
      <c r="C258" s="798"/>
      <c r="D258" s="827" t="str">
        <f>" "&amp;INDEX(RatiosDD,Analysis05Ratio02)</f>
        <v xml:space="preserve"> EBITDA, %</v>
      </c>
      <c r="E258" s="832"/>
      <c r="F258" s="860"/>
      <c r="G258" s="861"/>
      <c r="H258" s="861"/>
      <c r="I258" s="861"/>
      <c r="J258" s="862"/>
      <c r="K258" s="805"/>
      <c r="L258" s="791"/>
      <c r="M258" s="778"/>
    </row>
    <row r="259" spans="1:13" ht="16" customHeight="1" x14ac:dyDescent="0.35">
      <c r="A259" s="663" t="s">
        <v>39</v>
      </c>
      <c r="B259" s="791"/>
      <c r="C259" s="798"/>
      <c r="D259" s="827" t="str">
        <f>" "&amp;INDEX(RatiosDD,Analysis05Ratio03)</f>
        <v xml:space="preserve"> EBIT; Operating income, Euro</v>
      </c>
      <c r="E259" s="832"/>
      <c r="F259" s="833"/>
      <c r="G259" s="834"/>
      <c r="H259" s="834"/>
      <c r="I259" s="834"/>
      <c r="J259" s="835"/>
      <c r="K259" s="805"/>
      <c r="L259" s="791"/>
      <c r="M259" s="778"/>
    </row>
    <row r="260" spans="1:13" ht="16" customHeight="1" x14ac:dyDescent="0.35">
      <c r="A260" s="663"/>
      <c r="B260" s="791"/>
      <c r="C260" s="798"/>
      <c r="D260" s="827" t="str">
        <f>" "&amp;INDEX(RatiosDD,Analysis05Ratio04)</f>
        <v xml:space="preserve"> EBIT, %</v>
      </c>
      <c r="E260" s="832"/>
      <c r="F260" s="836"/>
      <c r="G260" s="837"/>
      <c r="H260" s="837"/>
      <c r="I260" s="837"/>
      <c r="J260" s="838"/>
      <c r="K260" s="805"/>
      <c r="L260" s="791"/>
      <c r="M260" s="778"/>
    </row>
    <row r="261" spans="1:13" ht="16" customHeight="1" x14ac:dyDescent="0.35">
      <c r="A261" s="663"/>
      <c r="B261" s="791"/>
      <c r="C261" s="798"/>
      <c r="D261" s="827" t="str">
        <f>" "&amp;INDEX(RatiosDD,Analysis05Ratio05)</f>
        <v xml:space="preserve"> Return on net assets (RONA), %</v>
      </c>
      <c r="E261" s="832"/>
      <c r="F261" s="836"/>
      <c r="G261" s="837"/>
      <c r="H261" s="837"/>
      <c r="I261" s="837"/>
      <c r="J261" s="838"/>
      <c r="K261" s="805"/>
      <c r="L261" s="791"/>
      <c r="M261" s="778"/>
    </row>
    <row r="262" spans="1:13" ht="16" customHeight="1" x14ac:dyDescent="0.35">
      <c r="A262" s="663"/>
      <c r="B262" s="791"/>
      <c r="C262" s="798"/>
      <c r="D262" s="827" t="str">
        <f>" "&amp;INDEX(RatiosDD,Analysis05Ratio06)</f>
        <v xml:space="preserve"> Economic Value Added (EVA), Euro</v>
      </c>
      <c r="E262" s="832"/>
      <c r="F262" s="833"/>
      <c r="G262" s="834"/>
      <c r="H262" s="834"/>
      <c r="I262" s="834"/>
      <c r="J262" s="835"/>
      <c r="K262" s="805"/>
      <c r="L262" s="791"/>
      <c r="M262" s="778"/>
    </row>
    <row r="263" spans="1:13" ht="5.15" customHeight="1" x14ac:dyDescent="0.35">
      <c r="A263" s="663"/>
      <c r="B263" s="791"/>
      <c r="C263" s="839"/>
      <c r="D263" s="840"/>
      <c r="E263" s="840"/>
      <c r="F263" s="840"/>
      <c r="G263" s="840"/>
      <c r="H263" s="840"/>
      <c r="I263" s="840"/>
      <c r="J263" s="840"/>
      <c r="K263" s="841"/>
      <c r="L263" s="791"/>
      <c r="M263" s="778"/>
    </row>
    <row r="264" spans="1:13" ht="5.15" customHeight="1" x14ac:dyDescent="0.35">
      <c r="A264" s="663"/>
      <c r="B264" s="791"/>
      <c r="C264" s="791"/>
      <c r="D264" s="791"/>
      <c r="E264" s="791"/>
      <c r="F264" s="791"/>
      <c r="G264" s="791"/>
      <c r="H264" s="791"/>
      <c r="I264" s="791"/>
      <c r="J264" s="791"/>
      <c r="K264" s="791"/>
      <c r="L264" s="791"/>
      <c r="M264" s="778"/>
    </row>
    <row r="265" spans="1:13" ht="15.5" x14ac:dyDescent="0.35">
      <c r="A265" s="904"/>
      <c r="B265" s="285"/>
      <c r="C265" s="285"/>
      <c r="D265" s="285"/>
      <c r="E265" s="285"/>
      <c r="F265" s="285"/>
      <c r="G265" s="285"/>
      <c r="H265" s="285"/>
      <c r="I265" s="285"/>
      <c r="J265" s="285"/>
      <c r="K265" s="285"/>
      <c r="L265" s="285"/>
      <c r="M265" s="778"/>
    </row>
    <row r="266" spans="1:13" ht="5.15" customHeight="1" x14ac:dyDescent="0.35">
      <c r="A266" s="904"/>
      <c r="B266" s="285"/>
      <c r="C266" s="285"/>
      <c r="D266" s="285"/>
      <c r="E266" s="285"/>
      <c r="F266" s="285"/>
      <c r="G266" s="285"/>
      <c r="H266" s="285"/>
      <c r="I266" s="285"/>
      <c r="J266" s="285"/>
      <c r="K266" s="285"/>
      <c r="L266" s="285"/>
      <c r="M266" s="778"/>
    </row>
    <row r="267" spans="1:13" ht="15" customHeight="1" x14ac:dyDescent="0.35">
      <c r="A267" s="904" t="s">
        <v>4970</v>
      </c>
      <c r="B267" s="791"/>
      <c r="C267" s="792" t="str">
        <f>$C$221&amp;" 2"</f>
        <v>Variable´s impact on profitability 2</v>
      </c>
      <c r="D267" s="793"/>
      <c r="E267" s="793"/>
      <c r="F267" s="793"/>
      <c r="G267" s="793"/>
      <c r="H267" s="793"/>
      <c r="I267" s="793"/>
      <c r="J267" s="793"/>
      <c r="K267" s="794"/>
      <c r="L267" s="791"/>
      <c r="M267" s="778"/>
    </row>
    <row r="268" spans="1:13" ht="5.15" customHeight="1" x14ac:dyDescent="0.35">
      <c r="A268" s="904"/>
      <c r="B268" s="791"/>
      <c r="C268" s="863"/>
      <c r="D268" s="864"/>
      <c r="E268" s="864"/>
      <c r="F268" s="784">
        <f ca="1">1+(OFFSET(F268,2,0)/100)</f>
        <v>0.8</v>
      </c>
      <c r="G268" s="784">
        <f ca="1">(1+(OFFSET(G268,2,0)/100))/F268</f>
        <v>1.125</v>
      </c>
      <c r="H268" s="865"/>
      <c r="I268" s="784">
        <f ca="1">(1+(OFFSET(I268,2,0)/100))/(1+(OFFSET(G268,2,0)/100))</f>
        <v>1.2222222222222223</v>
      </c>
      <c r="J268" s="784">
        <f ca="1">(1+(OFFSET(J268,2,0)/100))/(1+(OFFSET(I268,2,0)/100))</f>
        <v>1.0909090909090908</v>
      </c>
      <c r="K268" s="866"/>
      <c r="L268" s="791"/>
      <c r="M268" s="778"/>
    </row>
    <row r="269" spans="1:13" ht="16" customHeight="1" x14ac:dyDescent="0.35">
      <c r="A269" s="904"/>
      <c r="B269" s="791"/>
      <c r="C269" s="798"/>
      <c r="D269" s="827" t="str">
        <f>$D$223</f>
        <v xml:space="preserve"> Variable</v>
      </c>
      <c r="E269" s="892"/>
      <c r="F269" s="827" t="str">
        <f ca="1">" "&amp;OFFSET(VarListAnalysis!$C$1,IncVar2,0)</f>
        <v xml:space="preserve"> &lt; Not in use &gt;</v>
      </c>
      <c r="G269" s="893"/>
      <c r="H269" s="893"/>
      <c r="I269" s="893"/>
      <c r="J269" s="832"/>
      <c r="K269" s="805"/>
      <c r="L269" s="791"/>
      <c r="M269" s="894" t="str">
        <f ca="1">VarRowsTxt</f>
        <v>Show row numbers</v>
      </c>
    </row>
    <row r="270" spans="1:13" ht="15" customHeight="1" x14ac:dyDescent="0.35">
      <c r="A270" s="904"/>
      <c r="B270" s="791"/>
      <c r="C270" s="798"/>
      <c r="D270" s="843" t="str">
        <f>$D$224</f>
        <v xml:space="preserve"> Change in value, %</v>
      </c>
      <c r="E270" s="905"/>
      <c r="F270" s="895">
        <v>-20</v>
      </c>
      <c r="G270" s="896">
        <v>-10</v>
      </c>
      <c r="H270" s="897">
        <v>0</v>
      </c>
      <c r="I270" s="896">
        <v>10</v>
      </c>
      <c r="J270" s="898">
        <v>20</v>
      </c>
      <c r="K270" s="805"/>
      <c r="L270" s="791"/>
      <c r="M270" s="778"/>
    </row>
    <row r="271" spans="1:13" ht="16" customHeight="1" x14ac:dyDescent="0.35">
      <c r="A271" s="904"/>
      <c r="B271" s="791"/>
      <c r="C271" s="798"/>
      <c r="D271" s="899" t="str">
        <f>$D$225</f>
        <v xml:space="preserve"> Sample value</v>
      </c>
      <c r="E271" s="900"/>
      <c r="F271" s="901">
        <f>$H271*(1+F270/100)</f>
        <v>0</v>
      </c>
      <c r="G271" s="902">
        <f>$H271*(1+G270/100)</f>
        <v>0</v>
      </c>
      <c r="H271" s="902">
        <f>IF(ISERROR(Specs!$B$12),0,Specs!$B$12)</f>
        <v>0</v>
      </c>
      <c r="I271" s="902">
        <f>$H271*(1+I270/100)</f>
        <v>0</v>
      </c>
      <c r="J271" s="903">
        <f>$H271*(1+J270/100)</f>
        <v>0</v>
      </c>
      <c r="K271" s="805"/>
      <c r="L271" s="791"/>
      <c r="M271" s="778"/>
    </row>
    <row r="272" spans="1:13" ht="16" customHeight="1" x14ac:dyDescent="0.35">
      <c r="A272" s="904"/>
      <c r="B272" s="791"/>
      <c r="C272" s="798"/>
      <c r="D272" s="812" t="str">
        <f>$D$48</f>
        <v xml:space="preserve"> Net Present Value (NPV)</v>
      </c>
      <c r="E272" s="850"/>
      <c r="F272" s="1217">
        <v>0</v>
      </c>
      <c r="G272" s="1218">
        <v>0</v>
      </c>
      <c r="H272" s="1219">
        <v>0</v>
      </c>
      <c r="I272" s="1220">
        <v>0</v>
      </c>
      <c r="J272" s="1221">
        <v>0</v>
      </c>
      <c r="K272" s="805"/>
      <c r="L272" s="791"/>
      <c r="M272" s="778"/>
    </row>
    <row r="273" spans="1:13" ht="15.5" hidden="1" x14ac:dyDescent="0.35">
      <c r="A273" s="904"/>
      <c r="B273" s="791"/>
      <c r="C273" s="798"/>
      <c r="D273" s="814"/>
      <c r="E273" s="851"/>
      <c r="F273" s="816"/>
      <c r="G273" s="650"/>
      <c r="H273" s="650"/>
      <c r="I273" s="650"/>
      <c r="J273" s="817"/>
      <c r="K273" s="805"/>
      <c r="L273" s="791"/>
      <c r="M273" s="778"/>
    </row>
    <row r="274" spans="1:13" ht="15.5" hidden="1" x14ac:dyDescent="0.35">
      <c r="A274" s="904"/>
      <c r="B274" s="791"/>
      <c r="C274" s="798"/>
      <c r="D274" s="814"/>
      <c r="E274" s="851"/>
      <c r="F274" s="852"/>
      <c r="G274" s="653"/>
      <c r="H274" s="653"/>
      <c r="I274" s="653"/>
      <c r="J274" s="853"/>
      <c r="K274" s="805"/>
      <c r="L274" s="791"/>
      <c r="M274" s="778"/>
    </row>
    <row r="275" spans="1:13" ht="15.5" hidden="1" x14ac:dyDescent="0.35">
      <c r="A275" s="904"/>
      <c r="B275" s="791"/>
      <c r="C275" s="798"/>
      <c r="D275" s="814"/>
      <c r="E275" s="851"/>
      <c r="F275" s="852"/>
      <c r="G275" s="653"/>
      <c r="H275" s="653"/>
      <c r="I275" s="653"/>
      <c r="J275" s="853"/>
      <c r="K275" s="805"/>
      <c r="L275" s="791"/>
      <c r="M275" s="778"/>
    </row>
    <row r="276" spans="1:13" ht="15.5" hidden="1" x14ac:dyDescent="0.35">
      <c r="A276" s="904"/>
      <c r="B276" s="791"/>
      <c r="C276" s="798"/>
      <c r="D276" s="814"/>
      <c r="E276" s="851"/>
      <c r="F276" s="852"/>
      <c r="G276" s="653"/>
      <c r="H276" s="653"/>
      <c r="I276" s="653"/>
      <c r="J276" s="853"/>
      <c r="K276" s="805"/>
      <c r="L276" s="791"/>
      <c r="M276" s="778"/>
    </row>
    <row r="277" spans="1:13" ht="15.5" hidden="1" x14ac:dyDescent="0.35">
      <c r="A277" s="904"/>
      <c r="B277" s="791"/>
      <c r="C277" s="798"/>
      <c r="D277" s="814"/>
      <c r="E277" s="851"/>
      <c r="F277" s="818"/>
      <c r="G277" s="652"/>
      <c r="H277" s="652"/>
      <c r="I277" s="652"/>
      <c r="J277" s="819"/>
      <c r="K277" s="805"/>
      <c r="L277" s="791"/>
      <c r="M277" s="778"/>
    </row>
    <row r="278" spans="1:13" ht="15.5" hidden="1" x14ac:dyDescent="0.35">
      <c r="A278" s="904"/>
      <c r="B278" s="791"/>
      <c r="C278" s="798"/>
      <c r="D278" s="814"/>
      <c r="E278" s="851"/>
      <c r="F278" s="816"/>
      <c r="G278" s="650"/>
      <c r="H278" s="650"/>
      <c r="I278" s="650"/>
      <c r="J278" s="817"/>
      <c r="K278" s="805"/>
      <c r="L278" s="791"/>
      <c r="M278" s="778"/>
    </row>
    <row r="279" spans="1:13" ht="15.5" hidden="1" x14ac:dyDescent="0.35">
      <c r="A279" s="904"/>
      <c r="B279" s="791"/>
      <c r="C279" s="798"/>
      <c r="D279" s="814"/>
      <c r="E279" s="851"/>
      <c r="F279" s="820"/>
      <c r="G279" s="654"/>
      <c r="H279" s="654"/>
      <c r="I279" s="654"/>
      <c r="J279" s="821"/>
      <c r="K279" s="805"/>
      <c r="L279" s="791"/>
      <c r="M279" s="778"/>
    </row>
    <row r="280" spans="1:13" ht="15.5" hidden="1" x14ac:dyDescent="0.35">
      <c r="A280" s="904"/>
      <c r="B280" s="791"/>
      <c r="C280" s="798"/>
      <c r="D280" s="814"/>
      <c r="E280" s="851"/>
      <c r="F280" s="820"/>
      <c r="G280" s="654"/>
      <c r="H280" s="654"/>
      <c r="I280" s="654"/>
      <c r="J280" s="821"/>
      <c r="K280" s="805"/>
      <c r="L280" s="791"/>
      <c r="M280" s="778"/>
    </row>
    <row r="281" spans="1:13" ht="15.5" hidden="1" x14ac:dyDescent="0.35">
      <c r="A281" s="904"/>
      <c r="B281" s="791"/>
      <c r="C281" s="798"/>
      <c r="D281" s="814"/>
      <c r="E281" s="851"/>
      <c r="F281" s="816"/>
      <c r="G281" s="650"/>
      <c r="H281" s="650"/>
      <c r="I281" s="650"/>
      <c r="J281" s="817"/>
      <c r="K281" s="805"/>
      <c r="L281" s="791"/>
      <c r="M281" s="778"/>
    </row>
    <row r="282" spans="1:13" ht="15.5" hidden="1" x14ac:dyDescent="0.35">
      <c r="A282" s="904"/>
      <c r="B282" s="791"/>
      <c r="C282" s="798"/>
      <c r="D282" s="814"/>
      <c r="E282" s="851"/>
      <c r="F282" s="852"/>
      <c r="G282" s="653"/>
      <c r="H282" s="653"/>
      <c r="I282" s="653"/>
      <c r="J282" s="853"/>
      <c r="K282" s="805"/>
      <c r="L282" s="791"/>
      <c r="M282" s="778"/>
    </row>
    <row r="283" spans="1:13" ht="15.5" hidden="1" x14ac:dyDescent="0.35">
      <c r="A283" s="904"/>
      <c r="B283" s="791"/>
      <c r="C283" s="798"/>
      <c r="D283" s="814"/>
      <c r="E283" s="851"/>
      <c r="F283" s="852"/>
      <c r="G283" s="653"/>
      <c r="H283" s="653"/>
      <c r="I283" s="653"/>
      <c r="J283" s="853"/>
      <c r="K283" s="805"/>
      <c r="L283" s="791"/>
      <c r="M283" s="778"/>
    </row>
    <row r="284" spans="1:13" ht="15.5" hidden="1" x14ac:dyDescent="0.35">
      <c r="A284" s="904"/>
      <c r="B284" s="791"/>
      <c r="C284" s="798"/>
      <c r="D284" s="814"/>
      <c r="E284" s="851"/>
      <c r="F284" s="852"/>
      <c r="G284" s="653"/>
      <c r="H284" s="653"/>
      <c r="I284" s="653"/>
      <c r="J284" s="853"/>
      <c r="K284" s="805"/>
      <c r="L284" s="791"/>
      <c r="M284" s="778"/>
    </row>
    <row r="285" spans="1:13" ht="15.5" hidden="1" x14ac:dyDescent="0.35">
      <c r="A285" s="904"/>
      <c r="B285" s="791"/>
      <c r="C285" s="798"/>
      <c r="D285" s="814"/>
      <c r="E285" s="851"/>
      <c r="F285" s="820"/>
      <c r="G285" s="654"/>
      <c r="H285" s="654"/>
      <c r="I285" s="654"/>
      <c r="J285" s="821"/>
      <c r="K285" s="805"/>
      <c r="L285" s="791"/>
      <c r="M285" s="778"/>
    </row>
    <row r="286" spans="1:13" ht="15.5" hidden="1" x14ac:dyDescent="0.35">
      <c r="A286" s="904"/>
      <c r="B286" s="791"/>
      <c r="C286" s="798"/>
      <c r="D286" s="814"/>
      <c r="E286" s="851"/>
      <c r="F286" s="820"/>
      <c r="G286" s="654"/>
      <c r="H286" s="654"/>
      <c r="I286" s="654"/>
      <c r="J286" s="821"/>
      <c r="K286" s="805"/>
      <c r="L286" s="791"/>
      <c r="M286" s="778"/>
    </row>
    <row r="287" spans="1:13" ht="14.15" customHeight="1" x14ac:dyDescent="0.35">
      <c r="A287" s="904"/>
      <c r="B287" s="791"/>
      <c r="C287" s="798"/>
      <c r="D287" s="822" t="str">
        <f>$D$6</f>
        <v xml:space="preserve"> Change, %</v>
      </c>
      <c r="E287" s="823"/>
      <c r="F287" s="808">
        <f>IF(AND(ISNUMBER(F272),ISNUMBER($H272)),(F272-$H272)/IF($H272=0,0.00001,ABS($H272))*100,"")</f>
        <v>0</v>
      </c>
      <c r="G287" s="809">
        <f>IF(AND(ISNUMBER(G272),ISNUMBER($H272)),(G272-$H272)/IF($H272=0,0.00001,ABS($H272))*100,"")</f>
        <v>0</v>
      </c>
      <c r="H287" s="809">
        <v>0</v>
      </c>
      <c r="I287" s="809">
        <f>IF(AND(ISNUMBER(I272),ISNUMBER($H272)),(I272-$H272)/IF($H272=0,0.00001,ABS($H272))*100,"")</f>
        <v>0</v>
      </c>
      <c r="J287" s="811">
        <f>IF(AND(ISNUMBER(J272),ISNUMBER($H272)),(J272-$H272)/IF($H272=0,0.00001,ABS($H272))*100,"")</f>
        <v>0</v>
      </c>
      <c r="K287" s="805"/>
      <c r="L287" s="791"/>
      <c r="M287" s="778"/>
    </row>
    <row r="288" spans="1:13" ht="13" customHeight="1" x14ac:dyDescent="0.35">
      <c r="A288" s="904"/>
      <c r="B288" s="791"/>
      <c r="C288" s="798"/>
      <c r="D288" s="873"/>
      <c r="E288" s="874"/>
      <c r="F288" s="874"/>
      <c r="G288" s="874"/>
      <c r="H288" s="874"/>
      <c r="I288" s="874"/>
      <c r="J288" s="875"/>
      <c r="K288" s="805"/>
      <c r="L288" s="791"/>
      <c r="M288" s="778"/>
    </row>
    <row r="289" spans="1:13" ht="13" customHeight="1" x14ac:dyDescent="0.35">
      <c r="A289" s="904"/>
      <c r="B289" s="791"/>
      <c r="C289" s="798"/>
      <c r="D289" s="876"/>
      <c r="E289" s="826"/>
      <c r="F289" s="826"/>
      <c r="G289" s="826"/>
      <c r="H289" s="826"/>
      <c r="I289" s="826"/>
      <c r="J289" s="877"/>
      <c r="K289" s="805"/>
      <c r="L289" s="791"/>
      <c r="M289" s="778"/>
    </row>
    <row r="290" spans="1:13" ht="13" customHeight="1" x14ac:dyDescent="0.35">
      <c r="A290" s="904"/>
      <c r="B290" s="791"/>
      <c r="C290" s="798"/>
      <c r="D290" s="876"/>
      <c r="E290" s="826"/>
      <c r="F290" s="826"/>
      <c r="G290" s="826"/>
      <c r="H290" s="826"/>
      <c r="I290" s="826"/>
      <c r="J290" s="877"/>
      <c r="K290" s="805"/>
      <c r="L290" s="791"/>
      <c r="M290" s="778"/>
    </row>
    <row r="291" spans="1:13" ht="13" customHeight="1" x14ac:dyDescent="0.35">
      <c r="A291" s="904"/>
      <c r="B291" s="791"/>
      <c r="C291" s="798"/>
      <c r="D291" s="876"/>
      <c r="E291" s="826"/>
      <c r="F291" s="826"/>
      <c r="G291" s="826"/>
      <c r="H291" s="826"/>
      <c r="I291" s="826"/>
      <c r="J291" s="877"/>
      <c r="K291" s="805"/>
      <c r="L291" s="791"/>
      <c r="M291" s="778"/>
    </row>
    <row r="292" spans="1:13" ht="13" customHeight="1" x14ac:dyDescent="0.35">
      <c r="A292" s="904"/>
      <c r="B292" s="791"/>
      <c r="C292" s="798"/>
      <c r="D292" s="876"/>
      <c r="E292" s="826"/>
      <c r="F292" s="826"/>
      <c r="G292" s="826"/>
      <c r="H292" s="826"/>
      <c r="I292" s="826"/>
      <c r="J292" s="877"/>
      <c r="K292" s="805"/>
      <c r="L292" s="791"/>
      <c r="M292" s="778"/>
    </row>
    <row r="293" spans="1:13" ht="13" customHeight="1" x14ac:dyDescent="0.35">
      <c r="A293" s="904"/>
      <c r="B293" s="791"/>
      <c r="C293" s="798"/>
      <c r="D293" s="876"/>
      <c r="E293" s="826"/>
      <c r="F293" s="826"/>
      <c r="G293" s="826"/>
      <c r="H293" s="826"/>
      <c r="I293" s="826"/>
      <c r="J293" s="877"/>
      <c r="K293" s="805"/>
      <c r="L293" s="791"/>
      <c r="M293" s="778"/>
    </row>
    <row r="294" spans="1:13" ht="13" customHeight="1" x14ac:dyDescent="0.35">
      <c r="A294" s="904"/>
      <c r="B294" s="791"/>
      <c r="C294" s="798"/>
      <c r="D294" s="876"/>
      <c r="E294" s="826"/>
      <c r="F294" s="826"/>
      <c r="G294" s="826"/>
      <c r="H294" s="826"/>
      <c r="I294" s="826"/>
      <c r="J294" s="877"/>
      <c r="K294" s="805"/>
      <c r="L294" s="791"/>
      <c r="M294" s="778"/>
    </row>
    <row r="295" spans="1:13" ht="13" customHeight="1" x14ac:dyDescent="0.35">
      <c r="A295" s="904"/>
      <c r="B295" s="791"/>
      <c r="C295" s="798"/>
      <c r="D295" s="876"/>
      <c r="E295" s="826"/>
      <c r="F295" s="826"/>
      <c r="G295" s="826"/>
      <c r="H295" s="826"/>
      <c r="I295" s="826"/>
      <c r="J295" s="877"/>
      <c r="K295" s="805"/>
      <c r="L295" s="791"/>
      <c r="M295" s="778"/>
    </row>
    <row r="296" spans="1:13" ht="13" customHeight="1" x14ac:dyDescent="0.35">
      <c r="A296" s="904"/>
      <c r="B296" s="791"/>
      <c r="C296" s="798"/>
      <c r="D296" s="876"/>
      <c r="E296" s="826"/>
      <c r="F296" s="826"/>
      <c r="G296" s="826"/>
      <c r="H296" s="826"/>
      <c r="I296" s="826"/>
      <c r="J296" s="877"/>
      <c r="K296" s="805"/>
      <c r="L296" s="791"/>
      <c r="M296" s="778"/>
    </row>
    <row r="297" spans="1:13" ht="13" customHeight="1" x14ac:dyDescent="0.35">
      <c r="A297" s="904"/>
      <c r="B297" s="791"/>
      <c r="C297" s="798"/>
      <c r="D297" s="876"/>
      <c r="E297" s="826"/>
      <c r="F297" s="826"/>
      <c r="G297" s="826"/>
      <c r="H297" s="826"/>
      <c r="I297" s="826"/>
      <c r="J297" s="877"/>
      <c r="K297" s="805"/>
      <c r="L297" s="791"/>
      <c r="M297" s="778"/>
    </row>
    <row r="298" spans="1:13" ht="13" customHeight="1" x14ac:dyDescent="0.35">
      <c r="A298" s="904"/>
      <c r="B298" s="791"/>
      <c r="C298" s="798"/>
      <c r="D298" s="876"/>
      <c r="E298" s="826"/>
      <c r="F298" s="826"/>
      <c r="G298" s="826"/>
      <c r="H298" s="826"/>
      <c r="I298" s="826"/>
      <c r="J298" s="877"/>
      <c r="K298" s="805"/>
      <c r="L298" s="791"/>
      <c r="M298" s="778"/>
    </row>
    <row r="299" spans="1:13" ht="13" customHeight="1" x14ac:dyDescent="0.35">
      <c r="A299" s="904"/>
      <c r="B299" s="791"/>
      <c r="C299" s="798"/>
      <c r="D299" s="876"/>
      <c r="E299" s="826"/>
      <c r="F299" s="826"/>
      <c r="G299" s="826"/>
      <c r="H299" s="826"/>
      <c r="I299" s="826"/>
      <c r="J299" s="877"/>
      <c r="K299" s="805"/>
      <c r="L299" s="791"/>
      <c r="M299" s="778"/>
    </row>
    <row r="300" spans="1:13" ht="13" customHeight="1" x14ac:dyDescent="0.35">
      <c r="A300" s="904"/>
      <c r="B300" s="791"/>
      <c r="C300" s="798"/>
      <c r="D300" s="876"/>
      <c r="E300" s="826"/>
      <c r="F300" s="826"/>
      <c r="G300" s="826"/>
      <c r="H300" s="826"/>
      <c r="I300" s="826"/>
      <c r="J300" s="877"/>
      <c r="K300" s="805"/>
      <c r="L300" s="791"/>
      <c r="M300" s="778"/>
    </row>
    <row r="301" spans="1:13" ht="13" customHeight="1" x14ac:dyDescent="0.35">
      <c r="A301" s="904"/>
      <c r="B301" s="791"/>
      <c r="C301" s="798"/>
      <c r="D301" s="878"/>
      <c r="E301" s="879"/>
      <c r="F301" s="879"/>
      <c r="G301" s="879"/>
      <c r="H301" s="879"/>
      <c r="I301" s="879"/>
      <c r="J301" s="880"/>
      <c r="K301" s="805"/>
      <c r="L301" s="791"/>
      <c r="M301" s="778"/>
    </row>
    <row r="302" spans="1:13" ht="16" customHeight="1" x14ac:dyDescent="0.35">
      <c r="A302" s="904"/>
      <c r="B302" s="791"/>
      <c r="C302" s="798"/>
      <c r="D302" s="827" t="str">
        <f>$D$78</f>
        <v xml:space="preserve"> Key financials</v>
      </c>
      <c r="E302" s="881" t="str">
        <f>FinYearR05</f>
        <v>12/2019</v>
      </c>
      <c r="F302" s="885">
        <f>F270</f>
        <v>-20</v>
      </c>
      <c r="G302" s="886">
        <f>G270</f>
        <v>-10</v>
      </c>
      <c r="H302" s="886">
        <f>H270</f>
        <v>0</v>
      </c>
      <c r="I302" s="886">
        <f>I270</f>
        <v>10</v>
      </c>
      <c r="J302" s="887">
        <f>J270</f>
        <v>20</v>
      </c>
      <c r="K302" s="805"/>
      <c r="L302" s="791"/>
      <c r="M302" s="778"/>
    </row>
    <row r="303" spans="1:13" ht="16" customHeight="1" x14ac:dyDescent="0.35">
      <c r="A303" s="904"/>
      <c r="B303" s="791"/>
      <c r="C303" s="798"/>
      <c r="D303" s="827" t="str">
        <f>" "&amp;INDEX(RatiosDD,Analysis05Ratio01)</f>
        <v xml:space="preserve"> EBITDA; Operating income before depreciation, Euro</v>
      </c>
      <c r="E303" s="832"/>
      <c r="F303" s="836" t="s">
        <v>45</v>
      </c>
      <c r="G303" s="837"/>
      <c r="H303" s="837"/>
      <c r="I303" s="837"/>
      <c r="J303" s="838"/>
      <c r="K303" s="805"/>
      <c r="L303" s="791"/>
      <c r="M303" s="778"/>
    </row>
    <row r="304" spans="1:13" ht="16" customHeight="1" x14ac:dyDescent="0.35">
      <c r="A304" s="904"/>
      <c r="B304" s="791"/>
      <c r="C304" s="798"/>
      <c r="D304" s="827" t="str">
        <f>" "&amp;INDEX(RatiosDD,Analysis05Ratio02)</f>
        <v xml:space="preserve"> EBITDA, %</v>
      </c>
      <c r="E304" s="832"/>
      <c r="F304" s="860"/>
      <c r="G304" s="861"/>
      <c r="H304" s="861"/>
      <c r="I304" s="861"/>
      <c r="J304" s="862"/>
      <c r="K304" s="805"/>
      <c r="L304" s="791"/>
      <c r="M304" s="778"/>
    </row>
    <row r="305" spans="1:13" ht="16" customHeight="1" x14ac:dyDescent="0.35">
      <c r="A305" s="904"/>
      <c r="B305" s="791"/>
      <c r="C305" s="798"/>
      <c r="D305" s="827" t="str">
        <f>" "&amp;INDEX(RatiosDD,Analysis05Ratio03)</f>
        <v xml:space="preserve"> EBIT; Operating income, Euro</v>
      </c>
      <c r="E305" s="832"/>
      <c r="F305" s="833"/>
      <c r="G305" s="834"/>
      <c r="H305" s="834"/>
      <c r="I305" s="834"/>
      <c r="J305" s="835"/>
      <c r="K305" s="805"/>
      <c r="L305" s="791"/>
      <c r="M305" s="778"/>
    </row>
    <row r="306" spans="1:13" ht="16" customHeight="1" x14ac:dyDescent="0.35">
      <c r="A306" s="904"/>
      <c r="B306" s="791"/>
      <c r="C306" s="798"/>
      <c r="D306" s="827" t="str">
        <f>" "&amp;INDEX(RatiosDD,Analysis05Ratio04)</f>
        <v xml:space="preserve"> EBIT, %</v>
      </c>
      <c r="E306" s="832"/>
      <c r="F306" s="836"/>
      <c r="G306" s="837"/>
      <c r="H306" s="837"/>
      <c r="I306" s="837"/>
      <c r="J306" s="838"/>
      <c r="K306" s="805"/>
      <c r="L306" s="791"/>
      <c r="M306" s="778"/>
    </row>
    <row r="307" spans="1:13" ht="16" customHeight="1" x14ac:dyDescent="0.35">
      <c r="A307" s="904"/>
      <c r="B307" s="791"/>
      <c r="C307" s="798"/>
      <c r="D307" s="827" t="str">
        <f>" "&amp;INDEX(RatiosDD,Analysis05Ratio05)</f>
        <v xml:space="preserve"> Return on net assets (RONA), %</v>
      </c>
      <c r="E307" s="832"/>
      <c r="F307" s="836"/>
      <c r="G307" s="837"/>
      <c r="H307" s="837"/>
      <c r="I307" s="837"/>
      <c r="J307" s="838"/>
      <c r="K307" s="805"/>
      <c r="L307" s="791"/>
      <c r="M307" s="778"/>
    </row>
    <row r="308" spans="1:13" ht="16" customHeight="1" x14ac:dyDescent="0.35">
      <c r="A308" s="904"/>
      <c r="B308" s="791"/>
      <c r="C308" s="798"/>
      <c r="D308" s="827" t="str">
        <f>" "&amp;INDEX(RatiosDD,Analysis05Ratio06)</f>
        <v xml:space="preserve"> Economic Value Added (EVA), Euro</v>
      </c>
      <c r="E308" s="832"/>
      <c r="F308" s="833"/>
      <c r="G308" s="834"/>
      <c r="H308" s="834"/>
      <c r="I308" s="834"/>
      <c r="J308" s="835"/>
      <c r="K308" s="805"/>
      <c r="L308" s="791"/>
      <c r="M308" s="778"/>
    </row>
    <row r="309" spans="1:13" ht="5.15" customHeight="1" x14ac:dyDescent="0.35">
      <c r="A309" s="904"/>
      <c r="B309" s="791"/>
      <c r="C309" s="839"/>
      <c r="D309" s="840"/>
      <c r="E309" s="840"/>
      <c r="F309" s="840"/>
      <c r="G309" s="840"/>
      <c r="H309" s="840"/>
      <c r="I309" s="840"/>
      <c r="J309" s="840"/>
      <c r="K309" s="841"/>
      <c r="L309" s="791"/>
      <c r="M309" s="778"/>
    </row>
    <row r="310" spans="1:13" ht="5.15" customHeight="1" x14ac:dyDescent="0.35">
      <c r="A310" s="904"/>
      <c r="B310" s="791"/>
      <c r="C310" s="791"/>
      <c r="D310" s="791"/>
      <c r="E310" s="791"/>
      <c r="F310" s="791"/>
      <c r="G310" s="791"/>
      <c r="H310" s="791"/>
      <c r="I310" s="791"/>
      <c r="J310" s="791"/>
      <c r="K310" s="791"/>
      <c r="L310" s="791"/>
      <c r="M310" s="778"/>
    </row>
    <row r="311" spans="1:13" ht="15.5" x14ac:dyDescent="0.35">
      <c r="A311" s="904"/>
      <c r="B311" s="285"/>
      <c r="C311" s="285"/>
      <c r="D311" s="285"/>
      <c r="E311" s="285"/>
      <c r="F311" s="285"/>
      <c r="G311" s="285"/>
      <c r="H311" s="285"/>
      <c r="I311" s="285"/>
      <c r="J311" s="285"/>
      <c r="K311" s="285"/>
      <c r="L311" s="285"/>
      <c r="M311" s="778"/>
    </row>
    <row r="312" spans="1:13" ht="5.15" customHeight="1" x14ac:dyDescent="0.35">
      <c r="A312" s="904"/>
      <c r="B312" s="285"/>
      <c r="C312" s="285"/>
      <c r="D312" s="285"/>
      <c r="E312" s="285"/>
      <c r="F312" s="285"/>
      <c r="G312" s="285"/>
      <c r="H312" s="285"/>
      <c r="I312" s="285"/>
      <c r="J312" s="285"/>
      <c r="K312" s="285"/>
      <c r="L312" s="285"/>
      <c r="M312" s="778"/>
    </row>
    <row r="313" spans="1:13" ht="15" customHeight="1" x14ac:dyDescent="0.35">
      <c r="A313" s="904" t="s">
        <v>4971</v>
      </c>
      <c r="B313" s="791"/>
      <c r="C313" s="792" t="str">
        <f>$C$221&amp;" 3"</f>
        <v>Variable´s impact on profitability 3</v>
      </c>
      <c r="D313" s="793"/>
      <c r="E313" s="793"/>
      <c r="F313" s="793"/>
      <c r="G313" s="793"/>
      <c r="H313" s="793"/>
      <c r="I313" s="793"/>
      <c r="J313" s="793"/>
      <c r="K313" s="794"/>
      <c r="L313" s="791"/>
      <c r="M313" s="778"/>
    </row>
    <row r="314" spans="1:13" ht="5.15" customHeight="1" x14ac:dyDescent="0.35">
      <c r="A314" s="904"/>
      <c r="B314" s="791"/>
      <c r="C314" s="863"/>
      <c r="D314" s="864"/>
      <c r="E314" s="864"/>
      <c r="F314" s="784">
        <f ca="1">1+(OFFSET(F314,2,0)/100)</f>
        <v>0.8</v>
      </c>
      <c r="G314" s="784">
        <f ca="1">(1+(OFFSET(G314,2,0)/100))/F314</f>
        <v>1.125</v>
      </c>
      <c r="H314" s="865"/>
      <c r="I314" s="784">
        <f ca="1">(1+(OFFSET(I314,2,0)/100))/(1+(OFFSET(G314,2,0)/100))</f>
        <v>1.2222222222222223</v>
      </c>
      <c r="J314" s="784">
        <f ca="1">(1+(OFFSET(J314,2,0)/100))/(1+(OFFSET(I314,2,0)/100))</f>
        <v>1.0909090909090908</v>
      </c>
      <c r="K314" s="866"/>
      <c r="L314" s="791"/>
      <c r="M314" s="778"/>
    </row>
    <row r="315" spans="1:13" ht="16" customHeight="1" x14ac:dyDescent="0.35">
      <c r="A315" s="904"/>
      <c r="B315" s="791"/>
      <c r="C315" s="798"/>
      <c r="D315" s="827" t="str">
        <f>$D$223</f>
        <v xml:space="preserve"> Variable</v>
      </c>
      <c r="E315" s="892"/>
      <c r="F315" s="827" t="str">
        <f ca="1">" "&amp;OFFSET(VarListAnalysis!$C$1,IncVar3,0)</f>
        <v xml:space="preserve"> &lt; Not in use &gt;</v>
      </c>
      <c r="G315" s="893"/>
      <c r="H315" s="893"/>
      <c r="I315" s="893"/>
      <c r="J315" s="832"/>
      <c r="K315" s="805"/>
      <c r="L315" s="791"/>
      <c r="M315" s="894" t="str">
        <f ca="1">VarRowsTxt</f>
        <v>Show row numbers</v>
      </c>
    </row>
    <row r="316" spans="1:13" ht="15" customHeight="1" x14ac:dyDescent="0.35">
      <c r="A316" s="904"/>
      <c r="B316" s="791"/>
      <c r="C316" s="798"/>
      <c r="D316" s="843" t="str">
        <f>$D$224</f>
        <v xml:space="preserve"> Change in value, %</v>
      </c>
      <c r="E316" s="905"/>
      <c r="F316" s="895">
        <v>-20</v>
      </c>
      <c r="G316" s="896">
        <v>-10</v>
      </c>
      <c r="H316" s="897">
        <v>0</v>
      </c>
      <c r="I316" s="896">
        <v>10</v>
      </c>
      <c r="J316" s="898">
        <v>20</v>
      </c>
      <c r="K316" s="805"/>
      <c r="L316" s="791"/>
      <c r="M316" s="778"/>
    </row>
    <row r="317" spans="1:13" ht="16" customHeight="1" x14ac:dyDescent="0.35">
      <c r="A317" s="904"/>
      <c r="B317" s="791"/>
      <c r="C317" s="798"/>
      <c r="D317" s="899" t="str">
        <f>$D$225</f>
        <v xml:space="preserve"> Sample value</v>
      </c>
      <c r="E317" s="900"/>
      <c r="F317" s="901">
        <f>$H317*(1+F316/100)</f>
        <v>0</v>
      </c>
      <c r="G317" s="902">
        <f>$H317*(1+G316/100)</f>
        <v>0</v>
      </c>
      <c r="H317" s="902">
        <f>IF(ISERROR(Specs!$B$12),0,Specs!$B$12)</f>
        <v>0</v>
      </c>
      <c r="I317" s="902">
        <f>$H317*(1+I316/100)</f>
        <v>0</v>
      </c>
      <c r="J317" s="903">
        <f>$H317*(1+J316/100)</f>
        <v>0</v>
      </c>
      <c r="K317" s="805"/>
      <c r="L317" s="791"/>
      <c r="M317" s="778"/>
    </row>
    <row r="318" spans="1:13" ht="16" customHeight="1" x14ac:dyDescent="0.35">
      <c r="A318" s="904"/>
      <c r="B318" s="791"/>
      <c r="C318" s="798"/>
      <c r="D318" s="812" t="str">
        <f>$D$48</f>
        <v xml:space="preserve"> Net Present Value (NPV)</v>
      </c>
      <c r="E318" s="850"/>
      <c r="F318" s="1217">
        <v>0</v>
      </c>
      <c r="G318" s="1218">
        <v>0</v>
      </c>
      <c r="H318" s="1219">
        <v>0</v>
      </c>
      <c r="I318" s="1220">
        <v>0</v>
      </c>
      <c r="J318" s="1221">
        <v>0</v>
      </c>
      <c r="K318" s="805"/>
      <c r="L318" s="791"/>
      <c r="M318" s="778"/>
    </row>
    <row r="319" spans="1:13" ht="15.5" hidden="1" x14ac:dyDescent="0.35">
      <c r="A319" s="904"/>
      <c r="B319" s="791"/>
      <c r="C319" s="798"/>
      <c r="D319" s="814"/>
      <c r="E319" s="851"/>
      <c r="F319" s="816"/>
      <c r="G319" s="650"/>
      <c r="H319" s="650"/>
      <c r="I319" s="650"/>
      <c r="J319" s="817"/>
      <c r="K319" s="805"/>
      <c r="L319" s="791"/>
      <c r="M319" s="778"/>
    </row>
    <row r="320" spans="1:13" ht="15.5" hidden="1" x14ac:dyDescent="0.35">
      <c r="A320" s="904"/>
      <c r="B320" s="791"/>
      <c r="C320" s="798"/>
      <c r="D320" s="814"/>
      <c r="E320" s="851"/>
      <c r="F320" s="852"/>
      <c r="G320" s="653"/>
      <c r="H320" s="653"/>
      <c r="I320" s="653"/>
      <c r="J320" s="853"/>
      <c r="K320" s="805"/>
      <c r="L320" s="791"/>
      <c r="M320" s="778"/>
    </row>
    <row r="321" spans="1:13" ht="15.5" hidden="1" x14ac:dyDescent="0.35">
      <c r="A321" s="904"/>
      <c r="B321" s="791"/>
      <c r="C321" s="798"/>
      <c r="D321" s="814"/>
      <c r="E321" s="851"/>
      <c r="F321" s="852"/>
      <c r="G321" s="653"/>
      <c r="H321" s="653"/>
      <c r="I321" s="653"/>
      <c r="J321" s="853"/>
      <c r="K321" s="805"/>
      <c r="L321" s="791"/>
      <c r="M321" s="778"/>
    </row>
    <row r="322" spans="1:13" ht="15.5" hidden="1" x14ac:dyDescent="0.35">
      <c r="A322" s="904"/>
      <c r="B322" s="791"/>
      <c r="C322" s="798"/>
      <c r="D322" s="814"/>
      <c r="E322" s="851"/>
      <c r="F322" s="852"/>
      <c r="G322" s="653"/>
      <c r="H322" s="653"/>
      <c r="I322" s="653"/>
      <c r="J322" s="853"/>
      <c r="K322" s="805"/>
      <c r="L322" s="791"/>
      <c r="M322" s="778"/>
    </row>
    <row r="323" spans="1:13" ht="15.5" hidden="1" x14ac:dyDescent="0.35">
      <c r="A323" s="904"/>
      <c r="B323" s="791"/>
      <c r="C323" s="798"/>
      <c r="D323" s="814"/>
      <c r="E323" s="851"/>
      <c r="F323" s="818"/>
      <c r="G323" s="652"/>
      <c r="H323" s="652"/>
      <c r="I323" s="652"/>
      <c r="J323" s="819"/>
      <c r="K323" s="805"/>
      <c r="L323" s="791"/>
      <c r="M323" s="778"/>
    </row>
    <row r="324" spans="1:13" ht="15.5" hidden="1" x14ac:dyDescent="0.35">
      <c r="A324" s="904"/>
      <c r="B324" s="791"/>
      <c r="C324" s="798"/>
      <c r="D324" s="814"/>
      <c r="E324" s="851"/>
      <c r="F324" s="816"/>
      <c r="G324" s="650"/>
      <c r="H324" s="650"/>
      <c r="I324" s="650"/>
      <c r="J324" s="817"/>
      <c r="K324" s="805"/>
      <c r="L324" s="791"/>
      <c r="M324" s="778"/>
    </row>
    <row r="325" spans="1:13" ht="15.5" hidden="1" x14ac:dyDescent="0.35">
      <c r="A325" s="904"/>
      <c r="B325" s="791"/>
      <c r="C325" s="798"/>
      <c r="D325" s="814"/>
      <c r="E325" s="851"/>
      <c r="F325" s="820"/>
      <c r="G325" s="654"/>
      <c r="H325" s="654"/>
      <c r="I325" s="654"/>
      <c r="J325" s="821"/>
      <c r="K325" s="805"/>
      <c r="L325" s="791"/>
      <c r="M325" s="778"/>
    </row>
    <row r="326" spans="1:13" ht="15.5" hidden="1" x14ac:dyDescent="0.35">
      <c r="A326" s="904"/>
      <c r="B326" s="791"/>
      <c r="C326" s="798"/>
      <c r="D326" s="814"/>
      <c r="E326" s="851"/>
      <c r="F326" s="820"/>
      <c r="G326" s="654"/>
      <c r="H326" s="654"/>
      <c r="I326" s="654"/>
      <c r="J326" s="821"/>
      <c r="K326" s="805"/>
      <c r="L326" s="791"/>
      <c r="M326" s="778"/>
    </row>
    <row r="327" spans="1:13" ht="15.5" hidden="1" x14ac:dyDescent="0.35">
      <c r="A327" s="904"/>
      <c r="B327" s="791"/>
      <c r="C327" s="798"/>
      <c r="D327" s="814"/>
      <c r="E327" s="851"/>
      <c r="F327" s="816"/>
      <c r="G327" s="650"/>
      <c r="H327" s="650"/>
      <c r="I327" s="650"/>
      <c r="J327" s="817"/>
      <c r="K327" s="805"/>
      <c r="L327" s="791"/>
      <c r="M327" s="778"/>
    </row>
    <row r="328" spans="1:13" ht="15.5" hidden="1" x14ac:dyDescent="0.35">
      <c r="A328" s="904"/>
      <c r="B328" s="791"/>
      <c r="C328" s="798"/>
      <c r="D328" s="814"/>
      <c r="E328" s="851"/>
      <c r="F328" s="852"/>
      <c r="G328" s="653"/>
      <c r="H328" s="653"/>
      <c r="I328" s="653"/>
      <c r="J328" s="853"/>
      <c r="K328" s="805"/>
      <c r="L328" s="791"/>
      <c r="M328" s="778"/>
    </row>
    <row r="329" spans="1:13" ht="15.5" hidden="1" x14ac:dyDescent="0.35">
      <c r="A329" s="904"/>
      <c r="B329" s="791"/>
      <c r="C329" s="798"/>
      <c r="D329" s="814"/>
      <c r="E329" s="851"/>
      <c r="F329" s="852"/>
      <c r="G329" s="653"/>
      <c r="H329" s="653"/>
      <c r="I329" s="653"/>
      <c r="J329" s="853"/>
      <c r="K329" s="805"/>
      <c r="L329" s="791"/>
      <c r="M329" s="778"/>
    </row>
    <row r="330" spans="1:13" ht="15.5" hidden="1" x14ac:dyDescent="0.35">
      <c r="A330" s="904"/>
      <c r="B330" s="791"/>
      <c r="C330" s="798"/>
      <c r="D330" s="814"/>
      <c r="E330" s="851"/>
      <c r="F330" s="852"/>
      <c r="G330" s="653"/>
      <c r="H330" s="653"/>
      <c r="I330" s="653"/>
      <c r="J330" s="853"/>
      <c r="K330" s="805"/>
      <c r="L330" s="791"/>
      <c r="M330" s="778"/>
    </row>
    <row r="331" spans="1:13" ht="15.5" hidden="1" x14ac:dyDescent="0.35">
      <c r="A331" s="904"/>
      <c r="B331" s="791"/>
      <c r="C331" s="798"/>
      <c r="D331" s="814"/>
      <c r="E331" s="851"/>
      <c r="F331" s="820"/>
      <c r="G331" s="654"/>
      <c r="H331" s="654"/>
      <c r="I331" s="654"/>
      <c r="J331" s="821"/>
      <c r="K331" s="805"/>
      <c r="L331" s="791"/>
      <c r="M331" s="778"/>
    </row>
    <row r="332" spans="1:13" ht="15.5" hidden="1" x14ac:dyDescent="0.35">
      <c r="A332" s="904"/>
      <c r="B332" s="791"/>
      <c r="C332" s="798"/>
      <c r="D332" s="814"/>
      <c r="E332" s="851"/>
      <c r="F332" s="820"/>
      <c r="G332" s="654"/>
      <c r="H332" s="654"/>
      <c r="I332" s="654"/>
      <c r="J332" s="821"/>
      <c r="K332" s="805"/>
      <c r="L332" s="791"/>
      <c r="M332" s="778"/>
    </row>
    <row r="333" spans="1:13" ht="14.15" customHeight="1" x14ac:dyDescent="0.35">
      <c r="A333" s="904"/>
      <c r="B333" s="791"/>
      <c r="C333" s="798"/>
      <c r="D333" s="822" t="str">
        <f>$D$6</f>
        <v xml:space="preserve"> Change, %</v>
      </c>
      <c r="E333" s="823"/>
      <c r="F333" s="808">
        <f>IF(AND(ISNUMBER(F318),ISNUMBER($H318)),(F318-$H318)/IF($H318=0,0.00001,ABS($H318))*100,"")</f>
        <v>0</v>
      </c>
      <c r="G333" s="809">
        <f>IF(AND(ISNUMBER(G318),ISNUMBER($H318)),(G318-$H318)/IF($H318=0,0.00001,ABS($H318))*100,"")</f>
        <v>0</v>
      </c>
      <c r="H333" s="809">
        <v>0</v>
      </c>
      <c r="I333" s="809">
        <f>IF(AND(ISNUMBER(I318),ISNUMBER($H318)),(I318-$H318)/IF($H318=0,0.00001,ABS($H318))*100,"")</f>
        <v>0</v>
      </c>
      <c r="J333" s="811">
        <f>IF(AND(ISNUMBER(J318),ISNUMBER($H318)),(J318-$H318)/IF($H318=0,0.00001,ABS($H318))*100,"")</f>
        <v>0</v>
      </c>
      <c r="K333" s="805"/>
      <c r="L333" s="791"/>
      <c r="M333" s="778"/>
    </row>
    <row r="334" spans="1:13" ht="13" customHeight="1" x14ac:dyDescent="0.35">
      <c r="A334" s="904"/>
      <c r="B334" s="791"/>
      <c r="C334" s="798"/>
      <c r="D334" s="873"/>
      <c r="E334" s="874"/>
      <c r="F334" s="874"/>
      <c r="G334" s="874"/>
      <c r="H334" s="874"/>
      <c r="I334" s="874"/>
      <c r="J334" s="875"/>
      <c r="K334" s="805"/>
      <c r="L334" s="791"/>
      <c r="M334" s="778"/>
    </row>
    <row r="335" spans="1:13" ht="13" customHeight="1" x14ac:dyDescent="0.35">
      <c r="A335" s="904"/>
      <c r="B335" s="791"/>
      <c r="C335" s="798"/>
      <c r="D335" s="876"/>
      <c r="E335" s="826"/>
      <c r="F335" s="826"/>
      <c r="G335" s="826"/>
      <c r="H335" s="826"/>
      <c r="I335" s="826"/>
      <c r="J335" s="877"/>
      <c r="K335" s="805"/>
      <c r="L335" s="791"/>
      <c r="M335" s="778"/>
    </row>
    <row r="336" spans="1:13" ht="13" customHeight="1" x14ac:dyDescent="0.35">
      <c r="A336" s="904"/>
      <c r="B336" s="791"/>
      <c r="C336" s="798"/>
      <c r="D336" s="876"/>
      <c r="E336" s="826"/>
      <c r="F336" s="826"/>
      <c r="G336" s="826"/>
      <c r="H336" s="826"/>
      <c r="I336" s="826"/>
      <c r="J336" s="877"/>
      <c r="K336" s="805"/>
      <c r="L336" s="791"/>
      <c r="M336" s="778"/>
    </row>
    <row r="337" spans="1:13" ht="13" customHeight="1" x14ac:dyDescent="0.35">
      <c r="A337" s="904"/>
      <c r="B337" s="791"/>
      <c r="C337" s="798"/>
      <c r="D337" s="876"/>
      <c r="E337" s="826"/>
      <c r="F337" s="826"/>
      <c r="G337" s="826"/>
      <c r="H337" s="826"/>
      <c r="I337" s="826"/>
      <c r="J337" s="877"/>
      <c r="K337" s="805"/>
      <c r="L337" s="791"/>
      <c r="M337" s="778"/>
    </row>
    <row r="338" spans="1:13" ht="13" customHeight="1" x14ac:dyDescent="0.35">
      <c r="A338" s="904"/>
      <c r="B338" s="791"/>
      <c r="C338" s="798"/>
      <c r="D338" s="876"/>
      <c r="E338" s="826"/>
      <c r="F338" s="826"/>
      <c r="G338" s="826"/>
      <c r="H338" s="826"/>
      <c r="I338" s="826"/>
      <c r="J338" s="877"/>
      <c r="K338" s="805"/>
      <c r="L338" s="791"/>
      <c r="M338" s="778"/>
    </row>
    <row r="339" spans="1:13" ht="13" customHeight="1" x14ac:dyDescent="0.35">
      <c r="A339" s="904"/>
      <c r="B339" s="791"/>
      <c r="C339" s="798"/>
      <c r="D339" s="876"/>
      <c r="E339" s="826"/>
      <c r="F339" s="826"/>
      <c r="G339" s="826"/>
      <c r="H339" s="826"/>
      <c r="I339" s="826"/>
      <c r="J339" s="877"/>
      <c r="K339" s="805"/>
      <c r="L339" s="791"/>
      <c r="M339" s="778"/>
    </row>
    <row r="340" spans="1:13" ht="13" customHeight="1" x14ac:dyDescent="0.35">
      <c r="A340" s="904"/>
      <c r="B340" s="791"/>
      <c r="C340" s="798"/>
      <c r="D340" s="876"/>
      <c r="E340" s="826"/>
      <c r="F340" s="826"/>
      <c r="G340" s="826"/>
      <c r="H340" s="826"/>
      <c r="I340" s="826"/>
      <c r="J340" s="877"/>
      <c r="K340" s="805"/>
      <c r="L340" s="791"/>
      <c r="M340" s="778"/>
    </row>
    <row r="341" spans="1:13" ht="13" customHeight="1" x14ac:dyDescent="0.35">
      <c r="A341" s="904"/>
      <c r="B341" s="791"/>
      <c r="C341" s="798"/>
      <c r="D341" s="876"/>
      <c r="E341" s="826"/>
      <c r="F341" s="826"/>
      <c r="G341" s="826"/>
      <c r="H341" s="826"/>
      <c r="I341" s="826"/>
      <c r="J341" s="877"/>
      <c r="K341" s="805"/>
      <c r="L341" s="791"/>
      <c r="M341" s="778"/>
    </row>
    <row r="342" spans="1:13" ht="13" customHeight="1" x14ac:dyDescent="0.35">
      <c r="A342" s="904"/>
      <c r="B342" s="791"/>
      <c r="C342" s="798"/>
      <c r="D342" s="876"/>
      <c r="E342" s="826"/>
      <c r="F342" s="826"/>
      <c r="G342" s="826"/>
      <c r="H342" s="826"/>
      <c r="I342" s="826"/>
      <c r="J342" s="877"/>
      <c r="K342" s="805"/>
      <c r="L342" s="791"/>
      <c r="M342" s="778"/>
    </row>
    <row r="343" spans="1:13" ht="13" customHeight="1" x14ac:dyDescent="0.35">
      <c r="A343" s="904"/>
      <c r="B343" s="791"/>
      <c r="C343" s="798"/>
      <c r="D343" s="876"/>
      <c r="E343" s="826"/>
      <c r="F343" s="826"/>
      <c r="G343" s="826"/>
      <c r="H343" s="826"/>
      <c r="I343" s="826"/>
      <c r="J343" s="877"/>
      <c r="K343" s="805"/>
      <c r="L343" s="791"/>
      <c r="M343" s="778"/>
    </row>
    <row r="344" spans="1:13" ht="13" customHeight="1" x14ac:dyDescent="0.35">
      <c r="A344" s="904"/>
      <c r="B344" s="791"/>
      <c r="C344" s="798"/>
      <c r="D344" s="876"/>
      <c r="E344" s="826"/>
      <c r="F344" s="826"/>
      <c r="G344" s="826"/>
      <c r="H344" s="826"/>
      <c r="I344" s="826"/>
      <c r="J344" s="877"/>
      <c r="K344" s="805"/>
      <c r="L344" s="791"/>
      <c r="M344" s="778"/>
    </row>
    <row r="345" spans="1:13" ht="13" customHeight="1" x14ac:dyDescent="0.35">
      <c r="A345" s="904"/>
      <c r="B345" s="791"/>
      <c r="C345" s="798"/>
      <c r="D345" s="876"/>
      <c r="E345" s="826"/>
      <c r="F345" s="826"/>
      <c r="G345" s="826"/>
      <c r="H345" s="826"/>
      <c r="I345" s="826"/>
      <c r="J345" s="877"/>
      <c r="K345" s="805"/>
      <c r="L345" s="791"/>
      <c r="M345" s="778"/>
    </row>
    <row r="346" spans="1:13" ht="13" customHeight="1" x14ac:dyDescent="0.35">
      <c r="A346" s="904"/>
      <c r="B346" s="791"/>
      <c r="C346" s="798"/>
      <c r="D346" s="876"/>
      <c r="E346" s="826"/>
      <c r="F346" s="826"/>
      <c r="G346" s="826"/>
      <c r="H346" s="826"/>
      <c r="I346" s="826"/>
      <c r="J346" s="877"/>
      <c r="K346" s="805"/>
      <c r="L346" s="791"/>
      <c r="M346" s="778"/>
    </row>
    <row r="347" spans="1:13" ht="13" customHeight="1" x14ac:dyDescent="0.35">
      <c r="A347" s="904"/>
      <c r="B347" s="791"/>
      <c r="C347" s="798"/>
      <c r="D347" s="878"/>
      <c r="E347" s="879"/>
      <c r="F347" s="879"/>
      <c r="G347" s="879"/>
      <c r="H347" s="879"/>
      <c r="I347" s="879"/>
      <c r="J347" s="880"/>
      <c r="K347" s="805"/>
      <c r="L347" s="791"/>
      <c r="M347" s="778"/>
    </row>
    <row r="348" spans="1:13" ht="16" customHeight="1" x14ac:dyDescent="0.35">
      <c r="A348" s="904"/>
      <c r="B348" s="791"/>
      <c r="C348" s="798"/>
      <c r="D348" s="827" t="str">
        <f>$D$78</f>
        <v xml:space="preserve"> Key financials</v>
      </c>
      <c r="E348" s="881" t="str">
        <f>FinYearR05</f>
        <v>12/2019</v>
      </c>
      <c r="F348" s="885">
        <f>F316</f>
        <v>-20</v>
      </c>
      <c r="G348" s="886">
        <f>G316</f>
        <v>-10</v>
      </c>
      <c r="H348" s="886">
        <f>H316</f>
        <v>0</v>
      </c>
      <c r="I348" s="886">
        <f>I316</f>
        <v>10</v>
      </c>
      <c r="J348" s="887">
        <f>J316</f>
        <v>20</v>
      </c>
      <c r="K348" s="805"/>
      <c r="L348" s="791"/>
      <c r="M348" s="778"/>
    </row>
    <row r="349" spans="1:13" ht="16" customHeight="1" x14ac:dyDescent="0.35">
      <c r="A349" s="904"/>
      <c r="B349" s="791"/>
      <c r="C349" s="798"/>
      <c r="D349" s="827" t="str">
        <f>" "&amp;INDEX(RatiosDD,Analysis05Ratio01)</f>
        <v xml:space="preserve"> EBITDA; Operating income before depreciation, Euro</v>
      </c>
      <c r="E349" s="832"/>
      <c r="F349" s="836" t="s">
        <v>45</v>
      </c>
      <c r="G349" s="837"/>
      <c r="H349" s="837"/>
      <c r="I349" s="837"/>
      <c r="J349" s="838"/>
      <c r="K349" s="805"/>
      <c r="L349" s="791"/>
      <c r="M349" s="778"/>
    </row>
    <row r="350" spans="1:13" ht="16" customHeight="1" x14ac:dyDescent="0.35">
      <c r="A350" s="904"/>
      <c r="B350" s="791"/>
      <c r="C350" s="798"/>
      <c r="D350" s="827" t="str">
        <f>" "&amp;INDEX(RatiosDD,Analysis05Ratio02)</f>
        <v xml:space="preserve"> EBITDA, %</v>
      </c>
      <c r="E350" s="832"/>
      <c r="F350" s="860"/>
      <c r="G350" s="861"/>
      <c r="H350" s="861"/>
      <c r="I350" s="861"/>
      <c r="J350" s="862"/>
      <c r="K350" s="805"/>
      <c r="L350" s="791"/>
      <c r="M350" s="778"/>
    </row>
    <row r="351" spans="1:13" ht="16" customHeight="1" x14ac:dyDescent="0.35">
      <c r="A351" s="904"/>
      <c r="B351" s="791"/>
      <c r="C351" s="798"/>
      <c r="D351" s="827" t="str">
        <f>" "&amp;INDEX(RatiosDD,Analysis05Ratio03)</f>
        <v xml:space="preserve"> EBIT; Operating income, Euro</v>
      </c>
      <c r="E351" s="832"/>
      <c r="F351" s="833"/>
      <c r="G351" s="834"/>
      <c r="H351" s="834"/>
      <c r="I351" s="834"/>
      <c r="J351" s="835"/>
      <c r="K351" s="805"/>
      <c r="L351" s="791"/>
      <c r="M351" s="778"/>
    </row>
    <row r="352" spans="1:13" ht="16" customHeight="1" x14ac:dyDescent="0.35">
      <c r="A352" s="904"/>
      <c r="B352" s="791"/>
      <c r="C352" s="798"/>
      <c r="D352" s="827" t="str">
        <f>" "&amp;INDEX(RatiosDD,Analysis05Ratio04)</f>
        <v xml:space="preserve"> EBIT, %</v>
      </c>
      <c r="E352" s="832"/>
      <c r="F352" s="836"/>
      <c r="G352" s="837"/>
      <c r="H352" s="837"/>
      <c r="I352" s="837"/>
      <c r="J352" s="838"/>
      <c r="K352" s="805"/>
      <c r="L352" s="791"/>
      <c r="M352" s="778"/>
    </row>
    <row r="353" spans="1:13" ht="16" customHeight="1" x14ac:dyDescent="0.35">
      <c r="A353" s="904"/>
      <c r="B353" s="791"/>
      <c r="C353" s="798"/>
      <c r="D353" s="827" t="str">
        <f>" "&amp;INDEX(RatiosDD,Analysis05Ratio05)</f>
        <v xml:space="preserve"> Return on net assets (RONA), %</v>
      </c>
      <c r="E353" s="832"/>
      <c r="F353" s="836"/>
      <c r="G353" s="837"/>
      <c r="H353" s="837"/>
      <c r="I353" s="837"/>
      <c r="J353" s="838"/>
      <c r="K353" s="805"/>
      <c r="L353" s="791"/>
      <c r="M353" s="778"/>
    </row>
    <row r="354" spans="1:13" ht="16" customHeight="1" x14ac:dyDescent="0.35">
      <c r="A354" s="904"/>
      <c r="B354" s="791"/>
      <c r="C354" s="798"/>
      <c r="D354" s="827" t="str">
        <f>" "&amp;INDEX(RatiosDD,Analysis05Ratio06)</f>
        <v xml:space="preserve"> Economic Value Added (EVA), Euro</v>
      </c>
      <c r="E354" s="832"/>
      <c r="F354" s="833"/>
      <c r="G354" s="834"/>
      <c r="H354" s="834"/>
      <c r="I354" s="834"/>
      <c r="J354" s="835"/>
      <c r="K354" s="805"/>
      <c r="L354" s="791"/>
      <c r="M354" s="778"/>
    </row>
    <row r="355" spans="1:13" ht="5.15" customHeight="1" x14ac:dyDescent="0.35">
      <c r="A355" s="904"/>
      <c r="B355" s="791"/>
      <c r="C355" s="839"/>
      <c r="D355" s="840"/>
      <c r="E355" s="840"/>
      <c r="F355" s="840"/>
      <c r="G355" s="840"/>
      <c r="H355" s="840"/>
      <c r="I355" s="840"/>
      <c r="J355" s="840"/>
      <c r="K355" s="841"/>
      <c r="L355" s="791"/>
      <c r="M355" s="778"/>
    </row>
    <row r="356" spans="1:13" ht="5.15" customHeight="1" x14ac:dyDescent="0.35">
      <c r="A356" s="904"/>
      <c r="B356" s="791"/>
      <c r="C356" s="791"/>
      <c r="D356" s="791"/>
      <c r="E356" s="791"/>
      <c r="F356" s="791"/>
      <c r="G356" s="791"/>
      <c r="H356" s="791"/>
      <c r="I356" s="791"/>
      <c r="J356" s="791"/>
      <c r="K356" s="791"/>
      <c r="L356" s="791"/>
      <c r="M356" s="778"/>
    </row>
    <row r="357" spans="1:13" ht="15.5" x14ac:dyDescent="0.35">
      <c r="A357" s="904"/>
      <c r="B357" s="285"/>
      <c r="C357" s="285"/>
      <c r="D357" s="285"/>
      <c r="E357" s="285"/>
      <c r="F357" s="285"/>
      <c r="G357" s="285"/>
      <c r="H357" s="285"/>
      <c r="I357" s="285"/>
      <c r="J357" s="285"/>
      <c r="K357" s="285"/>
      <c r="L357" s="285"/>
      <c r="M357" s="778"/>
    </row>
    <row r="358" spans="1:13" ht="5.15" customHeight="1" x14ac:dyDescent="0.35">
      <c r="A358" s="904"/>
      <c r="B358" s="285"/>
      <c r="C358" s="285"/>
      <c r="D358" s="285"/>
      <c r="E358" s="285"/>
      <c r="F358" s="285"/>
      <c r="G358" s="285"/>
      <c r="H358" s="285"/>
      <c r="I358" s="285"/>
      <c r="J358" s="285"/>
      <c r="K358" s="285"/>
      <c r="L358" s="285"/>
      <c r="M358" s="778"/>
    </row>
    <row r="359" spans="1:13" ht="15" customHeight="1" x14ac:dyDescent="0.35">
      <c r="A359" s="904" t="s">
        <v>4972</v>
      </c>
      <c r="B359" s="791"/>
      <c r="C359" s="792" t="str">
        <f>$C$221&amp;" 4"</f>
        <v>Variable´s impact on profitability 4</v>
      </c>
      <c r="D359" s="793"/>
      <c r="E359" s="793"/>
      <c r="F359" s="793"/>
      <c r="G359" s="793"/>
      <c r="H359" s="793"/>
      <c r="I359" s="793"/>
      <c r="J359" s="793"/>
      <c r="K359" s="794"/>
      <c r="L359" s="791"/>
      <c r="M359" s="778"/>
    </row>
    <row r="360" spans="1:13" ht="5.15" customHeight="1" x14ac:dyDescent="0.35">
      <c r="A360" s="904"/>
      <c r="B360" s="791"/>
      <c r="C360" s="863"/>
      <c r="D360" s="864"/>
      <c r="E360" s="864"/>
      <c r="F360" s="784">
        <f ca="1">1+(OFFSET(F360,2,0)/100)</f>
        <v>0.8</v>
      </c>
      <c r="G360" s="784">
        <f ca="1">(1+(OFFSET(G360,2,0)/100))/F360</f>
        <v>1.125</v>
      </c>
      <c r="H360" s="865"/>
      <c r="I360" s="784">
        <f ca="1">(1+(OFFSET(I360,2,0)/100))/(1+(OFFSET(G360,2,0)/100))</f>
        <v>1.2222222222222223</v>
      </c>
      <c r="J360" s="784">
        <f ca="1">(1+(OFFSET(J360,2,0)/100))/(1+(OFFSET(I360,2,0)/100))</f>
        <v>1.0909090909090908</v>
      </c>
      <c r="K360" s="866"/>
      <c r="L360" s="791"/>
      <c r="M360" s="778"/>
    </row>
    <row r="361" spans="1:13" ht="16" customHeight="1" x14ac:dyDescent="0.35">
      <c r="A361" s="904"/>
      <c r="B361" s="791"/>
      <c r="C361" s="798"/>
      <c r="D361" s="827" t="str">
        <f>$D$223</f>
        <v xml:space="preserve"> Variable</v>
      </c>
      <c r="E361" s="892"/>
      <c r="F361" s="827" t="str">
        <f ca="1">" "&amp;OFFSET(VarListAnalysis!$C$1,IncVar4,0)</f>
        <v xml:space="preserve"> &lt; Not in use &gt;</v>
      </c>
      <c r="G361" s="893"/>
      <c r="H361" s="893"/>
      <c r="I361" s="893"/>
      <c r="J361" s="832"/>
      <c r="K361" s="805"/>
      <c r="L361" s="791"/>
      <c r="M361" s="894" t="str">
        <f ca="1">VarRowsTxt</f>
        <v>Show row numbers</v>
      </c>
    </row>
    <row r="362" spans="1:13" ht="15" customHeight="1" x14ac:dyDescent="0.35">
      <c r="A362" s="904"/>
      <c r="B362" s="791"/>
      <c r="C362" s="798"/>
      <c r="D362" s="843" t="str">
        <f>$D$224</f>
        <v xml:space="preserve"> Change in value, %</v>
      </c>
      <c r="E362" s="905"/>
      <c r="F362" s="895">
        <v>-20</v>
      </c>
      <c r="G362" s="896">
        <v>-10</v>
      </c>
      <c r="H362" s="897">
        <v>0</v>
      </c>
      <c r="I362" s="896">
        <v>10</v>
      </c>
      <c r="J362" s="898">
        <v>20</v>
      </c>
      <c r="K362" s="805"/>
      <c r="L362" s="791"/>
      <c r="M362" s="778"/>
    </row>
    <row r="363" spans="1:13" ht="16" customHeight="1" x14ac:dyDescent="0.35">
      <c r="A363" s="904"/>
      <c r="B363" s="791"/>
      <c r="C363" s="798"/>
      <c r="D363" s="899" t="str">
        <f>$D$225</f>
        <v xml:space="preserve"> Sample value</v>
      </c>
      <c r="E363" s="900"/>
      <c r="F363" s="901">
        <f>$H363*(1+F362/100)</f>
        <v>0</v>
      </c>
      <c r="G363" s="902">
        <f>$H363*(1+G362/100)</f>
        <v>0</v>
      </c>
      <c r="H363" s="902">
        <f>IF(ISERROR(Specs!$B$12),0,Specs!$B$12)</f>
        <v>0</v>
      </c>
      <c r="I363" s="902">
        <f>$H363*(1+I362/100)</f>
        <v>0</v>
      </c>
      <c r="J363" s="903">
        <f>$H363*(1+J362/100)</f>
        <v>0</v>
      </c>
      <c r="K363" s="805"/>
      <c r="L363" s="791"/>
      <c r="M363" s="778"/>
    </row>
    <row r="364" spans="1:13" ht="16" customHeight="1" x14ac:dyDescent="0.35">
      <c r="A364" s="904"/>
      <c r="B364" s="791"/>
      <c r="C364" s="798"/>
      <c r="D364" s="812" t="str">
        <f>$D$48</f>
        <v xml:space="preserve"> Net Present Value (NPV)</v>
      </c>
      <c r="E364" s="850"/>
      <c r="F364" s="1217">
        <v>0</v>
      </c>
      <c r="G364" s="1218">
        <v>0</v>
      </c>
      <c r="H364" s="1219">
        <v>0</v>
      </c>
      <c r="I364" s="1220">
        <v>0</v>
      </c>
      <c r="J364" s="1221">
        <v>0</v>
      </c>
      <c r="K364" s="805"/>
      <c r="L364" s="791"/>
      <c r="M364" s="778"/>
    </row>
    <row r="365" spans="1:13" ht="15.5" hidden="1" x14ac:dyDescent="0.35">
      <c r="A365" s="904"/>
      <c r="B365" s="791"/>
      <c r="C365" s="798"/>
      <c r="D365" s="814"/>
      <c r="E365" s="851"/>
      <c r="F365" s="816"/>
      <c r="G365" s="650"/>
      <c r="H365" s="650"/>
      <c r="I365" s="650"/>
      <c r="J365" s="817"/>
      <c r="K365" s="805"/>
      <c r="L365" s="791"/>
      <c r="M365" s="778"/>
    </row>
    <row r="366" spans="1:13" ht="15.5" hidden="1" x14ac:dyDescent="0.35">
      <c r="A366" s="904"/>
      <c r="B366" s="791"/>
      <c r="C366" s="798"/>
      <c r="D366" s="814"/>
      <c r="E366" s="851"/>
      <c r="F366" s="852"/>
      <c r="G366" s="653"/>
      <c r="H366" s="653"/>
      <c r="I366" s="653"/>
      <c r="J366" s="853"/>
      <c r="K366" s="805"/>
      <c r="L366" s="791"/>
      <c r="M366" s="778"/>
    </row>
    <row r="367" spans="1:13" ht="15.5" hidden="1" x14ac:dyDescent="0.35">
      <c r="A367" s="904"/>
      <c r="B367" s="791"/>
      <c r="C367" s="798"/>
      <c r="D367" s="814"/>
      <c r="E367" s="851"/>
      <c r="F367" s="852"/>
      <c r="G367" s="653"/>
      <c r="H367" s="653"/>
      <c r="I367" s="653"/>
      <c r="J367" s="853"/>
      <c r="K367" s="805"/>
      <c r="L367" s="791"/>
      <c r="M367" s="778"/>
    </row>
    <row r="368" spans="1:13" ht="15.5" hidden="1" x14ac:dyDescent="0.35">
      <c r="A368" s="904"/>
      <c r="B368" s="791"/>
      <c r="C368" s="798"/>
      <c r="D368" s="814"/>
      <c r="E368" s="851"/>
      <c r="F368" s="852"/>
      <c r="G368" s="653"/>
      <c r="H368" s="653"/>
      <c r="I368" s="653"/>
      <c r="J368" s="853"/>
      <c r="K368" s="805"/>
      <c r="L368" s="791"/>
      <c r="M368" s="778"/>
    </row>
    <row r="369" spans="1:13" ht="15.5" hidden="1" x14ac:dyDescent="0.35">
      <c r="A369" s="904"/>
      <c r="B369" s="791"/>
      <c r="C369" s="798"/>
      <c r="D369" s="814"/>
      <c r="E369" s="851"/>
      <c r="F369" s="818"/>
      <c r="G369" s="652"/>
      <c r="H369" s="652"/>
      <c r="I369" s="652"/>
      <c r="J369" s="819"/>
      <c r="K369" s="805"/>
      <c r="L369" s="791"/>
      <c r="M369" s="778"/>
    </row>
    <row r="370" spans="1:13" ht="15.5" hidden="1" x14ac:dyDescent="0.35">
      <c r="A370" s="904"/>
      <c r="B370" s="791"/>
      <c r="C370" s="798"/>
      <c r="D370" s="814"/>
      <c r="E370" s="851"/>
      <c r="F370" s="816"/>
      <c r="G370" s="650"/>
      <c r="H370" s="650"/>
      <c r="I370" s="650"/>
      <c r="J370" s="817"/>
      <c r="K370" s="805"/>
      <c r="L370" s="791"/>
      <c r="M370" s="778"/>
    </row>
    <row r="371" spans="1:13" ht="15.5" hidden="1" x14ac:dyDescent="0.35">
      <c r="A371" s="904"/>
      <c r="B371" s="791"/>
      <c r="C371" s="798"/>
      <c r="D371" s="814"/>
      <c r="E371" s="851"/>
      <c r="F371" s="820"/>
      <c r="G371" s="654"/>
      <c r="H371" s="654"/>
      <c r="I371" s="654"/>
      <c r="J371" s="821"/>
      <c r="K371" s="805"/>
      <c r="L371" s="791"/>
      <c r="M371" s="778"/>
    </row>
    <row r="372" spans="1:13" ht="15.5" hidden="1" x14ac:dyDescent="0.35">
      <c r="A372" s="904"/>
      <c r="B372" s="791"/>
      <c r="C372" s="798"/>
      <c r="D372" s="814"/>
      <c r="E372" s="851"/>
      <c r="F372" s="820"/>
      <c r="G372" s="654"/>
      <c r="H372" s="654"/>
      <c r="I372" s="654"/>
      <c r="J372" s="821"/>
      <c r="K372" s="805"/>
      <c r="L372" s="791"/>
      <c r="M372" s="778"/>
    </row>
    <row r="373" spans="1:13" ht="15.5" hidden="1" x14ac:dyDescent="0.35">
      <c r="A373" s="904"/>
      <c r="B373" s="791"/>
      <c r="C373" s="798"/>
      <c r="D373" s="814"/>
      <c r="E373" s="851"/>
      <c r="F373" s="816"/>
      <c r="G373" s="650"/>
      <c r="H373" s="650"/>
      <c r="I373" s="650"/>
      <c r="J373" s="817"/>
      <c r="K373" s="805"/>
      <c r="L373" s="791"/>
      <c r="M373" s="778"/>
    </row>
    <row r="374" spans="1:13" ht="15.5" hidden="1" x14ac:dyDescent="0.35">
      <c r="A374" s="904"/>
      <c r="B374" s="791"/>
      <c r="C374" s="798"/>
      <c r="D374" s="814"/>
      <c r="E374" s="851"/>
      <c r="F374" s="852"/>
      <c r="G374" s="653"/>
      <c r="H374" s="653"/>
      <c r="I374" s="653"/>
      <c r="J374" s="853"/>
      <c r="K374" s="805"/>
      <c r="L374" s="791"/>
      <c r="M374" s="778"/>
    </row>
    <row r="375" spans="1:13" ht="15.5" hidden="1" x14ac:dyDescent="0.35">
      <c r="A375" s="904"/>
      <c r="B375" s="791"/>
      <c r="C375" s="798"/>
      <c r="D375" s="814"/>
      <c r="E375" s="851"/>
      <c r="F375" s="852"/>
      <c r="G375" s="653"/>
      <c r="H375" s="653"/>
      <c r="I375" s="653"/>
      <c r="J375" s="853"/>
      <c r="K375" s="805"/>
      <c r="L375" s="791"/>
      <c r="M375" s="778"/>
    </row>
    <row r="376" spans="1:13" ht="15.5" hidden="1" x14ac:dyDescent="0.35">
      <c r="A376" s="904"/>
      <c r="B376" s="791"/>
      <c r="C376" s="798"/>
      <c r="D376" s="814"/>
      <c r="E376" s="851"/>
      <c r="F376" s="852"/>
      <c r="G376" s="653"/>
      <c r="H376" s="653"/>
      <c r="I376" s="653"/>
      <c r="J376" s="853"/>
      <c r="K376" s="805"/>
      <c r="L376" s="791"/>
      <c r="M376" s="778"/>
    </row>
    <row r="377" spans="1:13" ht="15.5" hidden="1" x14ac:dyDescent="0.35">
      <c r="A377" s="904"/>
      <c r="B377" s="791"/>
      <c r="C377" s="798"/>
      <c r="D377" s="814"/>
      <c r="E377" s="851"/>
      <c r="F377" s="820"/>
      <c r="G377" s="654"/>
      <c r="H377" s="654"/>
      <c r="I377" s="654"/>
      <c r="J377" s="821"/>
      <c r="K377" s="805"/>
      <c r="L377" s="791"/>
      <c r="M377" s="778"/>
    </row>
    <row r="378" spans="1:13" ht="15.5" hidden="1" x14ac:dyDescent="0.35">
      <c r="A378" s="904"/>
      <c r="B378" s="791"/>
      <c r="C378" s="798"/>
      <c r="D378" s="814"/>
      <c r="E378" s="851"/>
      <c r="F378" s="820"/>
      <c r="G378" s="654"/>
      <c r="H378" s="654"/>
      <c r="I378" s="654"/>
      <c r="J378" s="821"/>
      <c r="K378" s="805"/>
      <c r="L378" s="791"/>
      <c r="M378" s="778"/>
    </row>
    <row r="379" spans="1:13" ht="14.15" customHeight="1" x14ac:dyDescent="0.35">
      <c r="A379" s="904"/>
      <c r="B379" s="791"/>
      <c r="C379" s="798"/>
      <c r="D379" s="822" t="str">
        <f>$D$6</f>
        <v xml:space="preserve"> Change, %</v>
      </c>
      <c r="E379" s="823"/>
      <c r="F379" s="808">
        <f>IF(AND(ISNUMBER(F364),ISNUMBER($H364)),(F364-$H364)/IF($H364=0,0.00001,ABS($H364))*100,"")</f>
        <v>0</v>
      </c>
      <c r="G379" s="809">
        <f>IF(AND(ISNUMBER(G364),ISNUMBER($H364)),(G364-$H364)/IF($H364=0,0.00001,ABS($H364))*100,"")</f>
        <v>0</v>
      </c>
      <c r="H379" s="809">
        <v>0</v>
      </c>
      <c r="I379" s="809">
        <f>IF(AND(ISNUMBER(I364),ISNUMBER($H364)),(I364-$H364)/IF($H364=0,0.00001,ABS($H364))*100,"")</f>
        <v>0</v>
      </c>
      <c r="J379" s="811">
        <f>IF(AND(ISNUMBER(J364),ISNUMBER($H364)),(J364-$H364)/IF($H364=0,0.00001,ABS($H364))*100,"")</f>
        <v>0</v>
      </c>
      <c r="K379" s="805"/>
      <c r="L379" s="791"/>
      <c r="M379" s="778"/>
    </row>
    <row r="380" spans="1:13" ht="13" customHeight="1" x14ac:dyDescent="0.35">
      <c r="A380" s="904"/>
      <c r="B380" s="791"/>
      <c r="C380" s="798"/>
      <c r="D380" s="873"/>
      <c r="E380" s="874"/>
      <c r="F380" s="874"/>
      <c r="G380" s="874"/>
      <c r="H380" s="874"/>
      <c r="I380" s="874"/>
      <c r="J380" s="875"/>
      <c r="K380" s="805"/>
      <c r="L380" s="791"/>
      <c r="M380" s="778"/>
    </row>
    <row r="381" spans="1:13" ht="13" customHeight="1" x14ac:dyDescent="0.35">
      <c r="A381" s="904"/>
      <c r="B381" s="791"/>
      <c r="C381" s="798"/>
      <c r="D381" s="876"/>
      <c r="E381" s="826"/>
      <c r="F381" s="826"/>
      <c r="G381" s="826"/>
      <c r="H381" s="826"/>
      <c r="I381" s="826"/>
      <c r="J381" s="877"/>
      <c r="K381" s="805"/>
      <c r="L381" s="791"/>
      <c r="M381" s="778"/>
    </row>
    <row r="382" spans="1:13" ht="13" customHeight="1" x14ac:dyDescent="0.35">
      <c r="A382" s="904"/>
      <c r="B382" s="791"/>
      <c r="C382" s="798"/>
      <c r="D382" s="876"/>
      <c r="E382" s="826"/>
      <c r="F382" s="826"/>
      <c r="G382" s="826"/>
      <c r="H382" s="826"/>
      <c r="I382" s="826"/>
      <c r="J382" s="877"/>
      <c r="K382" s="805"/>
      <c r="L382" s="791"/>
      <c r="M382" s="778"/>
    </row>
    <row r="383" spans="1:13" ht="13" customHeight="1" x14ac:dyDescent="0.35">
      <c r="A383" s="904"/>
      <c r="B383" s="791"/>
      <c r="C383" s="798"/>
      <c r="D383" s="876"/>
      <c r="E383" s="826"/>
      <c r="F383" s="826"/>
      <c r="G383" s="826"/>
      <c r="H383" s="826"/>
      <c r="I383" s="826"/>
      <c r="J383" s="877"/>
      <c r="K383" s="805"/>
      <c r="L383" s="791"/>
      <c r="M383" s="778"/>
    </row>
    <row r="384" spans="1:13" ht="13" customHeight="1" x14ac:dyDescent="0.35">
      <c r="A384" s="904"/>
      <c r="B384" s="791"/>
      <c r="C384" s="798"/>
      <c r="D384" s="876"/>
      <c r="E384" s="826"/>
      <c r="F384" s="826"/>
      <c r="G384" s="826"/>
      <c r="H384" s="826"/>
      <c r="I384" s="826"/>
      <c r="J384" s="877"/>
      <c r="K384" s="805"/>
      <c r="L384" s="791"/>
      <c r="M384" s="778"/>
    </row>
    <row r="385" spans="1:13" ht="13" customHeight="1" x14ac:dyDescent="0.35">
      <c r="A385" s="904"/>
      <c r="B385" s="791"/>
      <c r="C385" s="798"/>
      <c r="D385" s="876"/>
      <c r="E385" s="826"/>
      <c r="F385" s="826"/>
      <c r="G385" s="826"/>
      <c r="H385" s="826"/>
      <c r="I385" s="826"/>
      <c r="J385" s="877"/>
      <c r="K385" s="805"/>
      <c r="L385" s="791"/>
      <c r="M385" s="778"/>
    </row>
    <row r="386" spans="1:13" ht="13" customHeight="1" x14ac:dyDescent="0.35">
      <c r="A386" s="904"/>
      <c r="B386" s="791"/>
      <c r="C386" s="798"/>
      <c r="D386" s="876"/>
      <c r="E386" s="826"/>
      <c r="F386" s="826"/>
      <c r="G386" s="826"/>
      <c r="H386" s="826"/>
      <c r="I386" s="826"/>
      <c r="J386" s="877"/>
      <c r="K386" s="805"/>
      <c r="L386" s="791"/>
      <c r="M386" s="778"/>
    </row>
    <row r="387" spans="1:13" ht="13" customHeight="1" x14ac:dyDescent="0.35">
      <c r="A387" s="904"/>
      <c r="B387" s="791"/>
      <c r="C387" s="798"/>
      <c r="D387" s="876"/>
      <c r="E387" s="826"/>
      <c r="F387" s="826"/>
      <c r="G387" s="826"/>
      <c r="H387" s="826"/>
      <c r="I387" s="826"/>
      <c r="J387" s="877"/>
      <c r="K387" s="805"/>
      <c r="L387" s="791"/>
      <c r="M387" s="778"/>
    </row>
    <row r="388" spans="1:13" ht="13" customHeight="1" x14ac:dyDescent="0.35">
      <c r="A388" s="904"/>
      <c r="B388" s="791"/>
      <c r="C388" s="798"/>
      <c r="D388" s="876"/>
      <c r="E388" s="826"/>
      <c r="F388" s="826"/>
      <c r="G388" s="826"/>
      <c r="H388" s="826"/>
      <c r="I388" s="826"/>
      <c r="J388" s="877"/>
      <c r="K388" s="805"/>
      <c r="L388" s="791"/>
      <c r="M388" s="778"/>
    </row>
    <row r="389" spans="1:13" ht="13" customHeight="1" x14ac:dyDescent="0.35">
      <c r="A389" s="904"/>
      <c r="B389" s="791"/>
      <c r="C389" s="798"/>
      <c r="D389" s="876"/>
      <c r="E389" s="826"/>
      <c r="F389" s="826"/>
      <c r="G389" s="826"/>
      <c r="H389" s="826"/>
      <c r="I389" s="826"/>
      <c r="J389" s="877"/>
      <c r="K389" s="805"/>
      <c r="L389" s="791"/>
      <c r="M389" s="778"/>
    </row>
    <row r="390" spans="1:13" ht="13" customHeight="1" x14ac:dyDescent="0.35">
      <c r="A390" s="904"/>
      <c r="B390" s="791"/>
      <c r="C390" s="798"/>
      <c r="D390" s="876"/>
      <c r="E390" s="826"/>
      <c r="F390" s="826"/>
      <c r="G390" s="826"/>
      <c r="H390" s="826"/>
      <c r="I390" s="826"/>
      <c r="J390" s="877"/>
      <c r="K390" s="805"/>
      <c r="L390" s="791"/>
      <c r="M390" s="778"/>
    </row>
    <row r="391" spans="1:13" ht="13" customHeight="1" x14ac:dyDescent="0.35">
      <c r="A391" s="904"/>
      <c r="B391" s="791"/>
      <c r="C391" s="798"/>
      <c r="D391" s="876"/>
      <c r="E391" s="826"/>
      <c r="F391" s="826"/>
      <c r="G391" s="826"/>
      <c r="H391" s="826"/>
      <c r="I391" s="826"/>
      <c r="J391" s="877"/>
      <c r="K391" s="805"/>
      <c r="L391" s="791"/>
      <c r="M391" s="778"/>
    </row>
    <row r="392" spans="1:13" ht="13" customHeight="1" x14ac:dyDescent="0.35">
      <c r="A392" s="904"/>
      <c r="B392" s="791"/>
      <c r="C392" s="798"/>
      <c r="D392" s="876"/>
      <c r="E392" s="826"/>
      <c r="F392" s="826"/>
      <c r="G392" s="826"/>
      <c r="H392" s="826"/>
      <c r="I392" s="826"/>
      <c r="J392" s="877"/>
      <c r="K392" s="805"/>
      <c r="L392" s="791"/>
      <c r="M392" s="778"/>
    </row>
    <row r="393" spans="1:13" ht="13" customHeight="1" x14ac:dyDescent="0.35">
      <c r="A393" s="904"/>
      <c r="B393" s="791"/>
      <c r="C393" s="798"/>
      <c r="D393" s="878"/>
      <c r="E393" s="879"/>
      <c r="F393" s="879"/>
      <c r="G393" s="879"/>
      <c r="H393" s="879"/>
      <c r="I393" s="879"/>
      <c r="J393" s="880"/>
      <c r="K393" s="805"/>
      <c r="L393" s="791"/>
      <c r="M393" s="778"/>
    </row>
    <row r="394" spans="1:13" ht="16" customHeight="1" x14ac:dyDescent="0.35">
      <c r="A394" s="904"/>
      <c r="B394" s="791"/>
      <c r="C394" s="798"/>
      <c r="D394" s="827" t="str">
        <f>$D$78</f>
        <v xml:space="preserve"> Key financials</v>
      </c>
      <c r="E394" s="881" t="str">
        <f>FinYearR05</f>
        <v>12/2019</v>
      </c>
      <c r="F394" s="885">
        <f>F362</f>
        <v>-20</v>
      </c>
      <c r="G394" s="886">
        <f>G362</f>
        <v>-10</v>
      </c>
      <c r="H394" s="886">
        <f>H362</f>
        <v>0</v>
      </c>
      <c r="I394" s="886">
        <f>I362</f>
        <v>10</v>
      </c>
      <c r="J394" s="887">
        <f>J362</f>
        <v>20</v>
      </c>
      <c r="K394" s="805"/>
      <c r="L394" s="791"/>
      <c r="M394" s="778"/>
    </row>
    <row r="395" spans="1:13" ht="16" customHeight="1" x14ac:dyDescent="0.35">
      <c r="A395" s="904"/>
      <c r="B395" s="791"/>
      <c r="C395" s="798"/>
      <c r="D395" s="827" t="str">
        <f>" "&amp;INDEX(RatiosDD,Analysis05Ratio01)</f>
        <v xml:space="preserve"> EBITDA; Operating income before depreciation, Euro</v>
      </c>
      <c r="E395" s="832"/>
      <c r="F395" s="836" t="s">
        <v>45</v>
      </c>
      <c r="G395" s="837"/>
      <c r="H395" s="837"/>
      <c r="I395" s="837"/>
      <c r="J395" s="838"/>
      <c r="K395" s="805"/>
      <c r="L395" s="791"/>
      <c r="M395" s="778"/>
    </row>
    <row r="396" spans="1:13" ht="16" customHeight="1" x14ac:dyDescent="0.35">
      <c r="A396" s="904"/>
      <c r="B396" s="791"/>
      <c r="C396" s="798"/>
      <c r="D396" s="827" t="str">
        <f>" "&amp;INDEX(RatiosDD,Analysis05Ratio02)</f>
        <v xml:space="preserve"> EBITDA, %</v>
      </c>
      <c r="E396" s="832"/>
      <c r="F396" s="860"/>
      <c r="G396" s="861"/>
      <c r="H396" s="861"/>
      <c r="I396" s="861"/>
      <c r="J396" s="862"/>
      <c r="K396" s="805"/>
      <c r="L396" s="791"/>
      <c r="M396" s="778"/>
    </row>
    <row r="397" spans="1:13" ht="16" customHeight="1" x14ac:dyDescent="0.35">
      <c r="A397" s="904"/>
      <c r="B397" s="791"/>
      <c r="C397" s="798"/>
      <c r="D397" s="827" t="str">
        <f>" "&amp;INDEX(RatiosDD,Analysis05Ratio03)</f>
        <v xml:space="preserve"> EBIT; Operating income, Euro</v>
      </c>
      <c r="E397" s="832"/>
      <c r="F397" s="833"/>
      <c r="G397" s="834"/>
      <c r="H397" s="834"/>
      <c r="I397" s="834"/>
      <c r="J397" s="835"/>
      <c r="K397" s="805"/>
      <c r="L397" s="791"/>
      <c r="M397" s="778"/>
    </row>
    <row r="398" spans="1:13" ht="16" customHeight="1" x14ac:dyDescent="0.35">
      <c r="A398" s="904"/>
      <c r="B398" s="791"/>
      <c r="C398" s="798"/>
      <c r="D398" s="827" t="str">
        <f>" "&amp;INDEX(RatiosDD,Analysis05Ratio04)</f>
        <v xml:space="preserve"> EBIT, %</v>
      </c>
      <c r="E398" s="832"/>
      <c r="F398" s="836"/>
      <c r="G398" s="837"/>
      <c r="H398" s="837"/>
      <c r="I398" s="837"/>
      <c r="J398" s="838"/>
      <c r="K398" s="805"/>
      <c r="L398" s="791"/>
      <c r="M398" s="778"/>
    </row>
    <row r="399" spans="1:13" ht="16" customHeight="1" x14ac:dyDescent="0.35">
      <c r="A399" s="904"/>
      <c r="B399" s="791"/>
      <c r="C399" s="798"/>
      <c r="D399" s="827" t="str">
        <f>" "&amp;INDEX(RatiosDD,Analysis05Ratio05)</f>
        <v xml:space="preserve"> Return on net assets (RONA), %</v>
      </c>
      <c r="E399" s="832"/>
      <c r="F399" s="836"/>
      <c r="G399" s="837"/>
      <c r="H399" s="837"/>
      <c r="I399" s="837"/>
      <c r="J399" s="838"/>
      <c r="K399" s="805"/>
      <c r="L399" s="791"/>
      <c r="M399" s="778"/>
    </row>
    <row r="400" spans="1:13" ht="16" customHeight="1" x14ac:dyDescent="0.35">
      <c r="A400" s="904"/>
      <c r="B400" s="791"/>
      <c r="C400" s="798"/>
      <c r="D400" s="827" t="str">
        <f>" "&amp;INDEX(RatiosDD,Analysis05Ratio06)</f>
        <v xml:space="preserve"> Economic Value Added (EVA), Euro</v>
      </c>
      <c r="E400" s="832"/>
      <c r="F400" s="833"/>
      <c r="G400" s="834"/>
      <c r="H400" s="834"/>
      <c r="I400" s="834"/>
      <c r="J400" s="835"/>
      <c r="K400" s="805"/>
      <c r="L400" s="791"/>
      <c r="M400" s="778"/>
    </row>
    <row r="401" spans="1:13" ht="5.15" customHeight="1" x14ac:dyDescent="0.35">
      <c r="A401" s="904"/>
      <c r="B401" s="791"/>
      <c r="C401" s="839"/>
      <c r="D401" s="840"/>
      <c r="E401" s="840"/>
      <c r="F401" s="840"/>
      <c r="G401" s="840"/>
      <c r="H401" s="840"/>
      <c r="I401" s="840"/>
      <c r="J401" s="840"/>
      <c r="K401" s="841"/>
      <c r="L401" s="791"/>
      <c r="M401" s="778"/>
    </row>
    <row r="402" spans="1:13" ht="5.15" customHeight="1" x14ac:dyDescent="0.35">
      <c r="A402" s="904"/>
      <c r="B402" s="791"/>
      <c r="C402" s="791"/>
      <c r="D402" s="791"/>
      <c r="E402" s="791"/>
      <c r="F402" s="791"/>
      <c r="G402" s="791"/>
      <c r="H402" s="791"/>
      <c r="I402" s="791"/>
      <c r="J402" s="791"/>
      <c r="K402" s="791"/>
      <c r="L402" s="791"/>
      <c r="M402" s="778"/>
    </row>
    <row r="403" spans="1:13" ht="15.5" x14ac:dyDescent="0.35">
      <c r="A403" s="904"/>
      <c r="B403" s="285"/>
      <c r="C403" s="285"/>
      <c r="D403" s="285"/>
      <c r="E403" s="285"/>
      <c r="F403" s="285"/>
      <c r="G403" s="285"/>
      <c r="H403" s="285"/>
      <c r="I403" s="285"/>
      <c r="J403" s="285"/>
      <c r="K403" s="285"/>
      <c r="L403" s="285"/>
      <c r="M403" s="778"/>
    </row>
    <row r="404" spans="1:13" ht="5.15" customHeight="1" x14ac:dyDescent="0.35">
      <c r="A404" s="904"/>
      <c r="B404" s="285"/>
      <c r="C404" s="285"/>
      <c r="D404" s="285"/>
      <c r="E404" s="285"/>
      <c r="F404" s="285"/>
      <c r="G404" s="285"/>
      <c r="H404" s="285"/>
      <c r="I404" s="285"/>
      <c r="J404" s="285"/>
      <c r="K404" s="285"/>
      <c r="L404" s="285"/>
      <c r="M404" s="778"/>
    </row>
    <row r="405" spans="1:13" ht="15" customHeight="1" x14ac:dyDescent="0.35">
      <c r="A405" s="904" t="s">
        <v>4973</v>
      </c>
      <c r="B405" s="791"/>
      <c r="C405" s="792" t="str">
        <f>$C$221&amp;" 5"</f>
        <v>Variable´s impact on profitability 5</v>
      </c>
      <c r="D405" s="793"/>
      <c r="E405" s="793"/>
      <c r="F405" s="793"/>
      <c r="G405" s="793"/>
      <c r="H405" s="793"/>
      <c r="I405" s="793"/>
      <c r="J405" s="793"/>
      <c r="K405" s="794"/>
      <c r="L405" s="791"/>
      <c r="M405" s="778"/>
    </row>
    <row r="406" spans="1:13" ht="5.15" customHeight="1" x14ac:dyDescent="0.35">
      <c r="A406" s="904"/>
      <c r="B406" s="791"/>
      <c r="C406" s="863"/>
      <c r="D406" s="864"/>
      <c r="E406" s="864"/>
      <c r="F406" s="784">
        <f ca="1">1+(OFFSET(F406,2,0)/100)</f>
        <v>0.8</v>
      </c>
      <c r="G406" s="784">
        <f ca="1">(1+(OFFSET(G406,2,0)/100))/F406</f>
        <v>1.125</v>
      </c>
      <c r="H406" s="865"/>
      <c r="I406" s="784">
        <f ca="1">(1+(OFFSET(I406,2,0)/100))/(1+(OFFSET(G406,2,0)/100))</f>
        <v>1.2222222222222223</v>
      </c>
      <c r="J406" s="784">
        <f ca="1">(1+(OFFSET(J406,2,0)/100))/(1+(OFFSET(I406,2,0)/100))</f>
        <v>1.0909090909090908</v>
      </c>
      <c r="K406" s="866"/>
      <c r="L406" s="791"/>
      <c r="M406" s="778"/>
    </row>
    <row r="407" spans="1:13" ht="16" customHeight="1" x14ac:dyDescent="0.35">
      <c r="A407" s="904"/>
      <c r="B407" s="791"/>
      <c r="C407" s="798"/>
      <c r="D407" s="827" t="str">
        <f>$D$223</f>
        <v xml:space="preserve"> Variable</v>
      </c>
      <c r="E407" s="892"/>
      <c r="F407" s="827" t="str">
        <f ca="1">" "&amp;OFFSET(VarListAnalysis!$C$1,IncVar5,0)</f>
        <v xml:space="preserve"> &lt; Not in use &gt;</v>
      </c>
      <c r="G407" s="893"/>
      <c r="H407" s="893"/>
      <c r="I407" s="893"/>
      <c r="J407" s="832"/>
      <c r="K407" s="805"/>
      <c r="L407" s="791"/>
      <c r="M407" s="894" t="str">
        <f ca="1">VarRowsTxt</f>
        <v>Show row numbers</v>
      </c>
    </row>
    <row r="408" spans="1:13" ht="15" customHeight="1" x14ac:dyDescent="0.35">
      <c r="A408" s="904"/>
      <c r="B408" s="791"/>
      <c r="C408" s="798"/>
      <c r="D408" s="843" t="str">
        <f>$D$224</f>
        <v xml:space="preserve"> Change in value, %</v>
      </c>
      <c r="E408" s="905"/>
      <c r="F408" s="895">
        <v>-20</v>
      </c>
      <c r="G408" s="896">
        <v>-10</v>
      </c>
      <c r="H408" s="897">
        <v>0</v>
      </c>
      <c r="I408" s="896">
        <v>10</v>
      </c>
      <c r="J408" s="898">
        <v>20</v>
      </c>
      <c r="K408" s="805"/>
      <c r="L408" s="791"/>
      <c r="M408" s="778"/>
    </row>
    <row r="409" spans="1:13" ht="16" customHeight="1" x14ac:dyDescent="0.35">
      <c r="A409" s="904"/>
      <c r="B409" s="791"/>
      <c r="C409" s="798"/>
      <c r="D409" s="899" t="str">
        <f>$D$225</f>
        <v xml:space="preserve"> Sample value</v>
      </c>
      <c r="E409" s="900"/>
      <c r="F409" s="901">
        <f>$H409*(1+F408/100)</f>
        <v>0</v>
      </c>
      <c r="G409" s="902">
        <f>$H409*(1+G408/100)</f>
        <v>0</v>
      </c>
      <c r="H409" s="902">
        <f>IF(ISERROR(Specs!$B$12),0,Specs!$B$12)</f>
        <v>0</v>
      </c>
      <c r="I409" s="902">
        <f>$H409*(1+I408/100)</f>
        <v>0</v>
      </c>
      <c r="J409" s="903">
        <f>$H409*(1+J408/100)</f>
        <v>0</v>
      </c>
      <c r="K409" s="805"/>
      <c r="L409" s="791"/>
      <c r="M409" s="778"/>
    </row>
    <row r="410" spans="1:13" ht="16" customHeight="1" x14ac:dyDescent="0.35">
      <c r="A410" s="904"/>
      <c r="B410" s="791"/>
      <c r="C410" s="798"/>
      <c r="D410" s="812" t="str">
        <f>$D$48</f>
        <v xml:space="preserve"> Net Present Value (NPV)</v>
      </c>
      <c r="E410" s="850"/>
      <c r="F410" s="1217">
        <v>0</v>
      </c>
      <c r="G410" s="1218">
        <v>0</v>
      </c>
      <c r="H410" s="1219">
        <v>0</v>
      </c>
      <c r="I410" s="1220">
        <v>0</v>
      </c>
      <c r="J410" s="1221">
        <v>0</v>
      </c>
      <c r="K410" s="805"/>
      <c r="L410" s="791"/>
      <c r="M410" s="778"/>
    </row>
    <row r="411" spans="1:13" ht="15.5" hidden="1" x14ac:dyDescent="0.35">
      <c r="A411" s="904"/>
      <c r="B411" s="791"/>
      <c r="C411" s="798"/>
      <c r="D411" s="814"/>
      <c r="E411" s="851"/>
      <c r="F411" s="816"/>
      <c r="G411" s="650"/>
      <c r="H411" s="650"/>
      <c r="I411" s="650"/>
      <c r="J411" s="817"/>
      <c r="K411" s="805"/>
      <c r="L411" s="791"/>
      <c r="M411" s="778"/>
    </row>
    <row r="412" spans="1:13" ht="15.5" hidden="1" x14ac:dyDescent="0.35">
      <c r="A412" s="904"/>
      <c r="B412" s="791"/>
      <c r="C412" s="798"/>
      <c r="D412" s="814"/>
      <c r="E412" s="851"/>
      <c r="F412" s="852"/>
      <c r="G412" s="653"/>
      <c r="H412" s="653"/>
      <c r="I412" s="653"/>
      <c r="J412" s="853"/>
      <c r="K412" s="805"/>
      <c r="L412" s="791"/>
      <c r="M412" s="778"/>
    </row>
    <row r="413" spans="1:13" ht="15.5" hidden="1" x14ac:dyDescent="0.35">
      <c r="A413" s="904"/>
      <c r="B413" s="791"/>
      <c r="C413" s="798"/>
      <c r="D413" s="814"/>
      <c r="E413" s="851"/>
      <c r="F413" s="852"/>
      <c r="G413" s="653"/>
      <c r="H413" s="653"/>
      <c r="I413" s="653"/>
      <c r="J413" s="853"/>
      <c r="K413" s="805"/>
      <c r="L413" s="791"/>
      <c r="M413" s="778"/>
    </row>
    <row r="414" spans="1:13" ht="15.5" hidden="1" x14ac:dyDescent="0.35">
      <c r="A414" s="904"/>
      <c r="B414" s="791"/>
      <c r="C414" s="798"/>
      <c r="D414" s="814"/>
      <c r="E414" s="851"/>
      <c r="F414" s="852"/>
      <c r="G414" s="653"/>
      <c r="H414" s="653"/>
      <c r="I414" s="653"/>
      <c r="J414" s="853"/>
      <c r="K414" s="805"/>
      <c r="L414" s="791"/>
      <c r="M414" s="778"/>
    </row>
    <row r="415" spans="1:13" ht="15.5" hidden="1" x14ac:dyDescent="0.35">
      <c r="A415" s="904"/>
      <c r="B415" s="791"/>
      <c r="C415" s="798"/>
      <c r="D415" s="814"/>
      <c r="E415" s="851"/>
      <c r="F415" s="818"/>
      <c r="G415" s="652"/>
      <c r="H415" s="652"/>
      <c r="I415" s="652"/>
      <c r="J415" s="819"/>
      <c r="K415" s="805"/>
      <c r="L415" s="791"/>
      <c r="M415" s="778"/>
    </row>
    <row r="416" spans="1:13" ht="15.5" hidden="1" x14ac:dyDescent="0.35">
      <c r="A416" s="904"/>
      <c r="B416" s="791"/>
      <c r="C416" s="798"/>
      <c r="D416" s="814"/>
      <c r="E416" s="851"/>
      <c r="F416" s="816"/>
      <c r="G416" s="650"/>
      <c r="H416" s="650"/>
      <c r="I416" s="650"/>
      <c r="J416" s="817"/>
      <c r="K416" s="805"/>
      <c r="L416" s="791"/>
      <c r="M416" s="778"/>
    </row>
    <row r="417" spans="1:13" ht="15.5" hidden="1" x14ac:dyDescent="0.35">
      <c r="A417" s="904"/>
      <c r="B417" s="791"/>
      <c r="C417" s="798"/>
      <c r="D417" s="814"/>
      <c r="E417" s="851"/>
      <c r="F417" s="820"/>
      <c r="G417" s="654"/>
      <c r="H417" s="654"/>
      <c r="I417" s="654"/>
      <c r="J417" s="821"/>
      <c r="K417" s="805"/>
      <c r="L417" s="791"/>
      <c r="M417" s="778"/>
    </row>
    <row r="418" spans="1:13" ht="15.5" hidden="1" x14ac:dyDescent="0.35">
      <c r="A418" s="904"/>
      <c r="B418" s="791"/>
      <c r="C418" s="798"/>
      <c r="D418" s="814"/>
      <c r="E418" s="851"/>
      <c r="F418" s="820"/>
      <c r="G418" s="654"/>
      <c r="H418" s="654"/>
      <c r="I418" s="654"/>
      <c r="J418" s="821"/>
      <c r="K418" s="805"/>
      <c r="L418" s="791"/>
      <c r="M418" s="778"/>
    </row>
    <row r="419" spans="1:13" ht="15.5" hidden="1" x14ac:dyDescent="0.35">
      <c r="A419" s="904"/>
      <c r="B419" s="791"/>
      <c r="C419" s="798"/>
      <c r="D419" s="814"/>
      <c r="E419" s="851"/>
      <c r="F419" s="816"/>
      <c r="G419" s="650"/>
      <c r="H419" s="650"/>
      <c r="I419" s="650"/>
      <c r="J419" s="817"/>
      <c r="K419" s="805"/>
      <c r="L419" s="791"/>
      <c r="M419" s="778"/>
    </row>
    <row r="420" spans="1:13" ht="15.5" hidden="1" x14ac:dyDescent="0.35">
      <c r="A420" s="904"/>
      <c r="B420" s="791"/>
      <c r="C420" s="798"/>
      <c r="D420" s="814"/>
      <c r="E420" s="851"/>
      <c r="F420" s="852"/>
      <c r="G420" s="653"/>
      <c r="H420" s="653"/>
      <c r="I420" s="653"/>
      <c r="J420" s="853"/>
      <c r="K420" s="805"/>
      <c r="L420" s="791"/>
      <c r="M420" s="778"/>
    </row>
    <row r="421" spans="1:13" ht="15.5" hidden="1" x14ac:dyDescent="0.35">
      <c r="A421" s="904"/>
      <c r="B421" s="791"/>
      <c r="C421" s="798"/>
      <c r="D421" s="814"/>
      <c r="E421" s="851"/>
      <c r="F421" s="852"/>
      <c r="G421" s="653"/>
      <c r="H421" s="653"/>
      <c r="I421" s="653"/>
      <c r="J421" s="853"/>
      <c r="K421" s="805"/>
      <c r="L421" s="791"/>
      <c r="M421" s="778"/>
    </row>
    <row r="422" spans="1:13" ht="15.5" hidden="1" x14ac:dyDescent="0.35">
      <c r="A422" s="904"/>
      <c r="B422" s="791"/>
      <c r="C422" s="798"/>
      <c r="D422" s="814"/>
      <c r="E422" s="851"/>
      <c r="F422" s="852"/>
      <c r="G422" s="653"/>
      <c r="H422" s="653"/>
      <c r="I422" s="653"/>
      <c r="J422" s="853"/>
      <c r="K422" s="805"/>
      <c r="L422" s="791"/>
      <c r="M422" s="778"/>
    </row>
    <row r="423" spans="1:13" ht="15.5" hidden="1" x14ac:dyDescent="0.35">
      <c r="A423" s="904"/>
      <c r="B423" s="791"/>
      <c r="C423" s="798"/>
      <c r="D423" s="814"/>
      <c r="E423" s="851"/>
      <c r="F423" s="820"/>
      <c r="G423" s="654"/>
      <c r="H423" s="654"/>
      <c r="I423" s="654"/>
      <c r="J423" s="821"/>
      <c r="K423" s="805"/>
      <c r="L423" s="791"/>
      <c r="M423" s="778"/>
    </row>
    <row r="424" spans="1:13" ht="15.5" hidden="1" x14ac:dyDescent="0.35">
      <c r="A424" s="904"/>
      <c r="B424" s="791"/>
      <c r="C424" s="798"/>
      <c r="D424" s="814"/>
      <c r="E424" s="851"/>
      <c r="F424" s="820"/>
      <c r="G424" s="654"/>
      <c r="H424" s="654"/>
      <c r="I424" s="654"/>
      <c r="J424" s="821"/>
      <c r="K424" s="805"/>
      <c r="L424" s="791"/>
      <c r="M424" s="778"/>
    </row>
    <row r="425" spans="1:13" ht="14.15" customHeight="1" x14ac:dyDescent="0.35">
      <c r="A425" s="904"/>
      <c r="B425" s="791"/>
      <c r="C425" s="798"/>
      <c r="D425" s="822" t="str">
        <f>$D$6</f>
        <v xml:space="preserve"> Change, %</v>
      </c>
      <c r="E425" s="823"/>
      <c r="F425" s="808">
        <f>IF(AND(ISNUMBER(F410),ISNUMBER($H410)),(F410-$H410)/IF($H410=0,0.00001,ABS($H410))*100,"")</f>
        <v>0</v>
      </c>
      <c r="G425" s="809">
        <f>IF(AND(ISNUMBER(G410),ISNUMBER($H410)),(G410-$H410)/IF($H410=0,0.00001,ABS($H410))*100,"")</f>
        <v>0</v>
      </c>
      <c r="H425" s="809">
        <v>0</v>
      </c>
      <c r="I425" s="809">
        <f>IF(AND(ISNUMBER(I410),ISNUMBER($H410)),(I410-$H410)/IF($H410=0,0.00001,ABS($H410))*100,"")</f>
        <v>0</v>
      </c>
      <c r="J425" s="811">
        <f>IF(AND(ISNUMBER(J410),ISNUMBER($H410)),(J410-$H410)/IF($H410=0,0.00001,ABS($H410))*100,"")</f>
        <v>0</v>
      </c>
      <c r="K425" s="805"/>
      <c r="L425" s="791"/>
      <c r="M425" s="778"/>
    </row>
    <row r="426" spans="1:13" ht="13" customHeight="1" x14ac:dyDescent="0.35">
      <c r="A426" s="904"/>
      <c r="B426" s="791"/>
      <c r="C426" s="798"/>
      <c r="D426" s="873"/>
      <c r="E426" s="874"/>
      <c r="F426" s="874"/>
      <c r="G426" s="874"/>
      <c r="H426" s="874"/>
      <c r="I426" s="874"/>
      <c r="J426" s="875"/>
      <c r="K426" s="805"/>
      <c r="L426" s="791"/>
      <c r="M426" s="778"/>
    </row>
    <row r="427" spans="1:13" ht="13" customHeight="1" x14ac:dyDescent="0.35">
      <c r="A427" s="904"/>
      <c r="B427" s="791"/>
      <c r="C427" s="798"/>
      <c r="D427" s="876"/>
      <c r="E427" s="826"/>
      <c r="F427" s="826"/>
      <c r="G427" s="826"/>
      <c r="H427" s="826"/>
      <c r="I427" s="826"/>
      <c r="J427" s="877"/>
      <c r="K427" s="805"/>
      <c r="L427" s="791"/>
      <c r="M427" s="778"/>
    </row>
    <row r="428" spans="1:13" ht="13" customHeight="1" x14ac:dyDescent="0.35">
      <c r="A428" s="904"/>
      <c r="B428" s="791"/>
      <c r="C428" s="798"/>
      <c r="D428" s="876"/>
      <c r="E428" s="826"/>
      <c r="F428" s="826"/>
      <c r="G428" s="826"/>
      <c r="H428" s="826"/>
      <c r="I428" s="826"/>
      <c r="J428" s="877"/>
      <c r="K428" s="805"/>
      <c r="L428" s="791"/>
      <c r="M428" s="778"/>
    </row>
    <row r="429" spans="1:13" ht="13" customHeight="1" x14ac:dyDescent="0.35">
      <c r="A429" s="904"/>
      <c r="B429" s="791"/>
      <c r="C429" s="798"/>
      <c r="D429" s="876"/>
      <c r="E429" s="826"/>
      <c r="F429" s="826"/>
      <c r="G429" s="826"/>
      <c r="H429" s="826"/>
      <c r="I429" s="826"/>
      <c r="J429" s="877"/>
      <c r="K429" s="805"/>
      <c r="L429" s="791"/>
      <c r="M429" s="778"/>
    </row>
    <row r="430" spans="1:13" ht="13" customHeight="1" x14ac:dyDescent="0.35">
      <c r="A430" s="904"/>
      <c r="B430" s="791"/>
      <c r="C430" s="798"/>
      <c r="D430" s="876"/>
      <c r="E430" s="826"/>
      <c r="F430" s="826"/>
      <c r="G430" s="826"/>
      <c r="H430" s="826"/>
      <c r="I430" s="826"/>
      <c r="J430" s="877"/>
      <c r="K430" s="805"/>
      <c r="L430" s="791"/>
      <c r="M430" s="778"/>
    </row>
    <row r="431" spans="1:13" ht="13" customHeight="1" x14ac:dyDescent="0.35">
      <c r="A431" s="904"/>
      <c r="B431" s="791"/>
      <c r="C431" s="798"/>
      <c r="D431" s="876"/>
      <c r="E431" s="826"/>
      <c r="F431" s="826"/>
      <c r="G431" s="826"/>
      <c r="H431" s="826"/>
      <c r="I431" s="826"/>
      <c r="J431" s="877"/>
      <c r="K431" s="805"/>
      <c r="L431" s="791"/>
      <c r="M431" s="778"/>
    </row>
    <row r="432" spans="1:13" ht="13" customHeight="1" x14ac:dyDescent="0.35">
      <c r="A432" s="904"/>
      <c r="B432" s="791"/>
      <c r="C432" s="798"/>
      <c r="D432" s="876"/>
      <c r="E432" s="826"/>
      <c r="F432" s="826"/>
      <c r="G432" s="826"/>
      <c r="H432" s="826"/>
      <c r="I432" s="826"/>
      <c r="J432" s="877"/>
      <c r="K432" s="805"/>
      <c r="L432" s="791"/>
      <c r="M432" s="778"/>
    </row>
    <row r="433" spans="1:13" ht="13" customHeight="1" x14ac:dyDescent="0.35">
      <c r="A433" s="904"/>
      <c r="B433" s="791"/>
      <c r="C433" s="798"/>
      <c r="D433" s="876"/>
      <c r="E433" s="826"/>
      <c r="F433" s="826"/>
      <c r="G433" s="826"/>
      <c r="H433" s="826"/>
      <c r="I433" s="826"/>
      <c r="J433" s="877"/>
      <c r="K433" s="805"/>
      <c r="L433" s="791"/>
      <c r="M433" s="778"/>
    </row>
    <row r="434" spans="1:13" ht="13" customHeight="1" x14ac:dyDescent="0.35">
      <c r="A434" s="904"/>
      <c r="B434" s="791"/>
      <c r="C434" s="798"/>
      <c r="D434" s="876"/>
      <c r="E434" s="826"/>
      <c r="F434" s="826"/>
      <c r="G434" s="826"/>
      <c r="H434" s="826"/>
      <c r="I434" s="826"/>
      <c r="J434" s="877"/>
      <c r="K434" s="805"/>
      <c r="L434" s="791"/>
      <c r="M434" s="778"/>
    </row>
    <row r="435" spans="1:13" ht="13" customHeight="1" x14ac:dyDescent="0.35">
      <c r="A435" s="904"/>
      <c r="B435" s="791"/>
      <c r="C435" s="798"/>
      <c r="D435" s="876"/>
      <c r="E435" s="826"/>
      <c r="F435" s="826"/>
      <c r="G435" s="826"/>
      <c r="H435" s="826"/>
      <c r="I435" s="826"/>
      <c r="J435" s="877"/>
      <c r="K435" s="805"/>
      <c r="L435" s="791"/>
      <c r="M435" s="778"/>
    </row>
    <row r="436" spans="1:13" ht="13" customHeight="1" x14ac:dyDescent="0.35">
      <c r="A436" s="904"/>
      <c r="B436" s="791"/>
      <c r="C436" s="798"/>
      <c r="D436" s="876"/>
      <c r="E436" s="826"/>
      <c r="F436" s="826"/>
      <c r="G436" s="826"/>
      <c r="H436" s="826"/>
      <c r="I436" s="826"/>
      <c r="J436" s="877"/>
      <c r="K436" s="805"/>
      <c r="L436" s="791"/>
      <c r="M436" s="778"/>
    </row>
    <row r="437" spans="1:13" ht="13" customHeight="1" x14ac:dyDescent="0.35">
      <c r="A437" s="904"/>
      <c r="B437" s="791"/>
      <c r="C437" s="798"/>
      <c r="D437" s="876"/>
      <c r="E437" s="826"/>
      <c r="F437" s="826"/>
      <c r="G437" s="826"/>
      <c r="H437" s="826"/>
      <c r="I437" s="826"/>
      <c r="J437" s="877"/>
      <c r="K437" s="805"/>
      <c r="L437" s="791"/>
      <c r="M437" s="778"/>
    </row>
    <row r="438" spans="1:13" ht="13" customHeight="1" x14ac:dyDescent="0.35">
      <c r="A438" s="904"/>
      <c r="B438" s="791"/>
      <c r="C438" s="798"/>
      <c r="D438" s="876"/>
      <c r="E438" s="826"/>
      <c r="F438" s="826"/>
      <c r="G438" s="826"/>
      <c r="H438" s="826"/>
      <c r="I438" s="826"/>
      <c r="J438" s="877"/>
      <c r="K438" s="805"/>
      <c r="L438" s="791"/>
      <c r="M438" s="778"/>
    </row>
    <row r="439" spans="1:13" ht="13" customHeight="1" x14ac:dyDescent="0.35">
      <c r="A439" s="904"/>
      <c r="B439" s="791"/>
      <c r="C439" s="798"/>
      <c r="D439" s="878"/>
      <c r="E439" s="879"/>
      <c r="F439" s="879"/>
      <c r="G439" s="879"/>
      <c r="H439" s="879"/>
      <c r="I439" s="879"/>
      <c r="J439" s="880"/>
      <c r="K439" s="805"/>
      <c r="L439" s="791"/>
      <c r="M439" s="778"/>
    </row>
    <row r="440" spans="1:13" ht="16" customHeight="1" x14ac:dyDescent="0.35">
      <c r="A440" s="904"/>
      <c r="B440" s="791"/>
      <c r="C440" s="798"/>
      <c r="D440" s="827" t="str">
        <f>$D$78</f>
        <v xml:space="preserve"> Key financials</v>
      </c>
      <c r="E440" s="881" t="str">
        <f>FinYearR05</f>
        <v>12/2019</v>
      </c>
      <c r="F440" s="885">
        <f>F408</f>
        <v>-20</v>
      </c>
      <c r="G440" s="886">
        <f>G408</f>
        <v>-10</v>
      </c>
      <c r="H440" s="886">
        <f>H408</f>
        <v>0</v>
      </c>
      <c r="I440" s="886">
        <f>I408</f>
        <v>10</v>
      </c>
      <c r="J440" s="887">
        <f>J408</f>
        <v>20</v>
      </c>
      <c r="K440" s="805"/>
      <c r="L440" s="791"/>
      <c r="M440" s="778"/>
    </row>
    <row r="441" spans="1:13" ht="16" customHeight="1" x14ac:dyDescent="0.35">
      <c r="A441" s="904"/>
      <c r="B441" s="791"/>
      <c r="C441" s="798"/>
      <c r="D441" s="827" t="str">
        <f>" "&amp;INDEX(RatiosDD,Analysis05Ratio01)</f>
        <v xml:space="preserve"> EBITDA; Operating income before depreciation, Euro</v>
      </c>
      <c r="E441" s="832"/>
      <c r="F441" s="836" t="s">
        <v>45</v>
      </c>
      <c r="G441" s="837"/>
      <c r="H441" s="837"/>
      <c r="I441" s="837"/>
      <c r="J441" s="838"/>
      <c r="K441" s="805"/>
      <c r="L441" s="791"/>
      <c r="M441" s="778"/>
    </row>
    <row r="442" spans="1:13" ht="16" customHeight="1" x14ac:dyDescent="0.35">
      <c r="A442" s="904"/>
      <c r="B442" s="791"/>
      <c r="C442" s="798"/>
      <c r="D442" s="827" t="str">
        <f>" "&amp;INDEX(RatiosDD,Analysis05Ratio02)</f>
        <v xml:space="preserve"> EBITDA, %</v>
      </c>
      <c r="E442" s="832"/>
      <c r="F442" s="860"/>
      <c r="G442" s="861"/>
      <c r="H442" s="861"/>
      <c r="I442" s="861"/>
      <c r="J442" s="862"/>
      <c r="K442" s="805"/>
      <c r="L442" s="791"/>
      <c r="M442" s="778"/>
    </row>
    <row r="443" spans="1:13" ht="16" customHeight="1" x14ac:dyDescent="0.35">
      <c r="A443" s="904"/>
      <c r="B443" s="791"/>
      <c r="C443" s="798"/>
      <c r="D443" s="827" t="str">
        <f>" "&amp;INDEX(RatiosDD,Analysis05Ratio03)</f>
        <v xml:space="preserve"> EBIT; Operating income, Euro</v>
      </c>
      <c r="E443" s="832"/>
      <c r="F443" s="833"/>
      <c r="G443" s="834"/>
      <c r="H443" s="834"/>
      <c r="I443" s="834"/>
      <c r="J443" s="835"/>
      <c r="K443" s="805"/>
      <c r="L443" s="791"/>
      <c r="M443" s="778"/>
    </row>
    <row r="444" spans="1:13" ht="16" customHeight="1" x14ac:dyDescent="0.35">
      <c r="A444" s="904"/>
      <c r="B444" s="791"/>
      <c r="C444" s="798"/>
      <c r="D444" s="827" t="str">
        <f>" "&amp;INDEX(RatiosDD,Analysis05Ratio04)</f>
        <v xml:space="preserve"> EBIT, %</v>
      </c>
      <c r="E444" s="832"/>
      <c r="F444" s="836"/>
      <c r="G444" s="837"/>
      <c r="H444" s="837"/>
      <c r="I444" s="837"/>
      <c r="J444" s="838"/>
      <c r="K444" s="805"/>
      <c r="L444" s="791"/>
      <c r="M444" s="778"/>
    </row>
    <row r="445" spans="1:13" ht="16" customHeight="1" x14ac:dyDescent="0.35">
      <c r="A445" s="904"/>
      <c r="B445" s="791"/>
      <c r="C445" s="798"/>
      <c r="D445" s="827" t="str">
        <f>" "&amp;INDEX(RatiosDD,Analysis05Ratio05)</f>
        <v xml:space="preserve"> Return on net assets (RONA), %</v>
      </c>
      <c r="E445" s="832"/>
      <c r="F445" s="836"/>
      <c r="G445" s="837"/>
      <c r="H445" s="837"/>
      <c r="I445" s="837"/>
      <c r="J445" s="838"/>
      <c r="K445" s="805"/>
      <c r="L445" s="791"/>
      <c r="M445" s="778"/>
    </row>
    <row r="446" spans="1:13" ht="16" customHeight="1" x14ac:dyDescent="0.35">
      <c r="A446" s="904"/>
      <c r="B446" s="791"/>
      <c r="C446" s="798"/>
      <c r="D446" s="827" t="str">
        <f>" "&amp;INDEX(RatiosDD,Analysis05Ratio06)</f>
        <v xml:space="preserve"> Economic Value Added (EVA), Euro</v>
      </c>
      <c r="E446" s="832"/>
      <c r="F446" s="833"/>
      <c r="G446" s="834"/>
      <c r="H446" s="834"/>
      <c r="I446" s="834"/>
      <c r="J446" s="835"/>
      <c r="K446" s="805"/>
      <c r="L446" s="791"/>
      <c r="M446" s="778"/>
    </row>
    <row r="447" spans="1:13" ht="5.15" customHeight="1" x14ac:dyDescent="0.35">
      <c r="A447" s="904"/>
      <c r="B447" s="791"/>
      <c r="C447" s="839"/>
      <c r="D447" s="840"/>
      <c r="E447" s="840"/>
      <c r="F447" s="840"/>
      <c r="G447" s="840"/>
      <c r="H447" s="840"/>
      <c r="I447" s="840"/>
      <c r="J447" s="840"/>
      <c r="K447" s="841"/>
      <c r="L447" s="791"/>
      <c r="M447" s="778"/>
    </row>
    <row r="448" spans="1:13" ht="5.15" customHeight="1" x14ac:dyDescent="0.35">
      <c r="A448" s="904"/>
      <c r="B448" s="791"/>
      <c r="C448" s="791"/>
      <c r="D448" s="791"/>
      <c r="E448" s="791"/>
      <c r="F448" s="791"/>
      <c r="G448" s="791"/>
      <c r="H448" s="791"/>
      <c r="I448" s="791"/>
      <c r="J448" s="791"/>
      <c r="K448" s="791"/>
      <c r="L448" s="791"/>
      <c r="M448" s="778"/>
    </row>
    <row r="449" spans="1:13" ht="15.5" x14ac:dyDescent="0.35">
      <c r="A449" s="904"/>
      <c r="B449" s="285"/>
      <c r="C449" s="285"/>
      <c r="D449" s="285"/>
      <c r="E449" s="285"/>
      <c r="F449" s="285"/>
      <c r="G449" s="285"/>
      <c r="H449" s="285"/>
      <c r="I449" s="285"/>
      <c r="J449" s="285"/>
      <c r="K449" s="285"/>
      <c r="L449" s="285"/>
      <c r="M449" s="778"/>
    </row>
    <row r="450" spans="1:13" ht="5.15" customHeight="1" x14ac:dyDescent="0.35">
      <c r="A450" s="904"/>
      <c r="B450" s="285"/>
      <c r="C450" s="285"/>
      <c r="D450" s="285"/>
      <c r="E450" s="285"/>
      <c r="F450" s="285"/>
      <c r="G450" s="285"/>
      <c r="H450" s="285"/>
      <c r="I450" s="285"/>
      <c r="J450" s="285"/>
      <c r="K450" s="285"/>
      <c r="L450" s="285"/>
      <c r="M450" s="778"/>
    </row>
    <row r="451" spans="1:13" ht="15" customHeight="1" x14ac:dyDescent="0.35">
      <c r="A451" s="904" t="s">
        <v>4974</v>
      </c>
      <c r="B451" s="791"/>
      <c r="C451" s="792" t="str">
        <f>$C$221&amp;" 6"</f>
        <v>Variable´s impact on profitability 6</v>
      </c>
      <c r="D451" s="793"/>
      <c r="E451" s="793"/>
      <c r="F451" s="793"/>
      <c r="G451" s="793"/>
      <c r="H451" s="793"/>
      <c r="I451" s="793"/>
      <c r="J451" s="793"/>
      <c r="K451" s="794"/>
      <c r="L451" s="791"/>
      <c r="M451" s="778"/>
    </row>
    <row r="452" spans="1:13" ht="5.15" customHeight="1" x14ac:dyDescent="0.35">
      <c r="A452" s="904"/>
      <c r="B452" s="791"/>
      <c r="C452" s="863"/>
      <c r="D452" s="864"/>
      <c r="E452" s="864"/>
      <c r="F452" s="784">
        <f ca="1">1+(OFFSET(F452,2,0)/100)</f>
        <v>0.8</v>
      </c>
      <c r="G452" s="784">
        <f ca="1">(1+(OFFSET(G452,2,0)/100))/F452</f>
        <v>1.125</v>
      </c>
      <c r="H452" s="865"/>
      <c r="I452" s="784">
        <f ca="1">(1+(OFFSET(I452,2,0)/100))/(1+(OFFSET(G452,2,0)/100))</f>
        <v>1.2222222222222223</v>
      </c>
      <c r="J452" s="784">
        <f ca="1">(1+(OFFSET(J452,2,0)/100))/(1+(OFFSET(I452,2,0)/100))</f>
        <v>1.0909090909090908</v>
      </c>
      <c r="K452" s="866"/>
      <c r="L452" s="791"/>
      <c r="M452" s="778"/>
    </row>
    <row r="453" spans="1:13" ht="16" customHeight="1" x14ac:dyDescent="0.35">
      <c r="A453" s="904"/>
      <c r="B453" s="791"/>
      <c r="C453" s="798"/>
      <c r="D453" s="891" t="str">
        <f>$D$223</f>
        <v xml:space="preserve"> Variable</v>
      </c>
      <c r="E453" s="892"/>
      <c r="F453" s="827" t="str">
        <f ca="1">" "&amp;OFFSET(VarListAnalysis!$C$1,IncVar6,0)</f>
        <v xml:space="preserve"> &lt; Not in use &gt;</v>
      </c>
      <c r="G453" s="893"/>
      <c r="H453" s="893"/>
      <c r="I453" s="893"/>
      <c r="J453" s="832"/>
      <c r="K453" s="805"/>
      <c r="L453" s="791"/>
      <c r="M453" s="894" t="str">
        <f ca="1">VarRowsTxt</f>
        <v>Show row numbers</v>
      </c>
    </row>
    <row r="454" spans="1:13" ht="15" customHeight="1" x14ac:dyDescent="0.35">
      <c r="A454" s="904"/>
      <c r="B454" s="791"/>
      <c r="C454" s="798"/>
      <c r="D454" s="843" t="str">
        <f>$D$224</f>
        <v xml:space="preserve"> Change in value, %</v>
      </c>
      <c r="E454" s="905"/>
      <c r="F454" s="895">
        <v>-20</v>
      </c>
      <c r="G454" s="896">
        <v>-10</v>
      </c>
      <c r="H454" s="897">
        <v>0</v>
      </c>
      <c r="I454" s="896">
        <v>10</v>
      </c>
      <c r="J454" s="898">
        <v>20</v>
      </c>
      <c r="K454" s="805"/>
      <c r="L454" s="791"/>
      <c r="M454" s="778"/>
    </row>
    <row r="455" spans="1:13" ht="16" customHeight="1" x14ac:dyDescent="0.35">
      <c r="A455" s="904"/>
      <c r="B455" s="791"/>
      <c r="C455" s="798"/>
      <c r="D455" s="899" t="str">
        <f>$D$225</f>
        <v xml:space="preserve"> Sample value</v>
      </c>
      <c r="E455" s="900"/>
      <c r="F455" s="901">
        <f>$H455*(1+F454/100)</f>
        <v>0</v>
      </c>
      <c r="G455" s="902">
        <f>$H455*(1+G454/100)</f>
        <v>0</v>
      </c>
      <c r="H455" s="902">
        <f>IF(ISERROR(Specs!$B$12),0,Specs!$B$12)</f>
        <v>0</v>
      </c>
      <c r="I455" s="902">
        <f>$H455*(1+I454/100)</f>
        <v>0</v>
      </c>
      <c r="J455" s="903">
        <f>$H455*(1+J454/100)</f>
        <v>0</v>
      </c>
      <c r="K455" s="805"/>
      <c r="L455" s="791"/>
      <c r="M455" s="778"/>
    </row>
    <row r="456" spans="1:13" ht="16" customHeight="1" x14ac:dyDescent="0.35">
      <c r="A456" s="904"/>
      <c r="B456" s="791"/>
      <c r="C456" s="798"/>
      <c r="D456" s="812" t="str">
        <f>$D$48</f>
        <v xml:space="preserve"> Net Present Value (NPV)</v>
      </c>
      <c r="E456" s="850"/>
      <c r="F456" s="1217">
        <v>0</v>
      </c>
      <c r="G456" s="1218">
        <v>0</v>
      </c>
      <c r="H456" s="1219">
        <v>0</v>
      </c>
      <c r="I456" s="1220">
        <v>0</v>
      </c>
      <c r="J456" s="1221">
        <v>0</v>
      </c>
      <c r="K456" s="805"/>
      <c r="L456" s="791"/>
      <c r="M456" s="778"/>
    </row>
    <row r="457" spans="1:13" ht="15.5" hidden="1" x14ac:dyDescent="0.35">
      <c r="A457" s="904"/>
      <c r="B457" s="791"/>
      <c r="C457" s="798"/>
      <c r="D457" s="906"/>
      <c r="E457" s="851"/>
      <c r="F457" s="816"/>
      <c r="G457" s="650"/>
      <c r="H457" s="650"/>
      <c r="I457" s="650"/>
      <c r="J457" s="817"/>
      <c r="K457" s="805"/>
      <c r="L457" s="791"/>
      <c r="M457" s="778"/>
    </row>
    <row r="458" spans="1:13" ht="15.5" hidden="1" x14ac:dyDescent="0.35">
      <c r="A458" s="904"/>
      <c r="B458" s="791"/>
      <c r="C458" s="798"/>
      <c r="D458" s="906"/>
      <c r="E458" s="851"/>
      <c r="F458" s="852"/>
      <c r="G458" s="653"/>
      <c r="H458" s="653"/>
      <c r="I458" s="653"/>
      <c r="J458" s="853"/>
      <c r="K458" s="805"/>
      <c r="L458" s="791"/>
      <c r="M458" s="778"/>
    </row>
    <row r="459" spans="1:13" ht="15.5" hidden="1" x14ac:dyDescent="0.35">
      <c r="A459" s="904"/>
      <c r="B459" s="791"/>
      <c r="C459" s="798"/>
      <c r="D459" s="906"/>
      <c r="E459" s="851"/>
      <c r="F459" s="852"/>
      <c r="G459" s="653"/>
      <c r="H459" s="653"/>
      <c r="I459" s="653"/>
      <c r="J459" s="853"/>
      <c r="K459" s="805"/>
      <c r="L459" s="791"/>
      <c r="M459" s="778"/>
    </row>
    <row r="460" spans="1:13" ht="15.5" hidden="1" x14ac:dyDescent="0.35">
      <c r="A460" s="904"/>
      <c r="B460" s="791"/>
      <c r="C460" s="798"/>
      <c r="D460" s="906"/>
      <c r="E460" s="851"/>
      <c r="F460" s="852"/>
      <c r="G460" s="653"/>
      <c r="H460" s="653"/>
      <c r="I460" s="653"/>
      <c r="J460" s="853"/>
      <c r="K460" s="805"/>
      <c r="L460" s="791"/>
      <c r="M460" s="778"/>
    </row>
    <row r="461" spans="1:13" ht="15.5" hidden="1" x14ac:dyDescent="0.35">
      <c r="A461" s="904"/>
      <c r="B461" s="791"/>
      <c r="C461" s="798"/>
      <c r="D461" s="906"/>
      <c r="E461" s="851"/>
      <c r="F461" s="818"/>
      <c r="G461" s="652"/>
      <c r="H461" s="652"/>
      <c r="I461" s="652"/>
      <c r="J461" s="819"/>
      <c r="K461" s="805"/>
      <c r="L461" s="791"/>
      <c r="M461" s="778"/>
    </row>
    <row r="462" spans="1:13" ht="15.5" hidden="1" x14ac:dyDescent="0.35">
      <c r="A462" s="904"/>
      <c r="B462" s="791"/>
      <c r="C462" s="798"/>
      <c r="D462" s="906"/>
      <c r="E462" s="851"/>
      <c r="F462" s="816"/>
      <c r="G462" s="650"/>
      <c r="H462" s="650"/>
      <c r="I462" s="650"/>
      <c r="J462" s="817"/>
      <c r="K462" s="805"/>
      <c r="L462" s="791"/>
      <c r="M462" s="778"/>
    </row>
    <row r="463" spans="1:13" ht="15.5" hidden="1" x14ac:dyDescent="0.35">
      <c r="A463" s="904"/>
      <c r="B463" s="791"/>
      <c r="C463" s="798"/>
      <c r="D463" s="906"/>
      <c r="E463" s="851"/>
      <c r="F463" s="820"/>
      <c r="G463" s="654"/>
      <c r="H463" s="654"/>
      <c r="I463" s="654"/>
      <c r="J463" s="821"/>
      <c r="K463" s="805"/>
      <c r="L463" s="791"/>
      <c r="M463" s="778"/>
    </row>
    <row r="464" spans="1:13" ht="15.5" hidden="1" x14ac:dyDescent="0.35">
      <c r="A464" s="904"/>
      <c r="B464" s="791"/>
      <c r="C464" s="798"/>
      <c r="D464" s="906"/>
      <c r="E464" s="851"/>
      <c r="F464" s="820"/>
      <c r="G464" s="654"/>
      <c r="H464" s="654"/>
      <c r="I464" s="654"/>
      <c r="J464" s="821"/>
      <c r="K464" s="805"/>
      <c r="L464" s="791"/>
      <c r="M464" s="778"/>
    </row>
    <row r="465" spans="1:13" ht="15.5" hidden="1" x14ac:dyDescent="0.35">
      <c r="A465" s="904"/>
      <c r="B465" s="791"/>
      <c r="C465" s="798"/>
      <c r="D465" s="906"/>
      <c r="E465" s="851"/>
      <c r="F465" s="816"/>
      <c r="G465" s="650"/>
      <c r="H465" s="650"/>
      <c r="I465" s="650"/>
      <c r="J465" s="817"/>
      <c r="K465" s="805"/>
      <c r="L465" s="791"/>
      <c r="M465" s="778"/>
    </row>
    <row r="466" spans="1:13" ht="15.5" hidden="1" x14ac:dyDescent="0.35">
      <c r="A466" s="904"/>
      <c r="B466" s="791"/>
      <c r="C466" s="798"/>
      <c r="D466" s="906"/>
      <c r="E466" s="851"/>
      <c r="F466" s="852"/>
      <c r="G466" s="653"/>
      <c r="H466" s="653"/>
      <c r="I466" s="653"/>
      <c r="J466" s="853"/>
      <c r="K466" s="805"/>
      <c r="L466" s="791"/>
      <c r="M466" s="778"/>
    </row>
    <row r="467" spans="1:13" ht="15.5" hidden="1" x14ac:dyDescent="0.35">
      <c r="A467" s="904"/>
      <c r="B467" s="791"/>
      <c r="C467" s="798"/>
      <c r="D467" s="906"/>
      <c r="E467" s="851"/>
      <c r="F467" s="852"/>
      <c r="G467" s="653"/>
      <c r="H467" s="653"/>
      <c r="I467" s="653"/>
      <c r="J467" s="853"/>
      <c r="K467" s="805"/>
      <c r="L467" s="791"/>
      <c r="M467" s="778"/>
    </row>
    <row r="468" spans="1:13" ht="15.5" hidden="1" x14ac:dyDescent="0.35">
      <c r="A468" s="904"/>
      <c r="B468" s="791"/>
      <c r="C468" s="798"/>
      <c r="D468" s="906"/>
      <c r="E468" s="851"/>
      <c r="F468" s="852"/>
      <c r="G468" s="653"/>
      <c r="H468" s="653"/>
      <c r="I468" s="653"/>
      <c r="J468" s="853"/>
      <c r="K468" s="805"/>
      <c r="L468" s="791"/>
      <c r="M468" s="778"/>
    </row>
    <row r="469" spans="1:13" ht="15.5" hidden="1" x14ac:dyDescent="0.35">
      <c r="A469" s="904"/>
      <c r="B469" s="791"/>
      <c r="C469" s="798"/>
      <c r="D469" s="906"/>
      <c r="E469" s="851"/>
      <c r="F469" s="820"/>
      <c r="G469" s="654"/>
      <c r="H469" s="654"/>
      <c r="I469" s="654"/>
      <c r="J469" s="821"/>
      <c r="K469" s="805"/>
      <c r="L469" s="791"/>
      <c r="M469" s="778"/>
    </row>
    <row r="470" spans="1:13" ht="15.5" hidden="1" x14ac:dyDescent="0.35">
      <c r="A470" s="904"/>
      <c r="B470" s="791"/>
      <c r="C470" s="798"/>
      <c r="D470" s="906"/>
      <c r="E470" s="851"/>
      <c r="F470" s="820"/>
      <c r="G470" s="654"/>
      <c r="H470" s="654"/>
      <c r="I470" s="654"/>
      <c r="J470" s="821"/>
      <c r="K470" s="805"/>
      <c r="L470" s="791"/>
      <c r="M470" s="778"/>
    </row>
    <row r="471" spans="1:13" ht="14.15" customHeight="1" x14ac:dyDescent="0.35">
      <c r="A471" s="904"/>
      <c r="B471" s="791"/>
      <c r="C471" s="798"/>
      <c r="D471" s="822" t="str">
        <f>$D$6</f>
        <v xml:space="preserve"> Change, %</v>
      </c>
      <c r="E471" s="823"/>
      <c r="F471" s="808">
        <f>IF(AND(ISNUMBER(F456),ISNUMBER($H456)),(F456-$H456)/IF($H456=0,0.00001,ABS($H456))*100,"")</f>
        <v>0</v>
      </c>
      <c r="G471" s="809">
        <f>IF(AND(ISNUMBER(G456),ISNUMBER($H456)),(G456-$H456)/IF($H456=0,0.00001,ABS($H456))*100,"")</f>
        <v>0</v>
      </c>
      <c r="H471" s="809">
        <v>0</v>
      </c>
      <c r="I471" s="809">
        <f>IF(AND(ISNUMBER(I456),ISNUMBER($H456)),(I456-$H456)/IF($H456=0,0.00001,ABS($H456))*100,"")</f>
        <v>0</v>
      </c>
      <c r="J471" s="811">
        <f>IF(AND(ISNUMBER(J456),ISNUMBER($H456)),(J456-$H456)/IF($H456=0,0.00001,ABS($H456))*100,"")</f>
        <v>0</v>
      </c>
      <c r="K471" s="805"/>
      <c r="L471" s="791"/>
      <c r="M471" s="778"/>
    </row>
    <row r="472" spans="1:13" ht="13" customHeight="1" x14ac:dyDescent="0.35">
      <c r="A472" s="904"/>
      <c r="B472" s="791"/>
      <c r="C472" s="798"/>
      <c r="D472" s="873"/>
      <c r="E472" s="874"/>
      <c r="F472" s="874"/>
      <c r="G472" s="874"/>
      <c r="H472" s="874"/>
      <c r="I472" s="874"/>
      <c r="J472" s="875"/>
      <c r="K472" s="805"/>
      <c r="L472" s="791"/>
      <c r="M472" s="778"/>
    </row>
    <row r="473" spans="1:13" ht="13" customHeight="1" x14ac:dyDescent="0.35">
      <c r="A473" s="904"/>
      <c r="B473" s="791"/>
      <c r="C473" s="798"/>
      <c r="D473" s="876"/>
      <c r="E473" s="826"/>
      <c r="F473" s="826"/>
      <c r="G473" s="826"/>
      <c r="H473" s="826"/>
      <c r="I473" s="826"/>
      <c r="J473" s="877"/>
      <c r="K473" s="805"/>
      <c r="L473" s="791"/>
      <c r="M473" s="778"/>
    </row>
    <row r="474" spans="1:13" ht="13" customHeight="1" x14ac:dyDescent="0.35">
      <c r="A474" s="904"/>
      <c r="B474" s="791"/>
      <c r="C474" s="798"/>
      <c r="D474" s="876"/>
      <c r="E474" s="826"/>
      <c r="F474" s="826"/>
      <c r="G474" s="826"/>
      <c r="H474" s="826"/>
      <c r="I474" s="826"/>
      <c r="J474" s="877"/>
      <c r="K474" s="805"/>
      <c r="L474" s="791"/>
      <c r="M474" s="778"/>
    </row>
    <row r="475" spans="1:13" ht="13" customHeight="1" x14ac:dyDescent="0.35">
      <c r="A475" s="904"/>
      <c r="B475" s="791"/>
      <c r="C475" s="798"/>
      <c r="D475" s="876"/>
      <c r="E475" s="826"/>
      <c r="F475" s="826"/>
      <c r="G475" s="826"/>
      <c r="H475" s="826"/>
      <c r="I475" s="826"/>
      <c r="J475" s="877"/>
      <c r="K475" s="805"/>
      <c r="L475" s="791"/>
      <c r="M475" s="778"/>
    </row>
    <row r="476" spans="1:13" ht="13" customHeight="1" x14ac:dyDescent="0.35">
      <c r="A476" s="904"/>
      <c r="B476" s="791"/>
      <c r="C476" s="798"/>
      <c r="D476" s="876"/>
      <c r="E476" s="826"/>
      <c r="F476" s="826"/>
      <c r="G476" s="826"/>
      <c r="H476" s="826"/>
      <c r="I476" s="826"/>
      <c r="J476" s="877"/>
      <c r="K476" s="805"/>
      <c r="L476" s="791"/>
      <c r="M476" s="778"/>
    </row>
    <row r="477" spans="1:13" ht="13" customHeight="1" x14ac:dyDescent="0.35">
      <c r="A477" s="904"/>
      <c r="B477" s="791"/>
      <c r="C477" s="798"/>
      <c r="D477" s="876"/>
      <c r="E477" s="826"/>
      <c r="F477" s="826"/>
      <c r="G477" s="826"/>
      <c r="H477" s="826"/>
      <c r="I477" s="826"/>
      <c r="J477" s="877"/>
      <c r="K477" s="805"/>
      <c r="L477" s="791"/>
      <c r="M477" s="778"/>
    </row>
    <row r="478" spans="1:13" ht="13" customHeight="1" x14ac:dyDescent="0.35">
      <c r="A478" s="904"/>
      <c r="B478" s="791"/>
      <c r="C478" s="798"/>
      <c r="D478" s="876"/>
      <c r="E478" s="826"/>
      <c r="F478" s="826"/>
      <c r="G478" s="826"/>
      <c r="H478" s="826"/>
      <c r="I478" s="826"/>
      <c r="J478" s="877"/>
      <c r="K478" s="805"/>
      <c r="L478" s="791"/>
      <c r="M478" s="778"/>
    </row>
    <row r="479" spans="1:13" ht="13" customHeight="1" x14ac:dyDescent="0.35">
      <c r="A479" s="904"/>
      <c r="B479" s="791"/>
      <c r="C479" s="798"/>
      <c r="D479" s="876"/>
      <c r="E479" s="826"/>
      <c r="F479" s="826"/>
      <c r="G479" s="826"/>
      <c r="H479" s="826"/>
      <c r="I479" s="826"/>
      <c r="J479" s="877"/>
      <c r="K479" s="805"/>
      <c r="L479" s="791"/>
      <c r="M479" s="778"/>
    </row>
    <row r="480" spans="1:13" ht="13" customHeight="1" x14ac:dyDescent="0.35">
      <c r="A480" s="904"/>
      <c r="B480" s="791"/>
      <c r="C480" s="798"/>
      <c r="D480" s="876"/>
      <c r="E480" s="826"/>
      <c r="F480" s="826"/>
      <c r="G480" s="826"/>
      <c r="H480" s="826"/>
      <c r="I480" s="826"/>
      <c r="J480" s="877"/>
      <c r="K480" s="805"/>
      <c r="L480" s="791"/>
      <c r="M480" s="778"/>
    </row>
    <row r="481" spans="1:13" ht="13" customHeight="1" x14ac:dyDescent="0.35">
      <c r="A481" s="904"/>
      <c r="B481" s="791"/>
      <c r="C481" s="798"/>
      <c r="D481" s="876"/>
      <c r="E481" s="826"/>
      <c r="F481" s="826"/>
      <c r="G481" s="826"/>
      <c r="H481" s="826"/>
      <c r="I481" s="826"/>
      <c r="J481" s="877"/>
      <c r="K481" s="805"/>
      <c r="L481" s="791"/>
      <c r="M481" s="778"/>
    </row>
    <row r="482" spans="1:13" ht="13" customHeight="1" x14ac:dyDescent="0.35">
      <c r="A482" s="904"/>
      <c r="B482" s="791"/>
      <c r="C482" s="798"/>
      <c r="D482" s="876"/>
      <c r="E482" s="826"/>
      <c r="F482" s="826"/>
      <c r="G482" s="826"/>
      <c r="H482" s="826"/>
      <c r="I482" s="826"/>
      <c r="J482" s="877"/>
      <c r="K482" s="805"/>
      <c r="L482" s="791"/>
      <c r="M482" s="778"/>
    </row>
    <row r="483" spans="1:13" ht="13" customHeight="1" x14ac:dyDescent="0.35">
      <c r="A483" s="904"/>
      <c r="B483" s="791"/>
      <c r="C483" s="798"/>
      <c r="D483" s="876"/>
      <c r="E483" s="826"/>
      <c r="F483" s="826"/>
      <c r="G483" s="826"/>
      <c r="H483" s="826"/>
      <c r="I483" s="826"/>
      <c r="J483" s="877"/>
      <c r="K483" s="805"/>
      <c r="L483" s="791"/>
      <c r="M483" s="778"/>
    </row>
    <row r="484" spans="1:13" ht="13" customHeight="1" x14ac:dyDescent="0.35">
      <c r="A484" s="904"/>
      <c r="B484" s="791"/>
      <c r="C484" s="798"/>
      <c r="D484" s="876"/>
      <c r="E484" s="826"/>
      <c r="F484" s="826"/>
      <c r="G484" s="826"/>
      <c r="H484" s="826"/>
      <c r="I484" s="826"/>
      <c r="J484" s="877"/>
      <c r="K484" s="805"/>
      <c r="L484" s="791"/>
      <c r="M484" s="778"/>
    </row>
    <row r="485" spans="1:13" ht="13" customHeight="1" x14ac:dyDescent="0.35">
      <c r="A485" s="904"/>
      <c r="B485" s="791"/>
      <c r="C485" s="798"/>
      <c r="D485" s="878"/>
      <c r="E485" s="879"/>
      <c r="F485" s="879"/>
      <c r="G485" s="879"/>
      <c r="H485" s="879"/>
      <c r="I485" s="879"/>
      <c r="J485" s="880"/>
      <c r="K485" s="805"/>
      <c r="L485" s="791"/>
      <c r="M485" s="778"/>
    </row>
    <row r="486" spans="1:13" ht="16" customHeight="1" x14ac:dyDescent="0.35">
      <c r="A486" s="904"/>
      <c r="B486" s="791"/>
      <c r="C486" s="798"/>
      <c r="D486" s="827" t="str">
        <f>$D$78</f>
        <v xml:space="preserve"> Key financials</v>
      </c>
      <c r="E486" s="881" t="str">
        <f>FinYearR05</f>
        <v>12/2019</v>
      </c>
      <c r="F486" s="885">
        <f>F454</f>
        <v>-20</v>
      </c>
      <c r="G486" s="886">
        <f>G454</f>
        <v>-10</v>
      </c>
      <c r="H486" s="886">
        <f>H454</f>
        <v>0</v>
      </c>
      <c r="I486" s="886">
        <f>I454</f>
        <v>10</v>
      </c>
      <c r="J486" s="887">
        <f>J454</f>
        <v>20</v>
      </c>
      <c r="K486" s="805"/>
      <c r="L486" s="791"/>
      <c r="M486" s="778"/>
    </row>
    <row r="487" spans="1:13" ht="16" customHeight="1" x14ac:dyDescent="0.35">
      <c r="A487" s="904"/>
      <c r="B487" s="791"/>
      <c r="C487" s="798"/>
      <c r="D487" s="827" t="str">
        <f>" "&amp;INDEX(RatiosDD,Analysis05Ratio01)</f>
        <v xml:space="preserve"> EBITDA; Operating income before depreciation, Euro</v>
      </c>
      <c r="E487" s="832"/>
      <c r="F487" s="836" t="s">
        <v>45</v>
      </c>
      <c r="G487" s="837"/>
      <c r="H487" s="837"/>
      <c r="I487" s="837"/>
      <c r="J487" s="838"/>
      <c r="K487" s="805"/>
      <c r="L487" s="791"/>
      <c r="M487" s="778"/>
    </row>
    <row r="488" spans="1:13" ht="16" customHeight="1" x14ac:dyDescent="0.35">
      <c r="A488" s="904"/>
      <c r="B488" s="791"/>
      <c r="C488" s="798"/>
      <c r="D488" s="827" t="str">
        <f>" "&amp;INDEX(RatiosDD,Analysis05Ratio02)</f>
        <v xml:space="preserve"> EBITDA, %</v>
      </c>
      <c r="E488" s="832"/>
      <c r="F488" s="860"/>
      <c r="G488" s="861"/>
      <c r="H488" s="861"/>
      <c r="I488" s="861"/>
      <c r="J488" s="862"/>
      <c r="K488" s="805"/>
      <c r="L488" s="791"/>
      <c r="M488" s="778"/>
    </row>
    <row r="489" spans="1:13" ht="16" customHeight="1" x14ac:dyDescent="0.35">
      <c r="A489" s="904"/>
      <c r="B489" s="791"/>
      <c r="C489" s="798"/>
      <c r="D489" s="827" t="str">
        <f>" "&amp;INDEX(RatiosDD,Analysis05Ratio03)</f>
        <v xml:space="preserve"> EBIT; Operating income, Euro</v>
      </c>
      <c r="E489" s="832"/>
      <c r="F489" s="833"/>
      <c r="G489" s="834"/>
      <c r="H489" s="834"/>
      <c r="I489" s="834"/>
      <c r="J489" s="835"/>
      <c r="K489" s="805"/>
      <c r="L489" s="791"/>
      <c r="M489" s="778"/>
    </row>
    <row r="490" spans="1:13" ht="16" customHeight="1" x14ac:dyDescent="0.35">
      <c r="A490" s="904"/>
      <c r="B490" s="791"/>
      <c r="C490" s="798"/>
      <c r="D490" s="827" t="str">
        <f>" "&amp;INDEX(RatiosDD,Analysis05Ratio04)</f>
        <v xml:space="preserve"> EBIT, %</v>
      </c>
      <c r="E490" s="832"/>
      <c r="F490" s="836"/>
      <c r="G490" s="837"/>
      <c r="H490" s="837"/>
      <c r="I490" s="837"/>
      <c r="J490" s="838"/>
      <c r="K490" s="805"/>
      <c r="L490" s="791"/>
      <c r="M490" s="778"/>
    </row>
    <row r="491" spans="1:13" ht="16" customHeight="1" x14ac:dyDescent="0.35">
      <c r="A491" s="904"/>
      <c r="B491" s="791"/>
      <c r="C491" s="798"/>
      <c r="D491" s="827" t="str">
        <f>" "&amp;INDEX(RatiosDD,Analysis05Ratio05)</f>
        <v xml:space="preserve"> Return on net assets (RONA), %</v>
      </c>
      <c r="E491" s="832"/>
      <c r="F491" s="836"/>
      <c r="G491" s="837"/>
      <c r="H491" s="837"/>
      <c r="I491" s="837"/>
      <c r="J491" s="838"/>
      <c r="K491" s="805"/>
      <c r="L491" s="791"/>
      <c r="M491" s="778"/>
    </row>
    <row r="492" spans="1:13" ht="16" customHeight="1" x14ac:dyDescent="0.35">
      <c r="A492" s="904"/>
      <c r="B492" s="791"/>
      <c r="C492" s="798"/>
      <c r="D492" s="827" t="str">
        <f>" "&amp;INDEX(RatiosDD,Analysis05Ratio06)</f>
        <v xml:space="preserve"> Economic Value Added (EVA), Euro</v>
      </c>
      <c r="E492" s="832"/>
      <c r="F492" s="833"/>
      <c r="G492" s="834"/>
      <c r="H492" s="834"/>
      <c r="I492" s="834"/>
      <c r="J492" s="835"/>
      <c r="K492" s="805"/>
      <c r="L492" s="791"/>
      <c r="M492" s="778"/>
    </row>
    <row r="493" spans="1:13" ht="5.15" customHeight="1" x14ac:dyDescent="0.35">
      <c r="A493" s="904"/>
      <c r="B493" s="791"/>
      <c r="C493" s="839"/>
      <c r="D493" s="840"/>
      <c r="E493" s="840"/>
      <c r="F493" s="840"/>
      <c r="G493" s="840"/>
      <c r="H493" s="840"/>
      <c r="I493" s="840"/>
      <c r="J493" s="840"/>
      <c r="K493" s="841"/>
      <c r="L493" s="791"/>
      <c r="M493" s="778"/>
    </row>
    <row r="494" spans="1:13" ht="5.15" customHeight="1" x14ac:dyDescent="0.35">
      <c r="A494" s="904"/>
      <c r="B494" s="791"/>
      <c r="C494" s="791"/>
      <c r="D494" s="791"/>
      <c r="E494" s="791"/>
      <c r="F494" s="791"/>
      <c r="G494" s="791"/>
      <c r="H494" s="791"/>
      <c r="I494" s="791"/>
      <c r="J494" s="791"/>
      <c r="K494" s="791"/>
      <c r="L494" s="791"/>
      <c r="M494" s="778"/>
    </row>
  </sheetData>
  <sheetProtection algorithmName="SHA-512" hashValue="fqtQPpplkLbbVKuOQw8sL/gAnBX1YDIicsa/uleE+4V8k5Bju3BdDHhHmEQU49mCJ31nR11s/c1b0gkjsBYCLw==" saltValue="b4t2V98hAXO0V3UXjiZyvw==" spinCount="100000" sheet="1" objects="1" scenarios="1" formatCells="0"/>
  <printOptions horizontalCentered="1" verticalCentered="1"/>
  <pageMargins left="0.74803149606299213" right="0.74803149606299213" top="0.98425196850393704" bottom="0.98425196850393704" header="0.51181102362204722" footer="0.51181102362204722"/>
  <pageSetup paperSize="9" scale="115" orientation="landscape" r:id="rId1"/>
  <headerFooter>
    <oddFooter>&amp;L&amp;8Invest for Excel&amp;C&amp;8&amp;F&amp;R&amp;8&amp;D: &amp;T</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097" r:id="rId4" name="VariableDD1">
              <controlPr defaultSize="0" print="0" autoFill="0" autoLine="0" autoPict="0" macro="[0]!IncVarAnalysisRefresh">
                <anchor moveWithCells="1">
                  <from>
                    <xdr:col>5</xdr:col>
                    <xdr:colOff>0</xdr:colOff>
                    <xdr:row>222</xdr:row>
                    <xdr:rowOff>0</xdr:rowOff>
                  </from>
                  <to>
                    <xdr:col>10</xdr:col>
                    <xdr:colOff>0</xdr:colOff>
                    <xdr:row>223</xdr:row>
                    <xdr:rowOff>0</xdr:rowOff>
                  </to>
                </anchor>
              </controlPr>
            </control>
          </mc:Choice>
        </mc:AlternateContent>
        <mc:AlternateContent xmlns:mc="http://schemas.openxmlformats.org/markup-compatibility/2006">
          <mc:Choice Requires="x14">
            <control shapeId="4098" r:id="rId5" name="ValuePeriodDD1">
              <controlPr defaultSize="0" print="0" autoFill="0" autoLine="0" autoPict="0" macro="[0]!IncVarAnalysisSampleValue">
                <anchor moveWithCells="1">
                  <from>
                    <xdr:col>3</xdr:col>
                    <xdr:colOff>1073150</xdr:colOff>
                    <xdr:row>224</xdr:row>
                    <xdr:rowOff>0</xdr:rowOff>
                  </from>
                  <to>
                    <xdr:col>5</xdr:col>
                    <xdr:colOff>0</xdr:colOff>
                    <xdr:row>225</xdr:row>
                    <xdr:rowOff>0</xdr:rowOff>
                  </to>
                </anchor>
              </controlPr>
            </control>
          </mc:Choice>
        </mc:AlternateContent>
        <mc:AlternateContent xmlns:mc="http://schemas.openxmlformats.org/markup-compatibility/2006">
          <mc:Choice Requires="x14">
            <control shapeId="4099" r:id="rId6" name="AFinYearDD01">
              <controlPr defaultSize="0" print="0" autoFill="0" autoLine="0" autoPict="0" macro="[0]!AnalysisYearChanged">
                <anchor moveWithCells="1">
                  <from>
                    <xdr:col>3</xdr:col>
                    <xdr:colOff>1085850</xdr:colOff>
                    <xdr:row>77</xdr:row>
                    <xdr:rowOff>0</xdr:rowOff>
                  </from>
                  <to>
                    <xdr:col>5</xdr:col>
                    <xdr:colOff>0</xdr:colOff>
                    <xdr:row>78</xdr:row>
                    <xdr:rowOff>0</xdr:rowOff>
                  </to>
                </anchor>
              </controlPr>
            </control>
          </mc:Choice>
        </mc:AlternateContent>
        <mc:AlternateContent xmlns:mc="http://schemas.openxmlformats.org/markup-compatibility/2006">
          <mc:Choice Requires="x14">
            <control shapeId="4100" r:id="rId7" name="AFinYearDD05">
              <controlPr defaultSize="0" print="0" autoFill="0" autoLine="0" autoPict="0" macro="[0]!AnalysisYearChanged">
                <anchor moveWithCells="1">
                  <from>
                    <xdr:col>3</xdr:col>
                    <xdr:colOff>1085850</xdr:colOff>
                    <xdr:row>255</xdr:row>
                    <xdr:rowOff>0</xdr:rowOff>
                  </from>
                  <to>
                    <xdr:col>5</xdr:col>
                    <xdr:colOff>0</xdr:colOff>
                    <xdr:row>256</xdr:row>
                    <xdr:rowOff>0</xdr:rowOff>
                  </to>
                </anchor>
              </controlPr>
            </control>
          </mc:Choice>
        </mc:AlternateContent>
        <mc:AlternateContent xmlns:mc="http://schemas.openxmlformats.org/markup-compatibility/2006">
          <mc:Choice Requires="x14">
            <control shapeId="4101" r:id="rId8" name="AFinYearDD02">
              <controlPr defaultSize="0" print="0" autoFill="0" autoLine="0" autoPict="0" macro="[0]!AnalysisYearChanged">
                <anchor moveWithCells="1">
                  <from>
                    <xdr:col>3</xdr:col>
                    <xdr:colOff>1085850</xdr:colOff>
                    <xdr:row>121</xdr:row>
                    <xdr:rowOff>0</xdr:rowOff>
                  </from>
                  <to>
                    <xdr:col>5</xdr:col>
                    <xdr:colOff>0</xdr:colOff>
                    <xdr:row>122</xdr:row>
                    <xdr:rowOff>0</xdr:rowOff>
                  </to>
                </anchor>
              </controlPr>
            </control>
          </mc:Choice>
        </mc:AlternateContent>
        <mc:AlternateContent xmlns:mc="http://schemas.openxmlformats.org/markup-compatibility/2006">
          <mc:Choice Requires="x14">
            <control shapeId="4102" r:id="rId9" name="AFinYearDD03">
              <controlPr defaultSize="0" print="0" autoFill="0" autoLine="0" autoPict="0" macro="[0]!AnalysisYearChanged">
                <anchor moveWithCells="1">
                  <from>
                    <xdr:col>3</xdr:col>
                    <xdr:colOff>1085850</xdr:colOff>
                    <xdr:row>165</xdr:row>
                    <xdr:rowOff>0</xdr:rowOff>
                  </from>
                  <to>
                    <xdr:col>5</xdr:col>
                    <xdr:colOff>0</xdr:colOff>
                    <xdr:row>166</xdr:row>
                    <xdr:rowOff>0</xdr:rowOff>
                  </to>
                </anchor>
              </controlPr>
            </control>
          </mc:Choice>
        </mc:AlternateContent>
        <mc:AlternateContent xmlns:mc="http://schemas.openxmlformats.org/markup-compatibility/2006">
          <mc:Choice Requires="x14">
            <control shapeId="4103" r:id="rId10" name="AFactorDD1">
              <controlPr defaultSize="0" print="0" autoFill="0" autoLine="0" autoPict="0" macro="[0]!AnalysisFactorChanged">
                <anchor moveWithCells="1">
                  <from>
                    <xdr:col>3</xdr:col>
                    <xdr:colOff>0</xdr:colOff>
                    <xdr:row>47</xdr:row>
                    <xdr:rowOff>0</xdr:rowOff>
                  </from>
                  <to>
                    <xdr:col>5</xdr:col>
                    <xdr:colOff>0</xdr:colOff>
                    <xdr:row>48</xdr:row>
                    <xdr:rowOff>0</xdr:rowOff>
                  </to>
                </anchor>
              </controlPr>
            </control>
          </mc:Choice>
        </mc:AlternateContent>
        <mc:AlternateContent xmlns:mc="http://schemas.openxmlformats.org/markup-compatibility/2006">
          <mc:Choice Requires="x14">
            <control shapeId="4104" r:id="rId11" name="AFactorDD2">
              <controlPr defaultSize="0" print="0" autoFill="0" autoLine="0" autoPict="0" macro="[0]!AnalysisFactorChanged">
                <anchor moveWithCells="1">
                  <from>
                    <xdr:col>3</xdr:col>
                    <xdr:colOff>0</xdr:colOff>
                    <xdr:row>91</xdr:row>
                    <xdr:rowOff>0</xdr:rowOff>
                  </from>
                  <to>
                    <xdr:col>5</xdr:col>
                    <xdr:colOff>0</xdr:colOff>
                    <xdr:row>92</xdr:row>
                    <xdr:rowOff>0</xdr:rowOff>
                  </to>
                </anchor>
              </controlPr>
            </control>
          </mc:Choice>
        </mc:AlternateContent>
        <mc:AlternateContent xmlns:mc="http://schemas.openxmlformats.org/markup-compatibility/2006">
          <mc:Choice Requires="x14">
            <control shapeId="4105" r:id="rId12" name="AFactorDD3">
              <controlPr defaultSize="0" print="0" autoFill="0" autoLine="0" autoPict="0" macro="[0]!AnalysisFactorChanged">
                <anchor moveWithCells="1">
                  <from>
                    <xdr:col>3</xdr:col>
                    <xdr:colOff>0</xdr:colOff>
                    <xdr:row>135</xdr:row>
                    <xdr:rowOff>0</xdr:rowOff>
                  </from>
                  <to>
                    <xdr:col>5</xdr:col>
                    <xdr:colOff>0</xdr:colOff>
                    <xdr:row>136</xdr:row>
                    <xdr:rowOff>0</xdr:rowOff>
                  </to>
                </anchor>
              </controlPr>
            </control>
          </mc:Choice>
        </mc:AlternateContent>
        <mc:AlternateContent xmlns:mc="http://schemas.openxmlformats.org/markup-compatibility/2006">
          <mc:Choice Requires="x14">
            <control shapeId="4106" r:id="rId13" name="AFinYearDD04">
              <controlPr defaultSize="0" print="0" autoFill="0" autoLine="0" autoPict="0" macro="[0]!AnalysisYearChanged">
                <anchor moveWithCells="1">
                  <from>
                    <xdr:col>3</xdr:col>
                    <xdr:colOff>1085850</xdr:colOff>
                    <xdr:row>209</xdr:row>
                    <xdr:rowOff>0</xdr:rowOff>
                  </from>
                  <to>
                    <xdr:col>5</xdr:col>
                    <xdr:colOff>0</xdr:colOff>
                    <xdr:row>210</xdr:row>
                    <xdr:rowOff>0</xdr:rowOff>
                  </to>
                </anchor>
              </controlPr>
            </control>
          </mc:Choice>
        </mc:AlternateContent>
        <mc:AlternateContent xmlns:mc="http://schemas.openxmlformats.org/markup-compatibility/2006">
          <mc:Choice Requires="x14">
            <control shapeId="4107" r:id="rId14" name="AFactorDD4">
              <controlPr defaultSize="0" print="0" autoFill="0" autoLine="0" autoPict="0" macro="[0]!AnalysisFactorChanged">
                <anchor moveWithCells="1">
                  <from>
                    <xdr:col>3</xdr:col>
                    <xdr:colOff>0</xdr:colOff>
                    <xdr:row>179</xdr:row>
                    <xdr:rowOff>0</xdr:rowOff>
                  </from>
                  <to>
                    <xdr:col>5</xdr:col>
                    <xdr:colOff>0</xdr:colOff>
                    <xdr:row>180</xdr:row>
                    <xdr:rowOff>0</xdr:rowOff>
                  </to>
                </anchor>
              </controlPr>
            </control>
          </mc:Choice>
        </mc:AlternateContent>
        <mc:AlternateContent xmlns:mc="http://schemas.openxmlformats.org/markup-compatibility/2006">
          <mc:Choice Requires="x14">
            <control shapeId="4108" r:id="rId15" name="AFactorDD5">
              <controlPr defaultSize="0" print="0" autoFill="0" autoLine="0" autoPict="0" macro="[0]!AnalysisFactorChanged">
                <anchor moveWithCells="1">
                  <from>
                    <xdr:col>3</xdr:col>
                    <xdr:colOff>0</xdr:colOff>
                    <xdr:row>225</xdr:row>
                    <xdr:rowOff>0</xdr:rowOff>
                  </from>
                  <to>
                    <xdr:col>5</xdr:col>
                    <xdr:colOff>0</xdr:colOff>
                    <xdr:row>226</xdr:row>
                    <xdr:rowOff>0</xdr:rowOff>
                  </to>
                </anchor>
              </controlPr>
            </control>
          </mc:Choice>
        </mc:AlternateContent>
        <mc:AlternateContent xmlns:mc="http://schemas.openxmlformats.org/markup-compatibility/2006">
          <mc:Choice Requires="x14">
            <control shapeId="4109" r:id="rId16" name="AFactorDD6">
              <controlPr defaultSize="0" print="0" autoFill="0" autoLine="0" autoPict="0" macro="[0]!AnalysisFactor2Changed">
                <anchor moveWithCells="1">
                  <from>
                    <xdr:col>3</xdr:col>
                    <xdr:colOff>0</xdr:colOff>
                    <xdr:row>8</xdr:row>
                    <xdr:rowOff>0</xdr:rowOff>
                  </from>
                  <to>
                    <xdr:col>5</xdr:col>
                    <xdr:colOff>0</xdr:colOff>
                    <xdr:row>9</xdr:row>
                    <xdr:rowOff>0</xdr:rowOff>
                  </to>
                </anchor>
              </controlPr>
            </control>
          </mc:Choice>
        </mc:AlternateContent>
        <mc:AlternateContent xmlns:mc="http://schemas.openxmlformats.org/markup-compatibility/2006">
          <mc:Choice Requires="x14">
            <control shapeId="4110" r:id="rId17" name="A01RatioDD01">
              <controlPr defaultSize="0" print="0" autoFill="0" autoLine="0" autoPict="0" macro="[0]!AnalysisRatioSelected">
                <anchor moveWithCells="1">
                  <from>
                    <xdr:col>3</xdr:col>
                    <xdr:colOff>0</xdr:colOff>
                    <xdr:row>78</xdr:row>
                    <xdr:rowOff>0</xdr:rowOff>
                  </from>
                  <to>
                    <xdr:col>5</xdr:col>
                    <xdr:colOff>0</xdr:colOff>
                    <xdr:row>79</xdr:row>
                    <xdr:rowOff>0</xdr:rowOff>
                  </to>
                </anchor>
              </controlPr>
            </control>
          </mc:Choice>
        </mc:AlternateContent>
        <mc:AlternateContent xmlns:mc="http://schemas.openxmlformats.org/markup-compatibility/2006">
          <mc:Choice Requires="x14">
            <control shapeId="4111" r:id="rId18" name="A01RatioDD02">
              <controlPr defaultSize="0" print="0" autoFill="0" autoLine="0" autoPict="0" macro="[0]!AnalysisRatioSelected">
                <anchor moveWithCells="1">
                  <from>
                    <xdr:col>3</xdr:col>
                    <xdr:colOff>0</xdr:colOff>
                    <xdr:row>79</xdr:row>
                    <xdr:rowOff>0</xdr:rowOff>
                  </from>
                  <to>
                    <xdr:col>5</xdr:col>
                    <xdr:colOff>0</xdr:colOff>
                    <xdr:row>80</xdr:row>
                    <xdr:rowOff>0</xdr:rowOff>
                  </to>
                </anchor>
              </controlPr>
            </control>
          </mc:Choice>
        </mc:AlternateContent>
        <mc:AlternateContent xmlns:mc="http://schemas.openxmlformats.org/markup-compatibility/2006">
          <mc:Choice Requires="x14">
            <control shapeId="4112" r:id="rId19" name="A01RatioDD03">
              <controlPr defaultSize="0" print="0" autoFill="0" autoLine="0" autoPict="0" macro="[0]!AnalysisRatioSelected">
                <anchor moveWithCells="1">
                  <from>
                    <xdr:col>3</xdr:col>
                    <xdr:colOff>0</xdr:colOff>
                    <xdr:row>80</xdr:row>
                    <xdr:rowOff>0</xdr:rowOff>
                  </from>
                  <to>
                    <xdr:col>5</xdr:col>
                    <xdr:colOff>0</xdr:colOff>
                    <xdr:row>81</xdr:row>
                    <xdr:rowOff>0</xdr:rowOff>
                  </to>
                </anchor>
              </controlPr>
            </control>
          </mc:Choice>
        </mc:AlternateContent>
        <mc:AlternateContent xmlns:mc="http://schemas.openxmlformats.org/markup-compatibility/2006">
          <mc:Choice Requires="x14">
            <control shapeId="4113" r:id="rId20" name="A01RatioDD04">
              <controlPr defaultSize="0" print="0" autoFill="0" autoLine="0" autoPict="0" macro="[0]!AnalysisRatioSelected">
                <anchor moveWithCells="1">
                  <from>
                    <xdr:col>3</xdr:col>
                    <xdr:colOff>0</xdr:colOff>
                    <xdr:row>81</xdr:row>
                    <xdr:rowOff>0</xdr:rowOff>
                  </from>
                  <to>
                    <xdr:col>5</xdr:col>
                    <xdr:colOff>0</xdr:colOff>
                    <xdr:row>82</xdr:row>
                    <xdr:rowOff>0</xdr:rowOff>
                  </to>
                </anchor>
              </controlPr>
            </control>
          </mc:Choice>
        </mc:AlternateContent>
        <mc:AlternateContent xmlns:mc="http://schemas.openxmlformats.org/markup-compatibility/2006">
          <mc:Choice Requires="x14">
            <control shapeId="4114" r:id="rId21" name="A01RatioDD05">
              <controlPr defaultSize="0" print="0" autoFill="0" autoLine="0" autoPict="0" macro="[0]!AnalysisRatioSelected">
                <anchor moveWithCells="1">
                  <from>
                    <xdr:col>3</xdr:col>
                    <xdr:colOff>0</xdr:colOff>
                    <xdr:row>82</xdr:row>
                    <xdr:rowOff>0</xdr:rowOff>
                  </from>
                  <to>
                    <xdr:col>5</xdr:col>
                    <xdr:colOff>0</xdr:colOff>
                    <xdr:row>83</xdr:row>
                    <xdr:rowOff>0</xdr:rowOff>
                  </to>
                </anchor>
              </controlPr>
            </control>
          </mc:Choice>
        </mc:AlternateContent>
        <mc:AlternateContent xmlns:mc="http://schemas.openxmlformats.org/markup-compatibility/2006">
          <mc:Choice Requires="x14">
            <control shapeId="4115" r:id="rId22" name="A01RatioDD06">
              <controlPr defaultSize="0" print="0" autoFill="0" autoLine="0" autoPict="0" macro="[0]!AnalysisRatioSelected">
                <anchor moveWithCells="1">
                  <from>
                    <xdr:col>3</xdr:col>
                    <xdr:colOff>0</xdr:colOff>
                    <xdr:row>83</xdr:row>
                    <xdr:rowOff>0</xdr:rowOff>
                  </from>
                  <to>
                    <xdr:col>5</xdr:col>
                    <xdr:colOff>0</xdr:colOff>
                    <xdr:row>84</xdr:row>
                    <xdr:rowOff>0</xdr:rowOff>
                  </to>
                </anchor>
              </controlPr>
            </control>
          </mc:Choice>
        </mc:AlternateContent>
        <mc:AlternateContent xmlns:mc="http://schemas.openxmlformats.org/markup-compatibility/2006">
          <mc:Choice Requires="x14">
            <control shapeId="4116" r:id="rId23" name="A02RatioDD01">
              <controlPr defaultSize="0" print="0" autoFill="0" autoLine="0" autoPict="0" macro="[0]!AnalysisRatioSelected">
                <anchor moveWithCells="1">
                  <from>
                    <xdr:col>3</xdr:col>
                    <xdr:colOff>0</xdr:colOff>
                    <xdr:row>122</xdr:row>
                    <xdr:rowOff>0</xdr:rowOff>
                  </from>
                  <to>
                    <xdr:col>5</xdr:col>
                    <xdr:colOff>0</xdr:colOff>
                    <xdr:row>123</xdr:row>
                    <xdr:rowOff>0</xdr:rowOff>
                  </to>
                </anchor>
              </controlPr>
            </control>
          </mc:Choice>
        </mc:AlternateContent>
        <mc:AlternateContent xmlns:mc="http://schemas.openxmlformats.org/markup-compatibility/2006">
          <mc:Choice Requires="x14">
            <control shapeId="4117" r:id="rId24" name="A02RatioDD02">
              <controlPr defaultSize="0" print="0" autoFill="0" autoLine="0" autoPict="0" macro="[0]!AnalysisRatioSelected">
                <anchor moveWithCells="1">
                  <from>
                    <xdr:col>3</xdr:col>
                    <xdr:colOff>0</xdr:colOff>
                    <xdr:row>123</xdr:row>
                    <xdr:rowOff>0</xdr:rowOff>
                  </from>
                  <to>
                    <xdr:col>5</xdr:col>
                    <xdr:colOff>0</xdr:colOff>
                    <xdr:row>124</xdr:row>
                    <xdr:rowOff>0</xdr:rowOff>
                  </to>
                </anchor>
              </controlPr>
            </control>
          </mc:Choice>
        </mc:AlternateContent>
        <mc:AlternateContent xmlns:mc="http://schemas.openxmlformats.org/markup-compatibility/2006">
          <mc:Choice Requires="x14">
            <control shapeId="4118" r:id="rId25" name="A02RatioDD03">
              <controlPr defaultSize="0" print="0" autoFill="0" autoLine="0" autoPict="0" macro="[0]!AnalysisRatioSelected">
                <anchor moveWithCells="1">
                  <from>
                    <xdr:col>3</xdr:col>
                    <xdr:colOff>0</xdr:colOff>
                    <xdr:row>124</xdr:row>
                    <xdr:rowOff>0</xdr:rowOff>
                  </from>
                  <to>
                    <xdr:col>5</xdr:col>
                    <xdr:colOff>0</xdr:colOff>
                    <xdr:row>125</xdr:row>
                    <xdr:rowOff>0</xdr:rowOff>
                  </to>
                </anchor>
              </controlPr>
            </control>
          </mc:Choice>
        </mc:AlternateContent>
        <mc:AlternateContent xmlns:mc="http://schemas.openxmlformats.org/markup-compatibility/2006">
          <mc:Choice Requires="x14">
            <control shapeId="4119" r:id="rId26" name="A02RatioDD04">
              <controlPr defaultSize="0" print="0" autoFill="0" autoLine="0" autoPict="0" macro="[0]!AnalysisRatioSelected">
                <anchor moveWithCells="1">
                  <from>
                    <xdr:col>3</xdr:col>
                    <xdr:colOff>0</xdr:colOff>
                    <xdr:row>125</xdr:row>
                    <xdr:rowOff>0</xdr:rowOff>
                  </from>
                  <to>
                    <xdr:col>5</xdr:col>
                    <xdr:colOff>0</xdr:colOff>
                    <xdr:row>126</xdr:row>
                    <xdr:rowOff>0</xdr:rowOff>
                  </to>
                </anchor>
              </controlPr>
            </control>
          </mc:Choice>
        </mc:AlternateContent>
        <mc:AlternateContent xmlns:mc="http://schemas.openxmlformats.org/markup-compatibility/2006">
          <mc:Choice Requires="x14">
            <control shapeId="4120" r:id="rId27" name="A02RatioDD05">
              <controlPr defaultSize="0" print="0" autoFill="0" autoLine="0" autoPict="0" macro="[0]!AnalysisRatioSelected">
                <anchor moveWithCells="1">
                  <from>
                    <xdr:col>3</xdr:col>
                    <xdr:colOff>0</xdr:colOff>
                    <xdr:row>126</xdr:row>
                    <xdr:rowOff>0</xdr:rowOff>
                  </from>
                  <to>
                    <xdr:col>5</xdr:col>
                    <xdr:colOff>0</xdr:colOff>
                    <xdr:row>127</xdr:row>
                    <xdr:rowOff>0</xdr:rowOff>
                  </to>
                </anchor>
              </controlPr>
            </control>
          </mc:Choice>
        </mc:AlternateContent>
        <mc:AlternateContent xmlns:mc="http://schemas.openxmlformats.org/markup-compatibility/2006">
          <mc:Choice Requires="x14">
            <control shapeId="4121" r:id="rId28" name="A02RatioDD06">
              <controlPr defaultSize="0" print="0" autoFill="0" autoLine="0" autoPict="0" macro="[0]!AnalysisRatioSelected">
                <anchor moveWithCells="1">
                  <from>
                    <xdr:col>3</xdr:col>
                    <xdr:colOff>0</xdr:colOff>
                    <xdr:row>127</xdr:row>
                    <xdr:rowOff>0</xdr:rowOff>
                  </from>
                  <to>
                    <xdr:col>5</xdr:col>
                    <xdr:colOff>0</xdr:colOff>
                    <xdr:row>128</xdr:row>
                    <xdr:rowOff>0</xdr:rowOff>
                  </to>
                </anchor>
              </controlPr>
            </control>
          </mc:Choice>
        </mc:AlternateContent>
        <mc:AlternateContent xmlns:mc="http://schemas.openxmlformats.org/markup-compatibility/2006">
          <mc:Choice Requires="x14">
            <control shapeId="4122" r:id="rId29" name="A03RatioDD01">
              <controlPr defaultSize="0" print="0" autoFill="0" autoLine="0" autoPict="0" macro="[0]!AnalysisRatioSelected">
                <anchor moveWithCells="1">
                  <from>
                    <xdr:col>3</xdr:col>
                    <xdr:colOff>0</xdr:colOff>
                    <xdr:row>166</xdr:row>
                    <xdr:rowOff>0</xdr:rowOff>
                  </from>
                  <to>
                    <xdr:col>5</xdr:col>
                    <xdr:colOff>0</xdr:colOff>
                    <xdr:row>167</xdr:row>
                    <xdr:rowOff>0</xdr:rowOff>
                  </to>
                </anchor>
              </controlPr>
            </control>
          </mc:Choice>
        </mc:AlternateContent>
        <mc:AlternateContent xmlns:mc="http://schemas.openxmlformats.org/markup-compatibility/2006">
          <mc:Choice Requires="x14">
            <control shapeId="4123" r:id="rId30" name="A03RatioDD02">
              <controlPr defaultSize="0" print="0" autoFill="0" autoLine="0" autoPict="0" macro="[0]!AnalysisRatioSelected">
                <anchor moveWithCells="1">
                  <from>
                    <xdr:col>3</xdr:col>
                    <xdr:colOff>0</xdr:colOff>
                    <xdr:row>167</xdr:row>
                    <xdr:rowOff>0</xdr:rowOff>
                  </from>
                  <to>
                    <xdr:col>5</xdr:col>
                    <xdr:colOff>0</xdr:colOff>
                    <xdr:row>168</xdr:row>
                    <xdr:rowOff>0</xdr:rowOff>
                  </to>
                </anchor>
              </controlPr>
            </control>
          </mc:Choice>
        </mc:AlternateContent>
        <mc:AlternateContent xmlns:mc="http://schemas.openxmlformats.org/markup-compatibility/2006">
          <mc:Choice Requires="x14">
            <control shapeId="4124" r:id="rId31" name="A03RatioDD03">
              <controlPr defaultSize="0" print="0" autoFill="0" autoLine="0" autoPict="0" macro="[0]!AnalysisRatioSelected">
                <anchor moveWithCells="1">
                  <from>
                    <xdr:col>3</xdr:col>
                    <xdr:colOff>0</xdr:colOff>
                    <xdr:row>168</xdr:row>
                    <xdr:rowOff>0</xdr:rowOff>
                  </from>
                  <to>
                    <xdr:col>5</xdr:col>
                    <xdr:colOff>0</xdr:colOff>
                    <xdr:row>169</xdr:row>
                    <xdr:rowOff>0</xdr:rowOff>
                  </to>
                </anchor>
              </controlPr>
            </control>
          </mc:Choice>
        </mc:AlternateContent>
        <mc:AlternateContent xmlns:mc="http://schemas.openxmlformats.org/markup-compatibility/2006">
          <mc:Choice Requires="x14">
            <control shapeId="4125" r:id="rId32" name="A03RatioDD04">
              <controlPr defaultSize="0" print="0" autoFill="0" autoLine="0" autoPict="0" macro="[0]!AnalysisRatioSelected">
                <anchor moveWithCells="1">
                  <from>
                    <xdr:col>3</xdr:col>
                    <xdr:colOff>0</xdr:colOff>
                    <xdr:row>169</xdr:row>
                    <xdr:rowOff>0</xdr:rowOff>
                  </from>
                  <to>
                    <xdr:col>5</xdr:col>
                    <xdr:colOff>0</xdr:colOff>
                    <xdr:row>170</xdr:row>
                    <xdr:rowOff>0</xdr:rowOff>
                  </to>
                </anchor>
              </controlPr>
            </control>
          </mc:Choice>
        </mc:AlternateContent>
        <mc:AlternateContent xmlns:mc="http://schemas.openxmlformats.org/markup-compatibility/2006">
          <mc:Choice Requires="x14">
            <control shapeId="4126" r:id="rId33" name="A03RatioDD05">
              <controlPr defaultSize="0" print="0" autoFill="0" autoLine="0" autoPict="0" macro="[0]!AnalysisRatioSelected">
                <anchor moveWithCells="1">
                  <from>
                    <xdr:col>3</xdr:col>
                    <xdr:colOff>0</xdr:colOff>
                    <xdr:row>170</xdr:row>
                    <xdr:rowOff>0</xdr:rowOff>
                  </from>
                  <to>
                    <xdr:col>5</xdr:col>
                    <xdr:colOff>0</xdr:colOff>
                    <xdr:row>171</xdr:row>
                    <xdr:rowOff>0</xdr:rowOff>
                  </to>
                </anchor>
              </controlPr>
            </control>
          </mc:Choice>
        </mc:AlternateContent>
        <mc:AlternateContent xmlns:mc="http://schemas.openxmlformats.org/markup-compatibility/2006">
          <mc:Choice Requires="x14">
            <control shapeId="4127" r:id="rId34" name="A03RatioDD06">
              <controlPr defaultSize="0" print="0" autoFill="0" autoLine="0" autoPict="0" macro="[0]!AnalysisRatioSelected">
                <anchor moveWithCells="1">
                  <from>
                    <xdr:col>3</xdr:col>
                    <xdr:colOff>0</xdr:colOff>
                    <xdr:row>171</xdr:row>
                    <xdr:rowOff>0</xdr:rowOff>
                  </from>
                  <to>
                    <xdr:col>5</xdr:col>
                    <xdr:colOff>0</xdr:colOff>
                    <xdr:row>172</xdr:row>
                    <xdr:rowOff>0</xdr:rowOff>
                  </to>
                </anchor>
              </controlPr>
            </control>
          </mc:Choice>
        </mc:AlternateContent>
        <mc:AlternateContent xmlns:mc="http://schemas.openxmlformats.org/markup-compatibility/2006">
          <mc:Choice Requires="x14">
            <control shapeId="4128" r:id="rId35" name="A04RatioDD01">
              <controlPr defaultSize="0" print="0" autoFill="0" autoLine="0" autoPict="0" macro="[0]!AnalysisRatioSelected">
                <anchor moveWithCells="1">
                  <from>
                    <xdr:col>3</xdr:col>
                    <xdr:colOff>0</xdr:colOff>
                    <xdr:row>210</xdr:row>
                    <xdr:rowOff>0</xdr:rowOff>
                  </from>
                  <to>
                    <xdr:col>5</xdr:col>
                    <xdr:colOff>0</xdr:colOff>
                    <xdr:row>211</xdr:row>
                    <xdr:rowOff>0</xdr:rowOff>
                  </to>
                </anchor>
              </controlPr>
            </control>
          </mc:Choice>
        </mc:AlternateContent>
        <mc:AlternateContent xmlns:mc="http://schemas.openxmlformats.org/markup-compatibility/2006">
          <mc:Choice Requires="x14">
            <control shapeId="4129" r:id="rId36" name="A04RatioDD02">
              <controlPr defaultSize="0" print="0" autoFill="0" autoLine="0" autoPict="0" macro="[0]!AnalysisRatioSelected">
                <anchor moveWithCells="1">
                  <from>
                    <xdr:col>3</xdr:col>
                    <xdr:colOff>0</xdr:colOff>
                    <xdr:row>211</xdr:row>
                    <xdr:rowOff>0</xdr:rowOff>
                  </from>
                  <to>
                    <xdr:col>5</xdr:col>
                    <xdr:colOff>0</xdr:colOff>
                    <xdr:row>212</xdr:row>
                    <xdr:rowOff>0</xdr:rowOff>
                  </to>
                </anchor>
              </controlPr>
            </control>
          </mc:Choice>
        </mc:AlternateContent>
        <mc:AlternateContent xmlns:mc="http://schemas.openxmlformats.org/markup-compatibility/2006">
          <mc:Choice Requires="x14">
            <control shapeId="4130" r:id="rId37" name="A04RatioDD03">
              <controlPr defaultSize="0" print="0" autoFill="0" autoLine="0" autoPict="0" macro="[0]!AnalysisRatioSelected">
                <anchor moveWithCells="1">
                  <from>
                    <xdr:col>3</xdr:col>
                    <xdr:colOff>0</xdr:colOff>
                    <xdr:row>212</xdr:row>
                    <xdr:rowOff>0</xdr:rowOff>
                  </from>
                  <to>
                    <xdr:col>5</xdr:col>
                    <xdr:colOff>0</xdr:colOff>
                    <xdr:row>213</xdr:row>
                    <xdr:rowOff>0</xdr:rowOff>
                  </to>
                </anchor>
              </controlPr>
            </control>
          </mc:Choice>
        </mc:AlternateContent>
        <mc:AlternateContent xmlns:mc="http://schemas.openxmlformats.org/markup-compatibility/2006">
          <mc:Choice Requires="x14">
            <control shapeId="4131" r:id="rId38" name="A04RatioDD04">
              <controlPr defaultSize="0" print="0" autoFill="0" autoLine="0" autoPict="0" macro="[0]!AnalysisRatioSelected">
                <anchor moveWithCells="1">
                  <from>
                    <xdr:col>3</xdr:col>
                    <xdr:colOff>0</xdr:colOff>
                    <xdr:row>213</xdr:row>
                    <xdr:rowOff>0</xdr:rowOff>
                  </from>
                  <to>
                    <xdr:col>5</xdr:col>
                    <xdr:colOff>0</xdr:colOff>
                    <xdr:row>214</xdr:row>
                    <xdr:rowOff>0</xdr:rowOff>
                  </to>
                </anchor>
              </controlPr>
            </control>
          </mc:Choice>
        </mc:AlternateContent>
        <mc:AlternateContent xmlns:mc="http://schemas.openxmlformats.org/markup-compatibility/2006">
          <mc:Choice Requires="x14">
            <control shapeId="4132" r:id="rId39" name="A04RatioDD05">
              <controlPr defaultSize="0" print="0" autoFill="0" autoLine="0" autoPict="0" macro="[0]!AnalysisRatioSelected">
                <anchor moveWithCells="1">
                  <from>
                    <xdr:col>3</xdr:col>
                    <xdr:colOff>0</xdr:colOff>
                    <xdr:row>214</xdr:row>
                    <xdr:rowOff>0</xdr:rowOff>
                  </from>
                  <to>
                    <xdr:col>5</xdr:col>
                    <xdr:colOff>0</xdr:colOff>
                    <xdr:row>215</xdr:row>
                    <xdr:rowOff>0</xdr:rowOff>
                  </to>
                </anchor>
              </controlPr>
            </control>
          </mc:Choice>
        </mc:AlternateContent>
        <mc:AlternateContent xmlns:mc="http://schemas.openxmlformats.org/markup-compatibility/2006">
          <mc:Choice Requires="x14">
            <control shapeId="4133" r:id="rId40" name="A04RatioDD06">
              <controlPr defaultSize="0" print="0" autoFill="0" autoLine="0" autoPict="0" macro="[0]!AnalysisRatioSelected">
                <anchor moveWithCells="1">
                  <from>
                    <xdr:col>3</xdr:col>
                    <xdr:colOff>0</xdr:colOff>
                    <xdr:row>215</xdr:row>
                    <xdr:rowOff>0</xdr:rowOff>
                  </from>
                  <to>
                    <xdr:col>5</xdr:col>
                    <xdr:colOff>0</xdr:colOff>
                    <xdr:row>216</xdr:row>
                    <xdr:rowOff>0</xdr:rowOff>
                  </to>
                </anchor>
              </controlPr>
            </control>
          </mc:Choice>
        </mc:AlternateContent>
        <mc:AlternateContent xmlns:mc="http://schemas.openxmlformats.org/markup-compatibility/2006">
          <mc:Choice Requires="x14">
            <control shapeId="4134" r:id="rId41" name="A05RatioDD01">
              <controlPr defaultSize="0" print="0" autoFill="0" autoLine="0" autoPict="0" macro="[0]!AnalysisRatioSelected">
                <anchor moveWithCells="1">
                  <from>
                    <xdr:col>3</xdr:col>
                    <xdr:colOff>0</xdr:colOff>
                    <xdr:row>256</xdr:row>
                    <xdr:rowOff>0</xdr:rowOff>
                  </from>
                  <to>
                    <xdr:col>5</xdr:col>
                    <xdr:colOff>0</xdr:colOff>
                    <xdr:row>257</xdr:row>
                    <xdr:rowOff>0</xdr:rowOff>
                  </to>
                </anchor>
              </controlPr>
            </control>
          </mc:Choice>
        </mc:AlternateContent>
        <mc:AlternateContent xmlns:mc="http://schemas.openxmlformats.org/markup-compatibility/2006">
          <mc:Choice Requires="x14">
            <control shapeId="4135" r:id="rId42" name="A05RatioDD02">
              <controlPr defaultSize="0" print="0" autoFill="0" autoLine="0" autoPict="0" macro="[0]!AnalysisRatioSelected">
                <anchor moveWithCells="1">
                  <from>
                    <xdr:col>3</xdr:col>
                    <xdr:colOff>0</xdr:colOff>
                    <xdr:row>257</xdr:row>
                    <xdr:rowOff>0</xdr:rowOff>
                  </from>
                  <to>
                    <xdr:col>5</xdr:col>
                    <xdr:colOff>0</xdr:colOff>
                    <xdr:row>258</xdr:row>
                    <xdr:rowOff>0</xdr:rowOff>
                  </to>
                </anchor>
              </controlPr>
            </control>
          </mc:Choice>
        </mc:AlternateContent>
        <mc:AlternateContent xmlns:mc="http://schemas.openxmlformats.org/markup-compatibility/2006">
          <mc:Choice Requires="x14">
            <control shapeId="4136" r:id="rId43" name="A05RatioDD03">
              <controlPr defaultSize="0" print="0" autoFill="0" autoLine="0" autoPict="0" macro="[0]!AnalysisRatioSelected">
                <anchor moveWithCells="1">
                  <from>
                    <xdr:col>3</xdr:col>
                    <xdr:colOff>0</xdr:colOff>
                    <xdr:row>258</xdr:row>
                    <xdr:rowOff>0</xdr:rowOff>
                  </from>
                  <to>
                    <xdr:col>5</xdr:col>
                    <xdr:colOff>0</xdr:colOff>
                    <xdr:row>259</xdr:row>
                    <xdr:rowOff>0</xdr:rowOff>
                  </to>
                </anchor>
              </controlPr>
            </control>
          </mc:Choice>
        </mc:AlternateContent>
        <mc:AlternateContent xmlns:mc="http://schemas.openxmlformats.org/markup-compatibility/2006">
          <mc:Choice Requires="x14">
            <control shapeId="4137" r:id="rId44" name="A05RatioDD04">
              <controlPr defaultSize="0" print="0" autoFill="0" autoLine="0" autoPict="0" macro="[0]!AnalysisRatioSelected">
                <anchor moveWithCells="1">
                  <from>
                    <xdr:col>3</xdr:col>
                    <xdr:colOff>0</xdr:colOff>
                    <xdr:row>259</xdr:row>
                    <xdr:rowOff>0</xdr:rowOff>
                  </from>
                  <to>
                    <xdr:col>5</xdr:col>
                    <xdr:colOff>0</xdr:colOff>
                    <xdr:row>260</xdr:row>
                    <xdr:rowOff>0</xdr:rowOff>
                  </to>
                </anchor>
              </controlPr>
            </control>
          </mc:Choice>
        </mc:AlternateContent>
        <mc:AlternateContent xmlns:mc="http://schemas.openxmlformats.org/markup-compatibility/2006">
          <mc:Choice Requires="x14">
            <control shapeId="4138" r:id="rId45" name="A05RatioDD05">
              <controlPr defaultSize="0" print="0" autoFill="0" autoLine="0" autoPict="0" macro="[0]!AnalysisRatioSelected">
                <anchor moveWithCells="1">
                  <from>
                    <xdr:col>3</xdr:col>
                    <xdr:colOff>0</xdr:colOff>
                    <xdr:row>260</xdr:row>
                    <xdr:rowOff>0</xdr:rowOff>
                  </from>
                  <to>
                    <xdr:col>5</xdr:col>
                    <xdr:colOff>0</xdr:colOff>
                    <xdr:row>261</xdr:row>
                    <xdr:rowOff>0</xdr:rowOff>
                  </to>
                </anchor>
              </controlPr>
            </control>
          </mc:Choice>
        </mc:AlternateContent>
        <mc:AlternateContent xmlns:mc="http://schemas.openxmlformats.org/markup-compatibility/2006">
          <mc:Choice Requires="x14">
            <control shapeId="4139" r:id="rId46" name="A05RatioDD06">
              <controlPr defaultSize="0" print="0" autoFill="0" autoLine="0" autoPict="0" macro="[0]!AnalysisRatioSelected">
                <anchor moveWithCells="1">
                  <from>
                    <xdr:col>3</xdr:col>
                    <xdr:colOff>0</xdr:colOff>
                    <xdr:row>261</xdr:row>
                    <xdr:rowOff>0</xdr:rowOff>
                  </from>
                  <to>
                    <xdr:col>5</xdr:col>
                    <xdr:colOff>0</xdr:colOff>
                    <xdr:row>262</xdr:row>
                    <xdr:rowOff>0</xdr:rowOff>
                  </to>
                </anchor>
              </controlPr>
            </control>
          </mc:Choice>
        </mc:AlternateContent>
        <mc:AlternateContent xmlns:mc="http://schemas.openxmlformats.org/markup-compatibility/2006">
          <mc:Choice Requires="x14">
            <control shapeId="4140" r:id="rId47" name="AFinYearDD06">
              <controlPr defaultSize="0" print="0" autoFill="0" autoLine="0" autoPict="0" macro="[0]!AnalysisYearChanged">
                <anchor moveWithCells="1">
                  <from>
                    <xdr:col>3</xdr:col>
                    <xdr:colOff>1085850</xdr:colOff>
                    <xdr:row>32</xdr:row>
                    <xdr:rowOff>0</xdr:rowOff>
                  </from>
                  <to>
                    <xdr:col>5</xdr:col>
                    <xdr:colOff>0</xdr:colOff>
                    <xdr:row>33</xdr:row>
                    <xdr:rowOff>0</xdr:rowOff>
                  </to>
                </anchor>
              </controlPr>
            </control>
          </mc:Choice>
        </mc:AlternateContent>
        <mc:AlternateContent xmlns:mc="http://schemas.openxmlformats.org/markup-compatibility/2006">
          <mc:Choice Requires="x14">
            <control shapeId="4141" r:id="rId48" name="A06RatioDD01">
              <controlPr defaultSize="0" print="0" autoFill="0" autoLine="0" autoPict="0" macro="[0]!AnalysisRatioSelected">
                <anchor moveWithCells="1">
                  <from>
                    <xdr:col>3</xdr:col>
                    <xdr:colOff>0</xdr:colOff>
                    <xdr:row>33</xdr:row>
                    <xdr:rowOff>0</xdr:rowOff>
                  </from>
                  <to>
                    <xdr:col>5</xdr:col>
                    <xdr:colOff>0</xdr:colOff>
                    <xdr:row>34</xdr:row>
                    <xdr:rowOff>0</xdr:rowOff>
                  </to>
                </anchor>
              </controlPr>
            </control>
          </mc:Choice>
        </mc:AlternateContent>
        <mc:AlternateContent xmlns:mc="http://schemas.openxmlformats.org/markup-compatibility/2006">
          <mc:Choice Requires="x14">
            <control shapeId="4142" r:id="rId49" name="A06RatioDD02">
              <controlPr defaultSize="0" print="0" autoFill="0" autoLine="0" autoPict="0" macro="[0]!AnalysisRatioSelected">
                <anchor moveWithCells="1">
                  <from>
                    <xdr:col>3</xdr:col>
                    <xdr:colOff>0</xdr:colOff>
                    <xdr:row>34</xdr:row>
                    <xdr:rowOff>0</xdr:rowOff>
                  </from>
                  <to>
                    <xdr:col>5</xdr:col>
                    <xdr:colOff>0</xdr:colOff>
                    <xdr:row>35</xdr:row>
                    <xdr:rowOff>0</xdr:rowOff>
                  </to>
                </anchor>
              </controlPr>
            </control>
          </mc:Choice>
        </mc:AlternateContent>
        <mc:AlternateContent xmlns:mc="http://schemas.openxmlformats.org/markup-compatibility/2006">
          <mc:Choice Requires="x14">
            <control shapeId="4143" r:id="rId50" name="A06RatioDD03">
              <controlPr defaultSize="0" print="0" autoFill="0" autoLine="0" autoPict="0" macro="[0]!AnalysisRatioSelected">
                <anchor moveWithCells="1">
                  <from>
                    <xdr:col>3</xdr:col>
                    <xdr:colOff>0</xdr:colOff>
                    <xdr:row>35</xdr:row>
                    <xdr:rowOff>0</xdr:rowOff>
                  </from>
                  <to>
                    <xdr:col>5</xdr:col>
                    <xdr:colOff>0</xdr:colOff>
                    <xdr:row>36</xdr:row>
                    <xdr:rowOff>0</xdr:rowOff>
                  </to>
                </anchor>
              </controlPr>
            </control>
          </mc:Choice>
        </mc:AlternateContent>
        <mc:AlternateContent xmlns:mc="http://schemas.openxmlformats.org/markup-compatibility/2006">
          <mc:Choice Requires="x14">
            <control shapeId="4144" r:id="rId51" name="A06RatioDD04">
              <controlPr defaultSize="0" print="0" autoFill="0" autoLine="0" autoPict="0" macro="[0]!AnalysisRatioSelected">
                <anchor moveWithCells="1">
                  <from>
                    <xdr:col>3</xdr:col>
                    <xdr:colOff>0</xdr:colOff>
                    <xdr:row>36</xdr:row>
                    <xdr:rowOff>0</xdr:rowOff>
                  </from>
                  <to>
                    <xdr:col>5</xdr:col>
                    <xdr:colOff>0</xdr:colOff>
                    <xdr:row>37</xdr:row>
                    <xdr:rowOff>0</xdr:rowOff>
                  </to>
                </anchor>
              </controlPr>
            </control>
          </mc:Choice>
        </mc:AlternateContent>
        <mc:AlternateContent xmlns:mc="http://schemas.openxmlformats.org/markup-compatibility/2006">
          <mc:Choice Requires="x14">
            <control shapeId="4145" r:id="rId52" name="A06RatioDD05">
              <controlPr defaultSize="0" print="0" autoFill="0" autoLine="0" autoPict="0" macro="[0]!AnalysisRatioSelected">
                <anchor moveWithCells="1">
                  <from>
                    <xdr:col>3</xdr:col>
                    <xdr:colOff>0</xdr:colOff>
                    <xdr:row>37</xdr:row>
                    <xdr:rowOff>0</xdr:rowOff>
                  </from>
                  <to>
                    <xdr:col>5</xdr:col>
                    <xdr:colOff>0</xdr:colOff>
                    <xdr:row>38</xdr:row>
                    <xdr:rowOff>0</xdr:rowOff>
                  </to>
                </anchor>
              </controlPr>
            </control>
          </mc:Choice>
        </mc:AlternateContent>
        <mc:AlternateContent xmlns:mc="http://schemas.openxmlformats.org/markup-compatibility/2006">
          <mc:Choice Requires="x14">
            <control shapeId="4146" r:id="rId53" name="A06RatioDD06">
              <controlPr defaultSize="0" print="0" autoFill="0" autoLine="0" autoPict="0" macro="[0]!AnalysisRatioSelected">
                <anchor moveWithCells="1">
                  <from>
                    <xdr:col>3</xdr:col>
                    <xdr:colOff>0</xdr:colOff>
                    <xdr:row>38</xdr:row>
                    <xdr:rowOff>0</xdr:rowOff>
                  </from>
                  <to>
                    <xdr:col>5</xdr:col>
                    <xdr:colOff>0</xdr:colOff>
                    <xdr:row>39</xdr:row>
                    <xdr:rowOff>0</xdr:rowOff>
                  </to>
                </anchor>
              </controlPr>
            </control>
          </mc:Choice>
        </mc:AlternateContent>
        <mc:AlternateContent xmlns:mc="http://schemas.openxmlformats.org/markup-compatibility/2006">
          <mc:Choice Requires="x14">
            <control shapeId="4157" r:id="rId54" name="VariableDD2">
              <controlPr defaultSize="0" print="0" autoFill="0" autoLine="0" autoPict="0" macro="[0]!IncVarAnalysisRefresh">
                <anchor moveWithCells="1">
                  <from>
                    <xdr:col>5</xdr:col>
                    <xdr:colOff>0</xdr:colOff>
                    <xdr:row>268</xdr:row>
                    <xdr:rowOff>0</xdr:rowOff>
                  </from>
                  <to>
                    <xdr:col>10</xdr:col>
                    <xdr:colOff>0</xdr:colOff>
                    <xdr:row>269</xdr:row>
                    <xdr:rowOff>0</xdr:rowOff>
                  </to>
                </anchor>
              </controlPr>
            </control>
          </mc:Choice>
        </mc:AlternateContent>
        <mc:AlternateContent xmlns:mc="http://schemas.openxmlformats.org/markup-compatibility/2006">
          <mc:Choice Requires="x14">
            <control shapeId="4158" r:id="rId55" name="ValuePeriodDD2">
              <controlPr defaultSize="0" print="0" autoFill="0" autoLine="0" autoPict="0" macro="[0]!IncVarAnalysisSampleValue">
                <anchor moveWithCells="1">
                  <from>
                    <xdr:col>3</xdr:col>
                    <xdr:colOff>1073150</xdr:colOff>
                    <xdr:row>270</xdr:row>
                    <xdr:rowOff>0</xdr:rowOff>
                  </from>
                  <to>
                    <xdr:col>5</xdr:col>
                    <xdr:colOff>0</xdr:colOff>
                    <xdr:row>271</xdr:row>
                    <xdr:rowOff>0</xdr:rowOff>
                  </to>
                </anchor>
              </controlPr>
            </control>
          </mc:Choice>
        </mc:AlternateContent>
        <mc:AlternateContent xmlns:mc="http://schemas.openxmlformats.org/markup-compatibility/2006">
          <mc:Choice Requires="x14">
            <control shapeId="4159" r:id="rId56" name="AFinYearDD07">
              <controlPr defaultSize="0" print="0" autoFill="0" autoLine="0" autoPict="0" macro="[0]!AnalysisYearChanged">
                <anchor moveWithCells="1">
                  <from>
                    <xdr:col>3</xdr:col>
                    <xdr:colOff>1085850</xdr:colOff>
                    <xdr:row>301</xdr:row>
                    <xdr:rowOff>0</xdr:rowOff>
                  </from>
                  <to>
                    <xdr:col>5</xdr:col>
                    <xdr:colOff>0</xdr:colOff>
                    <xdr:row>302</xdr:row>
                    <xdr:rowOff>0</xdr:rowOff>
                  </to>
                </anchor>
              </controlPr>
            </control>
          </mc:Choice>
        </mc:AlternateContent>
        <mc:AlternateContent xmlns:mc="http://schemas.openxmlformats.org/markup-compatibility/2006">
          <mc:Choice Requires="x14">
            <control shapeId="4160" r:id="rId57" name="AFactorDD7">
              <controlPr defaultSize="0" print="0" autoFill="0" autoLine="0" autoPict="0" macro="[0]!AnalysisFactorChanged">
                <anchor moveWithCells="1">
                  <from>
                    <xdr:col>3</xdr:col>
                    <xdr:colOff>0</xdr:colOff>
                    <xdr:row>271</xdr:row>
                    <xdr:rowOff>0</xdr:rowOff>
                  </from>
                  <to>
                    <xdr:col>5</xdr:col>
                    <xdr:colOff>0</xdr:colOff>
                    <xdr:row>272</xdr:row>
                    <xdr:rowOff>0</xdr:rowOff>
                  </to>
                </anchor>
              </controlPr>
            </control>
          </mc:Choice>
        </mc:AlternateContent>
        <mc:AlternateContent xmlns:mc="http://schemas.openxmlformats.org/markup-compatibility/2006">
          <mc:Choice Requires="x14">
            <control shapeId="4161" r:id="rId58" name="A07RatioDD01">
              <controlPr defaultSize="0" print="0" autoFill="0" autoLine="0" autoPict="0" macro="[0]!AnalysisRatioSelected">
                <anchor moveWithCells="1">
                  <from>
                    <xdr:col>3</xdr:col>
                    <xdr:colOff>0</xdr:colOff>
                    <xdr:row>302</xdr:row>
                    <xdr:rowOff>0</xdr:rowOff>
                  </from>
                  <to>
                    <xdr:col>5</xdr:col>
                    <xdr:colOff>0</xdr:colOff>
                    <xdr:row>303</xdr:row>
                    <xdr:rowOff>0</xdr:rowOff>
                  </to>
                </anchor>
              </controlPr>
            </control>
          </mc:Choice>
        </mc:AlternateContent>
        <mc:AlternateContent xmlns:mc="http://schemas.openxmlformats.org/markup-compatibility/2006">
          <mc:Choice Requires="x14">
            <control shapeId="4162" r:id="rId59" name="A07RatioDD02">
              <controlPr defaultSize="0" print="0" autoFill="0" autoLine="0" autoPict="0" macro="[0]!AnalysisRatioSelected">
                <anchor moveWithCells="1">
                  <from>
                    <xdr:col>3</xdr:col>
                    <xdr:colOff>0</xdr:colOff>
                    <xdr:row>303</xdr:row>
                    <xdr:rowOff>0</xdr:rowOff>
                  </from>
                  <to>
                    <xdr:col>5</xdr:col>
                    <xdr:colOff>0</xdr:colOff>
                    <xdr:row>304</xdr:row>
                    <xdr:rowOff>0</xdr:rowOff>
                  </to>
                </anchor>
              </controlPr>
            </control>
          </mc:Choice>
        </mc:AlternateContent>
        <mc:AlternateContent xmlns:mc="http://schemas.openxmlformats.org/markup-compatibility/2006">
          <mc:Choice Requires="x14">
            <control shapeId="4163" r:id="rId60" name="A07RatioDD03">
              <controlPr defaultSize="0" print="0" autoFill="0" autoLine="0" autoPict="0" macro="[0]!AnalysisRatioSelected">
                <anchor moveWithCells="1">
                  <from>
                    <xdr:col>3</xdr:col>
                    <xdr:colOff>0</xdr:colOff>
                    <xdr:row>304</xdr:row>
                    <xdr:rowOff>0</xdr:rowOff>
                  </from>
                  <to>
                    <xdr:col>5</xdr:col>
                    <xdr:colOff>0</xdr:colOff>
                    <xdr:row>305</xdr:row>
                    <xdr:rowOff>0</xdr:rowOff>
                  </to>
                </anchor>
              </controlPr>
            </control>
          </mc:Choice>
        </mc:AlternateContent>
        <mc:AlternateContent xmlns:mc="http://schemas.openxmlformats.org/markup-compatibility/2006">
          <mc:Choice Requires="x14">
            <control shapeId="4164" r:id="rId61" name="A07RatioDD04">
              <controlPr defaultSize="0" print="0" autoFill="0" autoLine="0" autoPict="0" macro="[0]!AnalysisRatioSelected">
                <anchor moveWithCells="1">
                  <from>
                    <xdr:col>3</xdr:col>
                    <xdr:colOff>0</xdr:colOff>
                    <xdr:row>305</xdr:row>
                    <xdr:rowOff>0</xdr:rowOff>
                  </from>
                  <to>
                    <xdr:col>5</xdr:col>
                    <xdr:colOff>0</xdr:colOff>
                    <xdr:row>306</xdr:row>
                    <xdr:rowOff>0</xdr:rowOff>
                  </to>
                </anchor>
              </controlPr>
            </control>
          </mc:Choice>
        </mc:AlternateContent>
        <mc:AlternateContent xmlns:mc="http://schemas.openxmlformats.org/markup-compatibility/2006">
          <mc:Choice Requires="x14">
            <control shapeId="4165" r:id="rId62" name="A07RatioDD05">
              <controlPr defaultSize="0" print="0" autoFill="0" autoLine="0" autoPict="0" macro="[0]!AnalysisRatioSelected">
                <anchor moveWithCells="1">
                  <from>
                    <xdr:col>3</xdr:col>
                    <xdr:colOff>0</xdr:colOff>
                    <xdr:row>306</xdr:row>
                    <xdr:rowOff>0</xdr:rowOff>
                  </from>
                  <to>
                    <xdr:col>5</xdr:col>
                    <xdr:colOff>0</xdr:colOff>
                    <xdr:row>307</xdr:row>
                    <xdr:rowOff>0</xdr:rowOff>
                  </to>
                </anchor>
              </controlPr>
            </control>
          </mc:Choice>
        </mc:AlternateContent>
        <mc:AlternateContent xmlns:mc="http://schemas.openxmlformats.org/markup-compatibility/2006">
          <mc:Choice Requires="x14">
            <control shapeId="4166" r:id="rId63" name="A07RatioDD06">
              <controlPr defaultSize="0" print="0" autoFill="0" autoLine="0" autoPict="0" macro="[0]!AnalysisRatioSelected">
                <anchor moveWithCells="1">
                  <from>
                    <xdr:col>3</xdr:col>
                    <xdr:colOff>0</xdr:colOff>
                    <xdr:row>307</xdr:row>
                    <xdr:rowOff>0</xdr:rowOff>
                  </from>
                  <to>
                    <xdr:col>5</xdr:col>
                    <xdr:colOff>0</xdr:colOff>
                    <xdr:row>308</xdr:row>
                    <xdr:rowOff>0</xdr:rowOff>
                  </to>
                </anchor>
              </controlPr>
            </control>
          </mc:Choice>
        </mc:AlternateContent>
        <mc:AlternateContent xmlns:mc="http://schemas.openxmlformats.org/markup-compatibility/2006">
          <mc:Choice Requires="x14">
            <control shapeId="4167" r:id="rId64" name="VariableDD3">
              <controlPr defaultSize="0" print="0" autoFill="0" autoLine="0" autoPict="0" macro="[0]!IncVarAnalysisRefresh">
                <anchor moveWithCells="1">
                  <from>
                    <xdr:col>5</xdr:col>
                    <xdr:colOff>0</xdr:colOff>
                    <xdr:row>314</xdr:row>
                    <xdr:rowOff>0</xdr:rowOff>
                  </from>
                  <to>
                    <xdr:col>10</xdr:col>
                    <xdr:colOff>0</xdr:colOff>
                    <xdr:row>315</xdr:row>
                    <xdr:rowOff>0</xdr:rowOff>
                  </to>
                </anchor>
              </controlPr>
            </control>
          </mc:Choice>
        </mc:AlternateContent>
        <mc:AlternateContent xmlns:mc="http://schemas.openxmlformats.org/markup-compatibility/2006">
          <mc:Choice Requires="x14">
            <control shapeId="4168" r:id="rId65" name="ValuePeriodDD3">
              <controlPr defaultSize="0" print="0" autoFill="0" autoLine="0" autoPict="0" macro="[0]!IncVarAnalysisSampleValue">
                <anchor moveWithCells="1">
                  <from>
                    <xdr:col>3</xdr:col>
                    <xdr:colOff>1073150</xdr:colOff>
                    <xdr:row>316</xdr:row>
                    <xdr:rowOff>0</xdr:rowOff>
                  </from>
                  <to>
                    <xdr:col>5</xdr:col>
                    <xdr:colOff>0</xdr:colOff>
                    <xdr:row>317</xdr:row>
                    <xdr:rowOff>0</xdr:rowOff>
                  </to>
                </anchor>
              </controlPr>
            </control>
          </mc:Choice>
        </mc:AlternateContent>
        <mc:AlternateContent xmlns:mc="http://schemas.openxmlformats.org/markup-compatibility/2006">
          <mc:Choice Requires="x14">
            <control shapeId="4169" r:id="rId66" name="AFinYearDD08">
              <controlPr defaultSize="0" print="0" autoFill="0" autoLine="0" autoPict="0" macro="[0]!AnalysisYearChanged">
                <anchor moveWithCells="1">
                  <from>
                    <xdr:col>3</xdr:col>
                    <xdr:colOff>1085850</xdr:colOff>
                    <xdr:row>347</xdr:row>
                    <xdr:rowOff>0</xdr:rowOff>
                  </from>
                  <to>
                    <xdr:col>5</xdr:col>
                    <xdr:colOff>0</xdr:colOff>
                    <xdr:row>348</xdr:row>
                    <xdr:rowOff>0</xdr:rowOff>
                  </to>
                </anchor>
              </controlPr>
            </control>
          </mc:Choice>
        </mc:AlternateContent>
        <mc:AlternateContent xmlns:mc="http://schemas.openxmlformats.org/markup-compatibility/2006">
          <mc:Choice Requires="x14">
            <control shapeId="4170" r:id="rId67" name="AFactorDD8">
              <controlPr defaultSize="0" print="0" autoFill="0" autoLine="0" autoPict="0" macro="[0]!AnalysisFactorChanged">
                <anchor moveWithCells="1">
                  <from>
                    <xdr:col>3</xdr:col>
                    <xdr:colOff>0</xdr:colOff>
                    <xdr:row>317</xdr:row>
                    <xdr:rowOff>0</xdr:rowOff>
                  </from>
                  <to>
                    <xdr:col>5</xdr:col>
                    <xdr:colOff>0</xdr:colOff>
                    <xdr:row>318</xdr:row>
                    <xdr:rowOff>0</xdr:rowOff>
                  </to>
                </anchor>
              </controlPr>
            </control>
          </mc:Choice>
        </mc:AlternateContent>
        <mc:AlternateContent xmlns:mc="http://schemas.openxmlformats.org/markup-compatibility/2006">
          <mc:Choice Requires="x14">
            <control shapeId="4171" r:id="rId68" name="A08RatioDD01">
              <controlPr defaultSize="0" print="0" autoFill="0" autoLine="0" autoPict="0" macro="[0]!AnalysisRatioSelected">
                <anchor moveWithCells="1">
                  <from>
                    <xdr:col>3</xdr:col>
                    <xdr:colOff>0</xdr:colOff>
                    <xdr:row>348</xdr:row>
                    <xdr:rowOff>0</xdr:rowOff>
                  </from>
                  <to>
                    <xdr:col>5</xdr:col>
                    <xdr:colOff>0</xdr:colOff>
                    <xdr:row>349</xdr:row>
                    <xdr:rowOff>0</xdr:rowOff>
                  </to>
                </anchor>
              </controlPr>
            </control>
          </mc:Choice>
        </mc:AlternateContent>
        <mc:AlternateContent xmlns:mc="http://schemas.openxmlformats.org/markup-compatibility/2006">
          <mc:Choice Requires="x14">
            <control shapeId="4172" r:id="rId69" name="A08RatioDD02">
              <controlPr defaultSize="0" print="0" autoFill="0" autoLine="0" autoPict="0" macro="[0]!AnalysisRatioSelected">
                <anchor moveWithCells="1">
                  <from>
                    <xdr:col>3</xdr:col>
                    <xdr:colOff>0</xdr:colOff>
                    <xdr:row>349</xdr:row>
                    <xdr:rowOff>0</xdr:rowOff>
                  </from>
                  <to>
                    <xdr:col>5</xdr:col>
                    <xdr:colOff>0</xdr:colOff>
                    <xdr:row>350</xdr:row>
                    <xdr:rowOff>0</xdr:rowOff>
                  </to>
                </anchor>
              </controlPr>
            </control>
          </mc:Choice>
        </mc:AlternateContent>
        <mc:AlternateContent xmlns:mc="http://schemas.openxmlformats.org/markup-compatibility/2006">
          <mc:Choice Requires="x14">
            <control shapeId="4173" r:id="rId70" name="A08RatioDD03">
              <controlPr defaultSize="0" print="0" autoFill="0" autoLine="0" autoPict="0" macro="[0]!AnalysisRatioSelected">
                <anchor moveWithCells="1">
                  <from>
                    <xdr:col>3</xdr:col>
                    <xdr:colOff>0</xdr:colOff>
                    <xdr:row>350</xdr:row>
                    <xdr:rowOff>0</xdr:rowOff>
                  </from>
                  <to>
                    <xdr:col>5</xdr:col>
                    <xdr:colOff>0</xdr:colOff>
                    <xdr:row>351</xdr:row>
                    <xdr:rowOff>0</xdr:rowOff>
                  </to>
                </anchor>
              </controlPr>
            </control>
          </mc:Choice>
        </mc:AlternateContent>
        <mc:AlternateContent xmlns:mc="http://schemas.openxmlformats.org/markup-compatibility/2006">
          <mc:Choice Requires="x14">
            <control shapeId="4174" r:id="rId71" name="A08RatioDD04">
              <controlPr defaultSize="0" print="0" autoFill="0" autoLine="0" autoPict="0" macro="[0]!AnalysisRatioSelected">
                <anchor moveWithCells="1">
                  <from>
                    <xdr:col>3</xdr:col>
                    <xdr:colOff>0</xdr:colOff>
                    <xdr:row>351</xdr:row>
                    <xdr:rowOff>0</xdr:rowOff>
                  </from>
                  <to>
                    <xdr:col>5</xdr:col>
                    <xdr:colOff>0</xdr:colOff>
                    <xdr:row>352</xdr:row>
                    <xdr:rowOff>0</xdr:rowOff>
                  </to>
                </anchor>
              </controlPr>
            </control>
          </mc:Choice>
        </mc:AlternateContent>
        <mc:AlternateContent xmlns:mc="http://schemas.openxmlformats.org/markup-compatibility/2006">
          <mc:Choice Requires="x14">
            <control shapeId="4175" r:id="rId72" name="A08RatioDD05">
              <controlPr defaultSize="0" print="0" autoFill="0" autoLine="0" autoPict="0" macro="[0]!AnalysisRatioSelected">
                <anchor moveWithCells="1">
                  <from>
                    <xdr:col>3</xdr:col>
                    <xdr:colOff>0</xdr:colOff>
                    <xdr:row>352</xdr:row>
                    <xdr:rowOff>0</xdr:rowOff>
                  </from>
                  <to>
                    <xdr:col>5</xdr:col>
                    <xdr:colOff>0</xdr:colOff>
                    <xdr:row>353</xdr:row>
                    <xdr:rowOff>0</xdr:rowOff>
                  </to>
                </anchor>
              </controlPr>
            </control>
          </mc:Choice>
        </mc:AlternateContent>
        <mc:AlternateContent xmlns:mc="http://schemas.openxmlformats.org/markup-compatibility/2006">
          <mc:Choice Requires="x14">
            <control shapeId="4176" r:id="rId73" name="A08RatioDD06">
              <controlPr defaultSize="0" print="0" autoFill="0" autoLine="0" autoPict="0" macro="[0]!AnalysisRatioSelected">
                <anchor moveWithCells="1">
                  <from>
                    <xdr:col>3</xdr:col>
                    <xdr:colOff>0</xdr:colOff>
                    <xdr:row>353</xdr:row>
                    <xdr:rowOff>0</xdr:rowOff>
                  </from>
                  <to>
                    <xdr:col>5</xdr:col>
                    <xdr:colOff>0</xdr:colOff>
                    <xdr:row>354</xdr:row>
                    <xdr:rowOff>0</xdr:rowOff>
                  </to>
                </anchor>
              </controlPr>
            </control>
          </mc:Choice>
        </mc:AlternateContent>
        <mc:AlternateContent xmlns:mc="http://schemas.openxmlformats.org/markup-compatibility/2006">
          <mc:Choice Requires="x14">
            <control shapeId="4177" r:id="rId74" name="VariableDD4">
              <controlPr defaultSize="0" print="0" autoFill="0" autoLine="0" autoPict="0" macro="[0]!IncVarAnalysisRefresh">
                <anchor moveWithCells="1">
                  <from>
                    <xdr:col>5</xdr:col>
                    <xdr:colOff>0</xdr:colOff>
                    <xdr:row>360</xdr:row>
                    <xdr:rowOff>0</xdr:rowOff>
                  </from>
                  <to>
                    <xdr:col>10</xdr:col>
                    <xdr:colOff>0</xdr:colOff>
                    <xdr:row>361</xdr:row>
                    <xdr:rowOff>0</xdr:rowOff>
                  </to>
                </anchor>
              </controlPr>
            </control>
          </mc:Choice>
        </mc:AlternateContent>
        <mc:AlternateContent xmlns:mc="http://schemas.openxmlformats.org/markup-compatibility/2006">
          <mc:Choice Requires="x14">
            <control shapeId="4178" r:id="rId75" name="ValuePeriodDD4">
              <controlPr defaultSize="0" print="0" autoFill="0" autoLine="0" autoPict="0" macro="[0]!IncVarAnalysisSampleValue">
                <anchor moveWithCells="1">
                  <from>
                    <xdr:col>3</xdr:col>
                    <xdr:colOff>1073150</xdr:colOff>
                    <xdr:row>362</xdr:row>
                    <xdr:rowOff>0</xdr:rowOff>
                  </from>
                  <to>
                    <xdr:col>5</xdr:col>
                    <xdr:colOff>0</xdr:colOff>
                    <xdr:row>363</xdr:row>
                    <xdr:rowOff>0</xdr:rowOff>
                  </to>
                </anchor>
              </controlPr>
            </control>
          </mc:Choice>
        </mc:AlternateContent>
        <mc:AlternateContent xmlns:mc="http://schemas.openxmlformats.org/markup-compatibility/2006">
          <mc:Choice Requires="x14">
            <control shapeId="4179" r:id="rId76" name="AFinYearDD09">
              <controlPr defaultSize="0" print="0" autoFill="0" autoLine="0" autoPict="0" macro="[0]!AnalysisYearChanged">
                <anchor moveWithCells="1">
                  <from>
                    <xdr:col>3</xdr:col>
                    <xdr:colOff>1085850</xdr:colOff>
                    <xdr:row>393</xdr:row>
                    <xdr:rowOff>0</xdr:rowOff>
                  </from>
                  <to>
                    <xdr:col>5</xdr:col>
                    <xdr:colOff>0</xdr:colOff>
                    <xdr:row>394</xdr:row>
                    <xdr:rowOff>0</xdr:rowOff>
                  </to>
                </anchor>
              </controlPr>
            </control>
          </mc:Choice>
        </mc:AlternateContent>
        <mc:AlternateContent xmlns:mc="http://schemas.openxmlformats.org/markup-compatibility/2006">
          <mc:Choice Requires="x14">
            <control shapeId="4180" r:id="rId77" name="AFactorDD9">
              <controlPr defaultSize="0" print="0" autoFill="0" autoLine="0" autoPict="0" macro="[0]!AnalysisFactorChanged">
                <anchor moveWithCells="1">
                  <from>
                    <xdr:col>3</xdr:col>
                    <xdr:colOff>0</xdr:colOff>
                    <xdr:row>363</xdr:row>
                    <xdr:rowOff>0</xdr:rowOff>
                  </from>
                  <to>
                    <xdr:col>5</xdr:col>
                    <xdr:colOff>0</xdr:colOff>
                    <xdr:row>364</xdr:row>
                    <xdr:rowOff>0</xdr:rowOff>
                  </to>
                </anchor>
              </controlPr>
            </control>
          </mc:Choice>
        </mc:AlternateContent>
        <mc:AlternateContent xmlns:mc="http://schemas.openxmlformats.org/markup-compatibility/2006">
          <mc:Choice Requires="x14">
            <control shapeId="4181" r:id="rId78" name="A09RatioDD01">
              <controlPr defaultSize="0" print="0" autoFill="0" autoLine="0" autoPict="0" macro="[0]!AnalysisRatioSelected">
                <anchor moveWithCells="1">
                  <from>
                    <xdr:col>3</xdr:col>
                    <xdr:colOff>0</xdr:colOff>
                    <xdr:row>394</xdr:row>
                    <xdr:rowOff>0</xdr:rowOff>
                  </from>
                  <to>
                    <xdr:col>5</xdr:col>
                    <xdr:colOff>0</xdr:colOff>
                    <xdr:row>395</xdr:row>
                    <xdr:rowOff>0</xdr:rowOff>
                  </to>
                </anchor>
              </controlPr>
            </control>
          </mc:Choice>
        </mc:AlternateContent>
        <mc:AlternateContent xmlns:mc="http://schemas.openxmlformats.org/markup-compatibility/2006">
          <mc:Choice Requires="x14">
            <control shapeId="4182" r:id="rId79" name="A09RatioDD02">
              <controlPr defaultSize="0" print="0" autoFill="0" autoLine="0" autoPict="0" macro="[0]!AnalysisRatioSelected">
                <anchor moveWithCells="1">
                  <from>
                    <xdr:col>3</xdr:col>
                    <xdr:colOff>0</xdr:colOff>
                    <xdr:row>395</xdr:row>
                    <xdr:rowOff>0</xdr:rowOff>
                  </from>
                  <to>
                    <xdr:col>5</xdr:col>
                    <xdr:colOff>0</xdr:colOff>
                    <xdr:row>396</xdr:row>
                    <xdr:rowOff>0</xdr:rowOff>
                  </to>
                </anchor>
              </controlPr>
            </control>
          </mc:Choice>
        </mc:AlternateContent>
        <mc:AlternateContent xmlns:mc="http://schemas.openxmlformats.org/markup-compatibility/2006">
          <mc:Choice Requires="x14">
            <control shapeId="4183" r:id="rId80" name="A09RatioDD03">
              <controlPr defaultSize="0" print="0" autoFill="0" autoLine="0" autoPict="0" macro="[0]!AnalysisRatioSelected">
                <anchor moveWithCells="1">
                  <from>
                    <xdr:col>3</xdr:col>
                    <xdr:colOff>0</xdr:colOff>
                    <xdr:row>396</xdr:row>
                    <xdr:rowOff>0</xdr:rowOff>
                  </from>
                  <to>
                    <xdr:col>5</xdr:col>
                    <xdr:colOff>0</xdr:colOff>
                    <xdr:row>397</xdr:row>
                    <xdr:rowOff>0</xdr:rowOff>
                  </to>
                </anchor>
              </controlPr>
            </control>
          </mc:Choice>
        </mc:AlternateContent>
        <mc:AlternateContent xmlns:mc="http://schemas.openxmlformats.org/markup-compatibility/2006">
          <mc:Choice Requires="x14">
            <control shapeId="4184" r:id="rId81" name="A09RatioDD04">
              <controlPr defaultSize="0" print="0" autoFill="0" autoLine="0" autoPict="0" macro="[0]!AnalysisRatioSelected">
                <anchor moveWithCells="1">
                  <from>
                    <xdr:col>3</xdr:col>
                    <xdr:colOff>0</xdr:colOff>
                    <xdr:row>397</xdr:row>
                    <xdr:rowOff>0</xdr:rowOff>
                  </from>
                  <to>
                    <xdr:col>5</xdr:col>
                    <xdr:colOff>0</xdr:colOff>
                    <xdr:row>398</xdr:row>
                    <xdr:rowOff>0</xdr:rowOff>
                  </to>
                </anchor>
              </controlPr>
            </control>
          </mc:Choice>
        </mc:AlternateContent>
        <mc:AlternateContent xmlns:mc="http://schemas.openxmlformats.org/markup-compatibility/2006">
          <mc:Choice Requires="x14">
            <control shapeId="4185" r:id="rId82" name="A09RatioDD05">
              <controlPr defaultSize="0" print="0" autoFill="0" autoLine="0" autoPict="0" macro="[0]!AnalysisRatioSelected">
                <anchor moveWithCells="1">
                  <from>
                    <xdr:col>3</xdr:col>
                    <xdr:colOff>0</xdr:colOff>
                    <xdr:row>398</xdr:row>
                    <xdr:rowOff>0</xdr:rowOff>
                  </from>
                  <to>
                    <xdr:col>5</xdr:col>
                    <xdr:colOff>0</xdr:colOff>
                    <xdr:row>399</xdr:row>
                    <xdr:rowOff>0</xdr:rowOff>
                  </to>
                </anchor>
              </controlPr>
            </control>
          </mc:Choice>
        </mc:AlternateContent>
        <mc:AlternateContent xmlns:mc="http://schemas.openxmlformats.org/markup-compatibility/2006">
          <mc:Choice Requires="x14">
            <control shapeId="4186" r:id="rId83" name="A09RatioDD06">
              <controlPr defaultSize="0" print="0" autoFill="0" autoLine="0" autoPict="0" macro="[0]!AnalysisRatioSelected">
                <anchor moveWithCells="1">
                  <from>
                    <xdr:col>3</xdr:col>
                    <xdr:colOff>0</xdr:colOff>
                    <xdr:row>399</xdr:row>
                    <xdr:rowOff>0</xdr:rowOff>
                  </from>
                  <to>
                    <xdr:col>5</xdr:col>
                    <xdr:colOff>0</xdr:colOff>
                    <xdr:row>400</xdr:row>
                    <xdr:rowOff>0</xdr:rowOff>
                  </to>
                </anchor>
              </controlPr>
            </control>
          </mc:Choice>
        </mc:AlternateContent>
        <mc:AlternateContent xmlns:mc="http://schemas.openxmlformats.org/markup-compatibility/2006">
          <mc:Choice Requires="x14">
            <control shapeId="4187" r:id="rId84" name="VariableDD5">
              <controlPr defaultSize="0" print="0" autoFill="0" autoLine="0" autoPict="0" macro="[0]!IncVarAnalysisRefresh">
                <anchor moveWithCells="1">
                  <from>
                    <xdr:col>5</xdr:col>
                    <xdr:colOff>0</xdr:colOff>
                    <xdr:row>406</xdr:row>
                    <xdr:rowOff>0</xdr:rowOff>
                  </from>
                  <to>
                    <xdr:col>10</xdr:col>
                    <xdr:colOff>0</xdr:colOff>
                    <xdr:row>407</xdr:row>
                    <xdr:rowOff>0</xdr:rowOff>
                  </to>
                </anchor>
              </controlPr>
            </control>
          </mc:Choice>
        </mc:AlternateContent>
        <mc:AlternateContent xmlns:mc="http://schemas.openxmlformats.org/markup-compatibility/2006">
          <mc:Choice Requires="x14">
            <control shapeId="4188" r:id="rId85" name="ValuePeriodDD5">
              <controlPr defaultSize="0" print="0" autoFill="0" autoLine="0" autoPict="0" macro="[0]!IncVarAnalysisSampleValue">
                <anchor moveWithCells="1">
                  <from>
                    <xdr:col>3</xdr:col>
                    <xdr:colOff>1073150</xdr:colOff>
                    <xdr:row>408</xdr:row>
                    <xdr:rowOff>0</xdr:rowOff>
                  </from>
                  <to>
                    <xdr:col>5</xdr:col>
                    <xdr:colOff>0</xdr:colOff>
                    <xdr:row>409</xdr:row>
                    <xdr:rowOff>0</xdr:rowOff>
                  </to>
                </anchor>
              </controlPr>
            </control>
          </mc:Choice>
        </mc:AlternateContent>
        <mc:AlternateContent xmlns:mc="http://schemas.openxmlformats.org/markup-compatibility/2006">
          <mc:Choice Requires="x14">
            <control shapeId="4189" r:id="rId86" name="AFinYearDD10">
              <controlPr defaultSize="0" print="0" autoFill="0" autoLine="0" autoPict="0" macro="[0]!AnalysisYearChanged">
                <anchor moveWithCells="1">
                  <from>
                    <xdr:col>3</xdr:col>
                    <xdr:colOff>1085850</xdr:colOff>
                    <xdr:row>439</xdr:row>
                    <xdr:rowOff>0</xdr:rowOff>
                  </from>
                  <to>
                    <xdr:col>5</xdr:col>
                    <xdr:colOff>0</xdr:colOff>
                    <xdr:row>440</xdr:row>
                    <xdr:rowOff>0</xdr:rowOff>
                  </to>
                </anchor>
              </controlPr>
            </control>
          </mc:Choice>
        </mc:AlternateContent>
        <mc:AlternateContent xmlns:mc="http://schemas.openxmlformats.org/markup-compatibility/2006">
          <mc:Choice Requires="x14">
            <control shapeId="4190" r:id="rId87" name="AFactorDD10">
              <controlPr defaultSize="0" print="0" autoFill="0" autoLine="0" autoPict="0" macro="[0]!AnalysisFactorChanged">
                <anchor moveWithCells="1">
                  <from>
                    <xdr:col>3</xdr:col>
                    <xdr:colOff>0</xdr:colOff>
                    <xdr:row>409</xdr:row>
                    <xdr:rowOff>0</xdr:rowOff>
                  </from>
                  <to>
                    <xdr:col>5</xdr:col>
                    <xdr:colOff>0</xdr:colOff>
                    <xdr:row>410</xdr:row>
                    <xdr:rowOff>0</xdr:rowOff>
                  </to>
                </anchor>
              </controlPr>
            </control>
          </mc:Choice>
        </mc:AlternateContent>
        <mc:AlternateContent xmlns:mc="http://schemas.openxmlformats.org/markup-compatibility/2006">
          <mc:Choice Requires="x14">
            <control shapeId="4191" r:id="rId88" name="A10RatioDD01">
              <controlPr defaultSize="0" print="0" autoFill="0" autoLine="0" autoPict="0" macro="[0]!AnalysisRatioSelected">
                <anchor moveWithCells="1">
                  <from>
                    <xdr:col>3</xdr:col>
                    <xdr:colOff>0</xdr:colOff>
                    <xdr:row>440</xdr:row>
                    <xdr:rowOff>0</xdr:rowOff>
                  </from>
                  <to>
                    <xdr:col>5</xdr:col>
                    <xdr:colOff>0</xdr:colOff>
                    <xdr:row>441</xdr:row>
                    <xdr:rowOff>0</xdr:rowOff>
                  </to>
                </anchor>
              </controlPr>
            </control>
          </mc:Choice>
        </mc:AlternateContent>
        <mc:AlternateContent xmlns:mc="http://schemas.openxmlformats.org/markup-compatibility/2006">
          <mc:Choice Requires="x14">
            <control shapeId="4192" r:id="rId89" name="A10RatioDD02">
              <controlPr defaultSize="0" print="0" autoFill="0" autoLine="0" autoPict="0" macro="[0]!AnalysisRatioSelected">
                <anchor moveWithCells="1">
                  <from>
                    <xdr:col>3</xdr:col>
                    <xdr:colOff>0</xdr:colOff>
                    <xdr:row>441</xdr:row>
                    <xdr:rowOff>0</xdr:rowOff>
                  </from>
                  <to>
                    <xdr:col>5</xdr:col>
                    <xdr:colOff>0</xdr:colOff>
                    <xdr:row>442</xdr:row>
                    <xdr:rowOff>0</xdr:rowOff>
                  </to>
                </anchor>
              </controlPr>
            </control>
          </mc:Choice>
        </mc:AlternateContent>
        <mc:AlternateContent xmlns:mc="http://schemas.openxmlformats.org/markup-compatibility/2006">
          <mc:Choice Requires="x14">
            <control shapeId="4193" r:id="rId90" name="A10RatioDD03">
              <controlPr defaultSize="0" print="0" autoFill="0" autoLine="0" autoPict="0" macro="[0]!AnalysisRatioSelected">
                <anchor moveWithCells="1">
                  <from>
                    <xdr:col>3</xdr:col>
                    <xdr:colOff>0</xdr:colOff>
                    <xdr:row>442</xdr:row>
                    <xdr:rowOff>0</xdr:rowOff>
                  </from>
                  <to>
                    <xdr:col>5</xdr:col>
                    <xdr:colOff>0</xdr:colOff>
                    <xdr:row>443</xdr:row>
                    <xdr:rowOff>0</xdr:rowOff>
                  </to>
                </anchor>
              </controlPr>
            </control>
          </mc:Choice>
        </mc:AlternateContent>
        <mc:AlternateContent xmlns:mc="http://schemas.openxmlformats.org/markup-compatibility/2006">
          <mc:Choice Requires="x14">
            <control shapeId="4194" r:id="rId91" name="A10RatioDD04">
              <controlPr defaultSize="0" print="0" autoFill="0" autoLine="0" autoPict="0" macro="[0]!AnalysisRatioSelected">
                <anchor moveWithCells="1">
                  <from>
                    <xdr:col>3</xdr:col>
                    <xdr:colOff>0</xdr:colOff>
                    <xdr:row>443</xdr:row>
                    <xdr:rowOff>0</xdr:rowOff>
                  </from>
                  <to>
                    <xdr:col>5</xdr:col>
                    <xdr:colOff>0</xdr:colOff>
                    <xdr:row>444</xdr:row>
                    <xdr:rowOff>0</xdr:rowOff>
                  </to>
                </anchor>
              </controlPr>
            </control>
          </mc:Choice>
        </mc:AlternateContent>
        <mc:AlternateContent xmlns:mc="http://schemas.openxmlformats.org/markup-compatibility/2006">
          <mc:Choice Requires="x14">
            <control shapeId="4195" r:id="rId92" name="A10RatioDD05">
              <controlPr defaultSize="0" print="0" autoFill="0" autoLine="0" autoPict="0" macro="[0]!AnalysisRatioSelected">
                <anchor moveWithCells="1">
                  <from>
                    <xdr:col>3</xdr:col>
                    <xdr:colOff>0</xdr:colOff>
                    <xdr:row>444</xdr:row>
                    <xdr:rowOff>0</xdr:rowOff>
                  </from>
                  <to>
                    <xdr:col>5</xdr:col>
                    <xdr:colOff>0</xdr:colOff>
                    <xdr:row>445</xdr:row>
                    <xdr:rowOff>0</xdr:rowOff>
                  </to>
                </anchor>
              </controlPr>
            </control>
          </mc:Choice>
        </mc:AlternateContent>
        <mc:AlternateContent xmlns:mc="http://schemas.openxmlformats.org/markup-compatibility/2006">
          <mc:Choice Requires="x14">
            <control shapeId="4196" r:id="rId93" name="A10RatioDD06">
              <controlPr defaultSize="0" print="0" autoFill="0" autoLine="0" autoPict="0" macro="[0]!AnalysisRatioSelected">
                <anchor moveWithCells="1">
                  <from>
                    <xdr:col>3</xdr:col>
                    <xdr:colOff>0</xdr:colOff>
                    <xdr:row>445</xdr:row>
                    <xdr:rowOff>0</xdr:rowOff>
                  </from>
                  <to>
                    <xdr:col>5</xdr:col>
                    <xdr:colOff>0</xdr:colOff>
                    <xdr:row>446</xdr:row>
                    <xdr:rowOff>0</xdr:rowOff>
                  </to>
                </anchor>
              </controlPr>
            </control>
          </mc:Choice>
        </mc:AlternateContent>
        <mc:AlternateContent xmlns:mc="http://schemas.openxmlformats.org/markup-compatibility/2006">
          <mc:Choice Requires="x14">
            <control shapeId="4197" r:id="rId94" name="VariableDD6">
              <controlPr defaultSize="0" print="0" autoFill="0" autoLine="0" autoPict="0" macro="[0]!IncVarAnalysisRefresh">
                <anchor moveWithCells="1">
                  <from>
                    <xdr:col>5</xdr:col>
                    <xdr:colOff>0</xdr:colOff>
                    <xdr:row>452</xdr:row>
                    <xdr:rowOff>0</xdr:rowOff>
                  </from>
                  <to>
                    <xdr:col>10</xdr:col>
                    <xdr:colOff>0</xdr:colOff>
                    <xdr:row>453</xdr:row>
                    <xdr:rowOff>0</xdr:rowOff>
                  </to>
                </anchor>
              </controlPr>
            </control>
          </mc:Choice>
        </mc:AlternateContent>
        <mc:AlternateContent xmlns:mc="http://schemas.openxmlformats.org/markup-compatibility/2006">
          <mc:Choice Requires="x14">
            <control shapeId="4198" r:id="rId95" name="ValuePeriodDD6">
              <controlPr defaultSize="0" print="0" autoFill="0" autoLine="0" autoPict="0" macro="[0]!IncVarAnalysisSampleValue">
                <anchor moveWithCells="1">
                  <from>
                    <xdr:col>3</xdr:col>
                    <xdr:colOff>1073150</xdr:colOff>
                    <xdr:row>454</xdr:row>
                    <xdr:rowOff>0</xdr:rowOff>
                  </from>
                  <to>
                    <xdr:col>5</xdr:col>
                    <xdr:colOff>0</xdr:colOff>
                    <xdr:row>455</xdr:row>
                    <xdr:rowOff>0</xdr:rowOff>
                  </to>
                </anchor>
              </controlPr>
            </control>
          </mc:Choice>
        </mc:AlternateContent>
        <mc:AlternateContent xmlns:mc="http://schemas.openxmlformats.org/markup-compatibility/2006">
          <mc:Choice Requires="x14">
            <control shapeId="4199" r:id="rId96" name="AFinYearDD11">
              <controlPr defaultSize="0" print="0" autoFill="0" autoLine="0" autoPict="0" macro="[0]!AnalysisYearChanged">
                <anchor moveWithCells="1">
                  <from>
                    <xdr:col>3</xdr:col>
                    <xdr:colOff>1085850</xdr:colOff>
                    <xdr:row>485</xdr:row>
                    <xdr:rowOff>0</xdr:rowOff>
                  </from>
                  <to>
                    <xdr:col>5</xdr:col>
                    <xdr:colOff>0</xdr:colOff>
                    <xdr:row>486</xdr:row>
                    <xdr:rowOff>0</xdr:rowOff>
                  </to>
                </anchor>
              </controlPr>
            </control>
          </mc:Choice>
        </mc:AlternateContent>
        <mc:AlternateContent xmlns:mc="http://schemas.openxmlformats.org/markup-compatibility/2006">
          <mc:Choice Requires="x14">
            <control shapeId="4200" r:id="rId97" name="AFactorDD11">
              <controlPr defaultSize="0" print="0" autoFill="0" autoLine="0" autoPict="0" macro="[0]!AnalysisFactorChanged">
                <anchor moveWithCells="1">
                  <from>
                    <xdr:col>3</xdr:col>
                    <xdr:colOff>0</xdr:colOff>
                    <xdr:row>455</xdr:row>
                    <xdr:rowOff>0</xdr:rowOff>
                  </from>
                  <to>
                    <xdr:col>5</xdr:col>
                    <xdr:colOff>0</xdr:colOff>
                    <xdr:row>456</xdr:row>
                    <xdr:rowOff>0</xdr:rowOff>
                  </to>
                </anchor>
              </controlPr>
            </control>
          </mc:Choice>
        </mc:AlternateContent>
        <mc:AlternateContent xmlns:mc="http://schemas.openxmlformats.org/markup-compatibility/2006">
          <mc:Choice Requires="x14">
            <control shapeId="4201" r:id="rId98" name="A11RatioDD01">
              <controlPr defaultSize="0" print="0" autoFill="0" autoLine="0" autoPict="0" macro="[0]!AnalysisRatioSelected">
                <anchor moveWithCells="1">
                  <from>
                    <xdr:col>3</xdr:col>
                    <xdr:colOff>0</xdr:colOff>
                    <xdr:row>486</xdr:row>
                    <xdr:rowOff>0</xdr:rowOff>
                  </from>
                  <to>
                    <xdr:col>5</xdr:col>
                    <xdr:colOff>0</xdr:colOff>
                    <xdr:row>487</xdr:row>
                    <xdr:rowOff>0</xdr:rowOff>
                  </to>
                </anchor>
              </controlPr>
            </control>
          </mc:Choice>
        </mc:AlternateContent>
        <mc:AlternateContent xmlns:mc="http://schemas.openxmlformats.org/markup-compatibility/2006">
          <mc:Choice Requires="x14">
            <control shapeId="4202" r:id="rId99" name="A11RatioDD02">
              <controlPr defaultSize="0" print="0" autoFill="0" autoLine="0" autoPict="0" macro="[0]!AnalysisRatioSelected">
                <anchor moveWithCells="1">
                  <from>
                    <xdr:col>3</xdr:col>
                    <xdr:colOff>0</xdr:colOff>
                    <xdr:row>487</xdr:row>
                    <xdr:rowOff>0</xdr:rowOff>
                  </from>
                  <to>
                    <xdr:col>5</xdr:col>
                    <xdr:colOff>0</xdr:colOff>
                    <xdr:row>488</xdr:row>
                    <xdr:rowOff>0</xdr:rowOff>
                  </to>
                </anchor>
              </controlPr>
            </control>
          </mc:Choice>
        </mc:AlternateContent>
        <mc:AlternateContent xmlns:mc="http://schemas.openxmlformats.org/markup-compatibility/2006">
          <mc:Choice Requires="x14">
            <control shapeId="4203" r:id="rId100" name="A11RatioDD03">
              <controlPr defaultSize="0" print="0" autoFill="0" autoLine="0" autoPict="0" macro="[0]!AnalysisRatioSelected">
                <anchor moveWithCells="1">
                  <from>
                    <xdr:col>3</xdr:col>
                    <xdr:colOff>0</xdr:colOff>
                    <xdr:row>488</xdr:row>
                    <xdr:rowOff>0</xdr:rowOff>
                  </from>
                  <to>
                    <xdr:col>5</xdr:col>
                    <xdr:colOff>0</xdr:colOff>
                    <xdr:row>489</xdr:row>
                    <xdr:rowOff>0</xdr:rowOff>
                  </to>
                </anchor>
              </controlPr>
            </control>
          </mc:Choice>
        </mc:AlternateContent>
        <mc:AlternateContent xmlns:mc="http://schemas.openxmlformats.org/markup-compatibility/2006">
          <mc:Choice Requires="x14">
            <control shapeId="4204" r:id="rId101" name="A11RatioDD04">
              <controlPr defaultSize="0" print="0" autoFill="0" autoLine="0" autoPict="0" macro="[0]!AnalysisRatioSelected">
                <anchor moveWithCells="1">
                  <from>
                    <xdr:col>3</xdr:col>
                    <xdr:colOff>0</xdr:colOff>
                    <xdr:row>489</xdr:row>
                    <xdr:rowOff>0</xdr:rowOff>
                  </from>
                  <to>
                    <xdr:col>5</xdr:col>
                    <xdr:colOff>0</xdr:colOff>
                    <xdr:row>490</xdr:row>
                    <xdr:rowOff>0</xdr:rowOff>
                  </to>
                </anchor>
              </controlPr>
            </control>
          </mc:Choice>
        </mc:AlternateContent>
        <mc:AlternateContent xmlns:mc="http://schemas.openxmlformats.org/markup-compatibility/2006">
          <mc:Choice Requires="x14">
            <control shapeId="4205" r:id="rId102" name="A11RatioDD05">
              <controlPr defaultSize="0" print="0" autoFill="0" autoLine="0" autoPict="0" macro="[0]!AnalysisRatioSelected">
                <anchor moveWithCells="1">
                  <from>
                    <xdr:col>3</xdr:col>
                    <xdr:colOff>0</xdr:colOff>
                    <xdr:row>490</xdr:row>
                    <xdr:rowOff>0</xdr:rowOff>
                  </from>
                  <to>
                    <xdr:col>5</xdr:col>
                    <xdr:colOff>0</xdr:colOff>
                    <xdr:row>491</xdr:row>
                    <xdr:rowOff>0</xdr:rowOff>
                  </to>
                </anchor>
              </controlPr>
            </control>
          </mc:Choice>
        </mc:AlternateContent>
        <mc:AlternateContent xmlns:mc="http://schemas.openxmlformats.org/markup-compatibility/2006">
          <mc:Choice Requires="x14">
            <control shapeId="4206" r:id="rId103" name="A11RatioDD06">
              <controlPr defaultSize="0" print="0" autoFill="0" autoLine="0" autoPict="0" macro="[0]!AnalysisRatioSelected">
                <anchor moveWithCells="1">
                  <from>
                    <xdr:col>3</xdr:col>
                    <xdr:colOff>0</xdr:colOff>
                    <xdr:row>491</xdr:row>
                    <xdr:rowOff>0</xdr:rowOff>
                  </from>
                  <to>
                    <xdr:col>5</xdr:col>
                    <xdr:colOff>0</xdr:colOff>
                    <xdr:row>492</xdr:row>
                    <xdr:rowOff>0</xdr:rowOff>
                  </to>
                </anchor>
              </controlPr>
            </control>
          </mc:Choice>
        </mc:AlternateContent>
        <mc:AlternateContent xmlns:mc="http://schemas.openxmlformats.org/markup-compatibility/2006">
          <mc:Choice Requires="x14">
            <control shapeId="4207" r:id="rId104" name="chkVarRows01">
              <controlPr defaultSize="0" autoFill="0" autoLine="0" autoPict="0">
                <anchor moveWithCells="1">
                  <from>
                    <xdr:col>12</xdr:col>
                    <xdr:colOff>0</xdr:colOff>
                    <xdr:row>222</xdr:row>
                    <xdr:rowOff>0</xdr:rowOff>
                  </from>
                  <to>
                    <xdr:col>12</xdr:col>
                    <xdr:colOff>381000</xdr:colOff>
                    <xdr:row>223</xdr:row>
                    <xdr:rowOff>12700</xdr:rowOff>
                  </to>
                </anchor>
              </controlPr>
            </control>
          </mc:Choice>
        </mc:AlternateContent>
        <mc:AlternateContent xmlns:mc="http://schemas.openxmlformats.org/markup-compatibility/2006">
          <mc:Choice Requires="x14">
            <control shapeId="4218" r:id="rId105" name="Check Box 122">
              <controlPr defaultSize="0" autoFill="0" autoLine="0" autoPict="0">
                <anchor moveWithCells="1">
                  <from>
                    <xdr:col>12</xdr:col>
                    <xdr:colOff>0</xdr:colOff>
                    <xdr:row>268</xdr:row>
                    <xdr:rowOff>0</xdr:rowOff>
                  </from>
                  <to>
                    <xdr:col>12</xdr:col>
                    <xdr:colOff>381000</xdr:colOff>
                    <xdr:row>269</xdr:row>
                    <xdr:rowOff>12700</xdr:rowOff>
                  </to>
                </anchor>
              </controlPr>
            </control>
          </mc:Choice>
        </mc:AlternateContent>
        <mc:AlternateContent xmlns:mc="http://schemas.openxmlformats.org/markup-compatibility/2006">
          <mc:Choice Requires="x14">
            <control shapeId="4219" r:id="rId106" name="Check Box 123">
              <controlPr defaultSize="0" autoFill="0" autoLine="0" autoPict="0">
                <anchor moveWithCells="1">
                  <from>
                    <xdr:col>12</xdr:col>
                    <xdr:colOff>0</xdr:colOff>
                    <xdr:row>314</xdr:row>
                    <xdr:rowOff>0</xdr:rowOff>
                  </from>
                  <to>
                    <xdr:col>12</xdr:col>
                    <xdr:colOff>381000</xdr:colOff>
                    <xdr:row>315</xdr:row>
                    <xdr:rowOff>12700</xdr:rowOff>
                  </to>
                </anchor>
              </controlPr>
            </control>
          </mc:Choice>
        </mc:AlternateContent>
        <mc:AlternateContent xmlns:mc="http://schemas.openxmlformats.org/markup-compatibility/2006">
          <mc:Choice Requires="x14">
            <control shapeId="4220" r:id="rId107" name="Check Box 124">
              <controlPr defaultSize="0" autoFill="0" autoLine="0" autoPict="0">
                <anchor moveWithCells="1">
                  <from>
                    <xdr:col>12</xdr:col>
                    <xdr:colOff>0</xdr:colOff>
                    <xdr:row>360</xdr:row>
                    <xdr:rowOff>0</xdr:rowOff>
                  </from>
                  <to>
                    <xdr:col>12</xdr:col>
                    <xdr:colOff>381000</xdr:colOff>
                    <xdr:row>361</xdr:row>
                    <xdr:rowOff>12700</xdr:rowOff>
                  </to>
                </anchor>
              </controlPr>
            </control>
          </mc:Choice>
        </mc:AlternateContent>
        <mc:AlternateContent xmlns:mc="http://schemas.openxmlformats.org/markup-compatibility/2006">
          <mc:Choice Requires="x14">
            <control shapeId="4221" r:id="rId108" name="Check Box 125">
              <controlPr defaultSize="0" autoFill="0" autoLine="0" autoPict="0">
                <anchor moveWithCells="1">
                  <from>
                    <xdr:col>12</xdr:col>
                    <xdr:colOff>0</xdr:colOff>
                    <xdr:row>406</xdr:row>
                    <xdr:rowOff>0</xdr:rowOff>
                  </from>
                  <to>
                    <xdr:col>12</xdr:col>
                    <xdr:colOff>381000</xdr:colOff>
                    <xdr:row>407</xdr:row>
                    <xdr:rowOff>12700</xdr:rowOff>
                  </to>
                </anchor>
              </controlPr>
            </control>
          </mc:Choice>
        </mc:AlternateContent>
        <mc:AlternateContent xmlns:mc="http://schemas.openxmlformats.org/markup-compatibility/2006">
          <mc:Choice Requires="x14">
            <control shapeId="4222" r:id="rId109" name="Check Box 126">
              <controlPr defaultSize="0" autoFill="0" autoLine="0" autoPict="0">
                <anchor moveWithCells="1">
                  <from>
                    <xdr:col>12</xdr:col>
                    <xdr:colOff>0</xdr:colOff>
                    <xdr:row>452</xdr:row>
                    <xdr:rowOff>0</xdr:rowOff>
                  </from>
                  <to>
                    <xdr:col>12</xdr:col>
                    <xdr:colOff>381000</xdr:colOff>
                    <xdr:row>453</xdr:row>
                    <xdr:rowOff>12700</xdr:rowOff>
                  </to>
                </anchor>
              </controlPr>
            </control>
          </mc:Choice>
        </mc:AlternateContent>
      </controls>
    </mc:Choice>
  </mc:AlternateConten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2">
    <pageSetUpPr autoPageBreaks="0"/>
  </sheetPr>
  <dimension ref="C1:D120"/>
  <sheetViews>
    <sheetView workbookViewId="0">
      <selection activeCell="G31" sqref="G31"/>
    </sheetView>
  </sheetViews>
  <sheetFormatPr defaultColWidth="9.1796875" defaultRowHeight="14.5" x14ac:dyDescent="0.35"/>
  <cols>
    <col min="1" max="16384" width="9.1796875" style="97"/>
  </cols>
  <sheetData>
    <row r="1" spans="3:4" ht="12.75" customHeight="1" x14ac:dyDescent="0.35"/>
    <row r="2" spans="3:4" ht="12.75" customHeight="1" x14ac:dyDescent="0.35"/>
    <row r="3" spans="3:4" ht="12.75" customHeight="1" x14ac:dyDescent="0.35"/>
    <row r="4" spans="3:4" ht="12.75" customHeight="1" x14ac:dyDescent="0.35">
      <c r="D4" s="97" t="s">
        <v>4527</v>
      </c>
    </row>
    <row r="5" spans="3:4" ht="12.75" customHeight="1" x14ac:dyDescent="0.35"/>
    <row r="6" spans="3:4" ht="12.75" customHeight="1" x14ac:dyDescent="0.35">
      <c r="C6" s="159" t="s">
        <v>4915</v>
      </c>
    </row>
    <row r="7" spans="3:4" ht="12.75" customHeight="1" x14ac:dyDescent="0.35"/>
    <row r="8" spans="3:4" ht="12.75" customHeight="1" x14ac:dyDescent="0.35">
      <c r="C8" s="97" t="s">
        <v>4528</v>
      </c>
    </row>
    <row r="9" spans="3:4" ht="12.75" customHeight="1" x14ac:dyDescent="0.35">
      <c r="C9" s="97" t="s">
        <v>4529</v>
      </c>
    </row>
    <row r="10" spans="3:4" ht="12.75" customHeight="1" x14ac:dyDescent="0.35">
      <c r="C10" s="97" t="s">
        <v>4530</v>
      </c>
    </row>
    <row r="11" spans="3:4" ht="12.75" customHeight="1" x14ac:dyDescent="0.35">
      <c r="C11" s="97" t="s">
        <v>4531</v>
      </c>
    </row>
    <row r="12" spans="3:4" ht="12.75" customHeight="1" x14ac:dyDescent="0.35">
      <c r="C12" s="97" t="s">
        <v>4532</v>
      </c>
    </row>
    <row r="13" spans="3:4" ht="12.75" customHeight="1" x14ac:dyDescent="0.35">
      <c r="C13" s="97" t="s">
        <v>3001</v>
      </c>
    </row>
    <row r="14" spans="3:4" ht="12.75" customHeight="1" x14ac:dyDescent="0.35">
      <c r="C14" s="97" t="s">
        <v>4533</v>
      </c>
    </row>
    <row r="15" spans="3:4" ht="12.75" customHeight="1" x14ac:dyDescent="0.35">
      <c r="C15" s="97" t="s">
        <v>3066</v>
      </c>
    </row>
    <row r="16" spans="3:4" ht="12.75" customHeight="1" x14ac:dyDescent="0.35">
      <c r="C16" s="97" t="s">
        <v>4534</v>
      </c>
    </row>
    <row r="17" spans="3:3" ht="12.75" customHeight="1" x14ac:dyDescent="0.35"/>
    <row r="18" spans="3:3" ht="12.75" customHeight="1" x14ac:dyDescent="0.35">
      <c r="C18" s="97" t="s">
        <v>4535</v>
      </c>
    </row>
    <row r="19" spans="3:3" ht="12.75" customHeight="1" x14ac:dyDescent="0.35">
      <c r="C19" s="97" t="s">
        <v>4536</v>
      </c>
    </row>
    <row r="20" spans="3:3" ht="12.75" customHeight="1" x14ac:dyDescent="0.35">
      <c r="C20" s="97" t="s">
        <v>4537</v>
      </c>
    </row>
    <row r="21" spans="3:3" ht="12.75" customHeight="1" x14ac:dyDescent="0.35">
      <c r="C21" s="97" t="s">
        <v>4538</v>
      </c>
    </row>
    <row r="22" spans="3:3" ht="12.75" customHeight="1" x14ac:dyDescent="0.35"/>
    <row r="23" spans="3:3" ht="12.75" customHeight="1" x14ac:dyDescent="0.35">
      <c r="C23" s="97" t="s">
        <v>4539</v>
      </c>
    </row>
    <row r="24" spans="3:3" ht="12.75" customHeight="1" x14ac:dyDescent="0.35">
      <c r="C24" s="97" t="s">
        <v>4540</v>
      </c>
    </row>
    <row r="25" spans="3:3" ht="12.75" customHeight="1" x14ac:dyDescent="0.35">
      <c r="C25" s="97" t="s">
        <v>4541</v>
      </c>
    </row>
    <row r="26" spans="3:3" ht="12.75" customHeight="1" x14ac:dyDescent="0.35"/>
    <row r="27" spans="3:3" ht="12.75" customHeight="1" x14ac:dyDescent="0.35">
      <c r="C27" s="97" t="s">
        <v>4542</v>
      </c>
    </row>
    <row r="28" spans="3:3" ht="12.75" customHeight="1" x14ac:dyDescent="0.35">
      <c r="C28" s="97" t="s">
        <v>4543</v>
      </c>
    </row>
    <row r="29" spans="3:3" ht="12.75" customHeight="1" x14ac:dyDescent="0.35">
      <c r="C29" s="97" t="s">
        <v>4544</v>
      </c>
    </row>
    <row r="30" spans="3:3" ht="12.75" customHeight="1" x14ac:dyDescent="0.35">
      <c r="C30" s="97" t="s">
        <v>4545</v>
      </c>
    </row>
    <row r="31" spans="3:3" ht="12.75" customHeight="1" x14ac:dyDescent="0.35"/>
    <row r="32" spans="3:3" ht="12.75" customHeight="1" x14ac:dyDescent="0.35">
      <c r="C32" s="97" t="s">
        <v>4546</v>
      </c>
    </row>
    <row r="33" spans="3:3" ht="12.75" customHeight="1" x14ac:dyDescent="0.35">
      <c r="C33" s="97" t="s">
        <v>4547</v>
      </c>
    </row>
    <row r="34" spans="3:3" ht="12.75" customHeight="1" x14ac:dyDescent="0.35">
      <c r="C34" s="97" t="s">
        <v>4548</v>
      </c>
    </row>
    <row r="35" spans="3:3" ht="12.75" customHeight="1" x14ac:dyDescent="0.35"/>
    <row r="36" spans="3:3" ht="12.75" customHeight="1" x14ac:dyDescent="0.35"/>
    <row r="37" spans="3:3" ht="12.75" customHeight="1" x14ac:dyDescent="0.35"/>
    <row r="38" spans="3:3" ht="12.75" customHeight="1" x14ac:dyDescent="0.35"/>
    <row r="39" spans="3:3" ht="12.75" customHeight="1" x14ac:dyDescent="0.35">
      <c r="C39" s="159" t="s">
        <v>3125</v>
      </c>
    </row>
    <row r="40" spans="3:3" ht="12.75" customHeight="1" x14ac:dyDescent="0.35"/>
    <row r="41" spans="3:3" ht="12.75" customHeight="1" x14ac:dyDescent="0.35">
      <c r="C41" s="97" t="s">
        <v>4549</v>
      </c>
    </row>
    <row r="42" spans="3:3" ht="12.75" customHeight="1" x14ac:dyDescent="0.35">
      <c r="C42" s="97" t="s">
        <v>4550</v>
      </c>
    </row>
    <row r="43" spans="3:3" ht="12.75" customHeight="1" x14ac:dyDescent="0.35">
      <c r="C43" s="97" t="s">
        <v>3129</v>
      </c>
    </row>
    <row r="44" spans="3:3" ht="12.75" customHeight="1" x14ac:dyDescent="0.35">
      <c r="C44" s="97" t="s">
        <v>4551</v>
      </c>
    </row>
    <row r="45" spans="3:3" ht="12.75" customHeight="1" x14ac:dyDescent="0.35">
      <c r="C45" s="97" t="s">
        <v>4552</v>
      </c>
    </row>
    <row r="46" spans="3:3" ht="12.75" customHeight="1" x14ac:dyDescent="0.35">
      <c r="C46" s="97" t="s">
        <v>4553</v>
      </c>
    </row>
    <row r="47" spans="3:3" ht="12.75" customHeight="1" x14ac:dyDescent="0.35">
      <c r="C47" s="97" t="s">
        <v>3153</v>
      </c>
    </row>
    <row r="48" spans="3:3" ht="12.75" customHeight="1" x14ac:dyDescent="0.35">
      <c r="C48" s="97" t="s">
        <v>4554</v>
      </c>
    </row>
    <row r="49" spans="3:3" ht="12.75" customHeight="1" x14ac:dyDescent="0.35">
      <c r="C49" s="97" t="s">
        <v>4555</v>
      </c>
    </row>
    <row r="50" spans="3:3" ht="12.75" customHeight="1" x14ac:dyDescent="0.35"/>
    <row r="51" spans="3:3" ht="12.75" customHeight="1" x14ac:dyDescent="0.35">
      <c r="C51" s="97" t="s">
        <v>4556</v>
      </c>
    </row>
    <row r="52" spans="3:3" ht="12.75" customHeight="1" x14ac:dyDescent="0.35">
      <c r="C52" s="97" t="s">
        <v>3088</v>
      </c>
    </row>
    <row r="53" spans="3:3" ht="12.75" customHeight="1" x14ac:dyDescent="0.35">
      <c r="C53" s="97" t="s">
        <v>4557</v>
      </c>
    </row>
    <row r="54" spans="3:3" ht="12.75" customHeight="1" x14ac:dyDescent="0.35">
      <c r="C54" s="97" t="s">
        <v>4558</v>
      </c>
    </row>
    <row r="55" spans="3:3" ht="12.75" customHeight="1" x14ac:dyDescent="0.35">
      <c r="C55" s="97" t="s">
        <v>4559</v>
      </c>
    </row>
    <row r="56" spans="3:3" ht="12.75" customHeight="1" x14ac:dyDescent="0.35"/>
    <row r="57" spans="3:3" ht="12.75" customHeight="1" x14ac:dyDescent="0.35">
      <c r="C57" s="97" t="s">
        <v>4560</v>
      </c>
    </row>
    <row r="58" spans="3:3" ht="12.75" customHeight="1" x14ac:dyDescent="0.35"/>
    <row r="59" spans="3:3" ht="12.75" customHeight="1" x14ac:dyDescent="0.35">
      <c r="C59" s="97" t="s">
        <v>4561</v>
      </c>
    </row>
    <row r="60" spans="3:3" ht="12.75" customHeight="1" x14ac:dyDescent="0.35">
      <c r="C60" s="97" t="s">
        <v>4562</v>
      </c>
    </row>
    <row r="61" spans="3:3" ht="12.75" customHeight="1" x14ac:dyDescent="0.35">
      <c r="C61" s="97" t="s">
        <v>4563</v>
      </c>
    </row>
    <row r="62" spans="3:3" ht="12.75" customHeight="1" x14ac:dyDescent="0.35">
      <c r="C62" s="97" t="s">
        <v>4564</v>
      </c>
    </row>
    <row r="63" spans="3:3" ht="12.75" customHeight="1" x14ac:dyDescent="0.35">
      <c r="C63" s="97" t="s">
        <v>4565</v>
      </c>
    </row>
    <row r="64" spans="3:3" ht="12.75" customHeight="1" x14ac:dyDescent="0.35">
      <c r="C64" s="97" t="s">
        <v>3059</v>
      </c>
    </row>
    <row r="65" spans="3:3" ht="12.75" customHeight="1" x14ac:dyDescent="0.35">
      <c r="C65" s="97" t="s">
        <v>3169</v>
      </c>
    </row>
    <row r="66" spans="3:3" ht="12.75" customHeight="1" x14ac:dyDescent="0.35"/>
    <row r="67" spans="3:3" ht="12.75" customHeight="1" x14ac:dyDescent="0.35">
      <c r="C67" s="97" t="s">
        <v>4566</v>
      </c>
    </row>
    <row r="68" spans="3:3" ht="12.75" customHeight="1" x14ac:dyDescent="0.35">
      <c r="C68" s="97" t="s">
        <v>4567</v>
      </c>
    </row>
    <row r="69" spans="3:3" ht="12.75" customHeight="1" x14ac:dyDescent="0.35">
      <c r="C69" s="97" t="s">
        <v>4568</v>
      </c>
    </row>
    <row r="70" spans="3:3" ht="12.75" customHeight="1" x14ac:dyDescent="0.35">
      <c r="C70" s="97" t="s">
        <v>3175</v>
      </c>
    </row>
    <row r="71" spans="3:3" ht="12.75" customHeight="1" x14ac:dyDescent="0.35">
      <c r="C71" s="97" t="s">
        <v>4569</v>
      </c>
    </row>
    <row r="72" spans="3:3" ht="12.75" customHeight="1" x14ac:dyDescent="0.35">
      <c r="C72" s="97" t="s">
        <v>4570</v>
      </c>
    </row>
    <row r="73" spans="3:3" ht="12.75" customHeight="1" x14ac:dyDescent="0.35">
      <c r="C73" s="97" t="s">
        <v>4571</v>
      </c>
    </row>
    <row r="74" spans="3:3" ht="12.75" customHeight="1" x14ac:dyDescent="0.35"/>
    <row r="75" spans="3:3" ht="12.75" customHeight="1" x14ac:dyDescent="0.35">
      <c r="C75" s="97" t="s">
        <v>4572</v>
      </c>
    </row>
    <row r="76" spans="3:3" ht="12.75" customHeight="1" x14ac:dyDescent="0.35">
      <c r="C76" s="97" t="s">
        <v>4573</v>
      </c>
    </row>
    <row r="77" spans="3:3" ht="12.75" customHeight="1" x14ac:dyDescent="0.35">
      <c r="C77" s="97" t="s">
        <v>4574</v>
      </c>
    </row>
    <row r="78" spans="3:3" ht="12.75" customHeight="1" x14ac:dyDescent="0.35">
      <c r="C78" s="97" t="s">
        <v>4575</v>
      </c>
    </row>
    <row r="79" spans="3:3" ht="12.75" customHeight="1" x14ac:dyDescent="0.35">
      <c r="C79" s="97" t="s">
        <v>4576</v>
      </c>
    </row>
    <row r="80" spans="3:3" ht="12.75" customHeight="1" x14ac:dyDescent="0.35"/>
    <row r="81" spans="3:3" ht="12.75" customHeight="1" x14ac:dyDescent="0.35">
      <c r="C81" s="97" t="s">
        <v>4577</v>
      </c>
    </row>
    <row r="82" spans="3:3" ht="12.75" customHeight="1" x14ac:dyDescent="0.35"/>
    <row r="83" spans="3:3" ht="12.75" customHeight="1" x14ac:dyDescent="0.35">
      <c r="C83" s="97" t="s">
        <v>4560</v>
      </c>
    </row>
    <row r="84" spans="3:3" ht="12.75" customHeight="1" x14ac:dyDescent="0.35"/>
    <row r="85" spans="3:3" ht="12.75" customHeight="1" x14ac:dyDescent="0.35">
      <c r="C85" s="159" t="s">
        <v>4916</v>
      </c>
    </row>
    <row r="86" spans="3:3" ht="12.75" customHeight="1" x14ac:dyDescent="0.35"/>
    <row r="87" spans="3:3" ht="12.75" customHeight="1" x14ac:dyDescent="0.35">
      <c r="C87" s="97" t="s">
        <v>4578</v>
      </c>
    </row>
    <row r="88" spans="3:3" ht="12.75" customHeight="1" x14ac:dyDescent="0.35">
      <c r="C88" s="97" t="s">
        <v>4579</v>
      </c>
    </row>
    <row r="89" spans="3:3" ht="12.75" customHeight="1" x14ac:dyDescent="0.35">
      <c r="C89" s="97" t="s">
        <v>4580</v>
      </c>
    </row>
    <row r="90" spans="3:3" ht="12.75" customHeight="1" x14ac:dyDescent="0.35">
      <c r="C90" s="97" t="s">
        <v>4581</v>
      </c>
    </row>
    <row r="91" spans="3:3" ht="12.75" customHeight="1" x14ac:dyDescent="0.35">
      <c r="C91" s="97" t="s">
        <v>4582</v>
      </c>
    </row>
    <row r="92" spans="3:3" ht="12.75" customHeight="1" x14ac:dyDescent="0.35">
      <c r="C92" s="97" t="s">
        <v>4583</v>
      </c>
    </row>
    <row r="93" spans="3:3" ht="12.75" customHeight="1" x14ac:dyDescent="0.35">
      <c r="C93" s="97" t="s">
        <v>4584</v>
      </c>
    </row>
    <row r="94" spans="3:3" ht="12.75" customHeight="1" x14ac:dyDescent="0.35">
      <c r="C94" s="97" t="s">
        <v>4585</v>
      </c>
    </row>
    <row r="95" spans="3:3" ht="12.75" customHeight="1" x14ac:dyDescent="0.35">
      <c r="C95" s="97" t="s">
        <v>4586</v>
      </c>
    </row>
    <row r="96" spans="3:3" ht="12.75" customHeight="1" x14ac:dyDescent="0.35">
      <c r="C96" s="97" t="s">
        <v>4587</v>
      </c>
    </row>
    <row r="97" spans="3:3" ht="12.75" customHeight="1" x14ac:dyDescent="0.35">
      <c r="C97" s="97" t="s">
        <v>4588</v>
      </c>
    </row>
    <row r="98" spans="3:3" ht="12.75" customHeight="1" x14ac:dyDescent="0.35"/>
    <row r="99" spans="3:3" ht="12.75" customHeight="1" x14ac:dyDescent="0.35">
      <c r="C99" s="97" t="s">
        <v>4589</v>
      </c>
    </row>
    <row r="100" spans="3:3" ht="12.75" customHeight="1" x14ac:dyDescent="0.35">
      <c r="C100" s="97" t="s">
        <v>4590</v>
      </c>
    </row>
    <row r="101" spans="3:3" ht="12.75" customHeight="1" x14ac:dyDescent="0.35">
      <c r="C101" s="97" t="s">
        <v>4591</v>
      </c>
    </row>
    <row r="102" spans="3:3" ht="12.75" customHeight="1" x14ac:dyDescent="0.35">
      <c r="C102" s="97" t="s">
        <v>4592</v>
      </c>
    </row>
    <row r="103" spans="3:3" ht="12.75" customHeight="1" x14ac:dyDescent="0.35">
      <c r="C103" s="97" t="s">
        <v>4593</v>
      </c>
    </row>
    <row r="104" spans="3:3" ht="12.75" customHeight="1" x14ac:dyDescent="0.35">
      <c r="C104" s="97" t="s">
        <v>4594</v>
      </c>
    </row>
    <row r="105" spans="3:3" ht="12.75" customHeight="1" x14ac:dyDescent="0.35">
      <c r="C105" s="97" t="s">
        <v>4595</v>
      </c>
    </row>
    <row r="106" spans="3:3" ht="12.75" customHeight="1" x14ac:dyDescent="0.35">
      <c r="C106" s="97" t="s">
        <v>4596</v>
      </c>
    </row>
    <row r="107" spans="3:3" ht="12.75" customHeight="1" x14ac:dyDescent="0.35">
      <c r="C107" s="97" t="s">
        <v>4597</v>
      </c>
    </row>
    <row r="108" spans="3:3" ht="12.75" customHeight="1" x14ac:dyDescent="0.35"/>
    <row r="109" spans="3:3" ht="12.75" customHeight="1" x14ac:dyDescent="0.35">
      <c r="C109" s="97" t="s">
        <v>4598</v>
      </c>
    </row>
    <row r="110" spans="3:3" ht="12.75" customHeight="1" x14ac:dyDescent="0.35"/>
    <row r="111" spans="3:3" ht="12.75" customHeight="1" x14ac:dyDescent="0.35">
      <c r="C111" s="97" t="s">
        <v>4599</v>
      </c>
    </row>
    <row r="112" spans="3:3" ht="12.75" customHeight="1" x14ac:dyDescent="0.35">
      <c r="C112" s="97" t="s">
        <v>4600</v>
      </c>
    </row>
    <row r="113" spans="3:3" ht="12.75" customHeight="1" x14ac:dyDescent="0.35">
      <c r="C113" s="97" t="s">
        <v>4601</v>
      </c>
    </row>
    <row r="114" spans="3:3" ht="12.75" customHeight="1" x14ac:dyDescent="0.35">
      <c r="C114" s="97" t="s">
        <v>4602</v>
      </c>
    </row>
    <row r="115" spans="3:3" ht="12.75" customHeight="1" x14ac:dyDescent="0.35">
      <c r="C115" s="97" t="s">
        <v>4603</v>
      </c>
    </row>
    <row r="116" spans="3:3" ht="12.75" customHeight="1" x14ac:dyDescent="0.35">
      <c r="C116" s="97" t="s">
        <v>4604</v>
      </c>
    </row>
    <row r="117" spans="3:3" ht="12.75" customHeight="1" x14ac:dyDescent="0.35">
      <c r="C117" s="97" t="s">
        <v>4605</v>
      </c>
    </row>
    <row r="119" spans="3:3" x14ac:dyDescent="0.35">
      <c r="C119" s="97" t="s">
        <v>4606</v>
      </c>
    </row>
    <row r="120" spans="3:3" x14ac:dyDescent="0.35">
      <c r="C120" s="97" t="s">
        <v>4607</v>
      </c>
    </row>
  </sheetData>
  <pageMargins left="0.75" right="0.75" top="1" bottom="1" header="0.5" footer="0.5"/>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3">
    <pageSetUpPr autoPageBreaks="0"/>
  </sheetPr>
  <dimension ref="A1:D120"/>
  <sheetViews>
    <sheetView topLeftCell="A52" workbookViewId="0">
      <selection activeCell="C85" sqref="C85"/>
    </sheetView>
  </sheetViews>
  <sheetFormatPr defaultColWidth="9.1796875" defaultRowHeight="14.5" x14ac:dyDescent="0.35"/>
  <cols>
    <col min="1" max="16384" width="9.1796875" style="97"/>
  </cols>
  <sheetData>
    <row r="1" spans="1:4" ht="12.75" customHeight="1" x14ac:dyDescent="0.35">
      <c r="A1"/>
      <c r="B1" s="4"/>
    </row>
    <row r="2" spans="1:4" ht="12.75" customHeight="1" x14ac:dyDescent="0.35">
      <c r="A2"/>
      <c r="B2"/>
    </row>
    <row r="3" spans="1:4" ht="12.75" customHeight="1" x14ac:dyDescent="0.35">
      <c r="A3"/>
      <c r="B3"/>
    </row>
    <row r="4" spans="1:4" ht="12.75" customHeight="1" x14ac:dyDescent="0.35">
      <c r="A4"/>
      <c r="B4"/>
      <c r="D4" s="97" t="s">
        <v>4608</v>
      </c>
    </row>
    <row r="5" spans="1:4" ht="12.75" customHeight="1" x14ac:dyDescent="0.35">
      <c r="A5"/>
      <c r="B5"/>
    </row>
    <row r="6" spans="1:4" ht="12.75" customHeight="1" x14ac:dyDescent="0.35">
      <c r="A6"/>
      <c r="B6"/>
      <c r="C6" s="159" t="s">
        <v>3242</v>
      </c>
    </row>
    <row r="7" spans="1:4" ht="12.75" customHeight="1" x14ac:dyDescent="0.35">
      <c r="A7"/>
      <c r="B7"/>
    </row>
    <row r="8" spans="1:4" ht="12.75" customHeight="1" x14ac:dyDescent="0.35">
      <c r="A8"/>
      <c r="B8"/>
      <c r="C8" s="97" t="s">
        <v>4609</v>
      </c>
    </row>
    <row r="9" spans="1:4" ht="12.75" customHeight="1" x14ac:dyDescent="0.35">
      <c r="A9"/>
      <c r="B9"/>
      <c r="C9" s="97" t="s">
        <v>4610</v>
      </c>
    </row>
    <row r="10" spans="1:4" ht="12.75" customHeight="1" x14ac:dyDescent="0.35">
      <c r="A10"/>
      <c r="B10"/>
      <c r="C10" s="97" t="s">
        <v>4611</v>
      </c>
    </row>
    <row r="11" spans="1:4" ht="12.75" customHeight="1" x14ac:dyDescent="0.35">
      <c r="A11"/>
      <c r="B11"/>
      <c r="C11" s="97" t="s">
        <v>4612</v>
      </c>
    </row>
    <row r="12" spans="1:4" ht="12.75" customHeight="1" x14ac:dyDescent="0.35">
      <c r="A12"/>
      <c r="B12"/>
      <c r="C12" s="97" t="s">
        <v>4613</v>
      </c>
    </row>
    <row r="13" spans="1:4" ht="12.75" customHeight="1" x14ac:dyDescent="0.35">
      <c r="A13"/>
      <c r="B13"/>
      <c r="C13" s="97" t="s">
        <v>4614</v>
      </c>
    </row>
    <row r="14" spans="1:4" ht="12.75" customHeight="1" x14ac:dyDescent="0.35">
      <c r="A14"/>
      <c r="B14"/>
      <c r="C14" s="97" t="s">
        <v>4615</v>
      </c>
    </row>
    <row r="15" spans="1:4" ht="12.75" customHeight="1" x14ac:dyDescent="0.35">
      <c r="A15" s="3"/>
      <c r="B15"/>
      <c r="C15" s="97" t="s">
        <v>4616</v>
      </c>
    </row>
    <row r="16" spans="1:4" ht="12.75" customHeight="1" x14ac:dyDescent="0.35">
      <c r="A16" s="3"/>
      <c r="B16"/>
      <c r="C16" s="97" t="s">
        <v>4617</v>
      </c>
    </row>
    <row r="17" spans="1:3" ht="12.75" customHeight="1" x14ac:dyDescent="0.35">
      <c r="A17"/>
      <c r="B17"/>
    </row>
    <row r="18" spans="1:3" ht="12.75" customHeight="1" x14ac:dyDescent="0.35">
      <c r="A18"/>
      <c r="B18"/>
      <c r="C18" s="97" t="s">
        <v>4618</v>
      </c>
    </row>
    <row r="19" spans="1:3" ht="12.75" customHeight="1" x14ac:dyDescent="0.35">
      <c r="A19"/>
      <c r="B19"/>
      <c r="C19" s="97" t="s">
        <v>3261</v>
      </c>
    </row>
    <row r="20" spans="1:3" ht="12.75" customHeight="1" x14ac:dyDescent="0.35">
      <c r="A20"/>
      <c r="B20"/>
      <c r="C20" s="97" t="s">
        <v>4619</v>
      </c>
    </row>
    <row r="21" spans="1:3" ht="12.75" customHeight="1" x14ac:dyDescent="0.35">
      <c r="A21"/>
      <c r="B21"/>
      <c r="C21" s="97" t="s">
        <v>4620</v>
      </c>
    </row>
    <row r="22" spans="1:3" ht="12.75" customHeight="1" x14ac:dyDescent="0.35">
      <c r="A22"/>
      <c r="B22"/>
    </row>
    <row r="23" spans="1:3" ht="12.75" customHeight="1" x14ac:dyDescent="0.35">
      <c r="A23"/>
      <c r="B23"/>
      <c r="C23" s="97" t="s">
        <v>2323</v>
      </c>
    </row>
    <row r="24" spans="1:3" ht="12.75" customHeight="1" x14ac:dyDescent="0.35">
      <c r="A24"/>
      <c r="B24"/>
      <c r="C24" s="97" t="s">
        <v>4621</v>
      </c>
    </row>
    <row r="25" spans="1:3" ht="12.75" customHeight="1" x14ac:dyDescent="0.35">
      <c r="A25"/>
      <c r="B25"/>
      <c r="C25" s="97" t="s">
        <v>4622</v>
      </c>
    </row>
    <row r="26" spans="1:3" ht="12.75" customHeight="1" x14ac:dyDescent="0.35">
      <c r="A26"/>
      <c r="B26"/>
    </row>
    <row r="27" spans="1:3" ht="12.75" customHeight="1" x14ac:dyDescent="0.35">
      <c r="B27"/>
      <c r="C27" s="97" t="s">
        <v>4623</v>
      </c>
    </row>
    <row r="28" spans="1:3" ht="12.75" customHeight="1" x14ac:dyDescent="0.35">
      <c r="A28"/>
      <c r="B28"/>
      <c r="C28" s="97" t="s">
        <v>4624</v>
      </c>
    </row>
    <row r="29" spans="1:3" ht="12.75" customHeight="1" x14ac:dyDescent="0.35">
      <c r="A29"/>
      <c r="B29"/>
      <c r="C29" s="97" t="s">
        <v>4625</v>
      </c>
    </row>
    <row r="30" spans="1:3" ht="12.75" customHeight="1" x14ac:dyDescent="0.35">
      <c r="A30"/>
      <c r="B30"/>
      <c r="C30" s="97" t="s">
        <v>4626</v>
      </c>
    </row>
    <row r="31" spans="1:3" ht="12.75" customHeight="1" x14ac:dyDescent="0.35">
      <c r="A31"/>
      <c r="B31"/>
    </row>
    <row r="32" spans="1:3" ht="12.75" customHeight="1" x14ac:dyDescent="0.35">
      <c r="A32"/>
      <c r="B32"/>
      <c r="C32" s="97" t="s">
        <v>4627</v>
      </c>
    </row>
    <row r="33" spans="1:3" ht="12.75" customHeight="1" x14ac:dyDescent="0.35">
      <c r="A33"/>
      <c r="B33"/>
      <c r="C33" s="97" t="s">
        <v>4628</v>
      </c>
    </row>
    <row r="34" spans="1:3" ht="12.75" customHeight="1" x14ac:dyDescent="0.35">
      <c r="A34"/>
      <c r="B34"/>
      <c r="C34" s="97" t="s">
        <v>4629</v>
      </c>
    </row>
    <row r="35" spans="1:3" ht="12.75" customHeight="1" x14ac:dyDescent="0.35">
      <c r="A35"/>
      <c r="B35"/>
    </row>
    <row r="36" spans="1:3" ht="12.75" customHeight="1" x14ac:dyDescent="0.35">
      <c r="A36"/>
      <c r="B36"/>
    </row>
    <row r="37" spans="1:3" ht="12.75" customHeight="1" x14ac:dyDescent="0.35">
      <c r="A37"/>
      <c r="B37"/>
    </row>
    <row r="38" spans="1:3" ht="12.75" customHeight="1" x14ac:dyDescent="0.35">
      <c r="A38"/>
      <c r="B38"/>
    </row>
    <row r="39" spans="1:3" ht="12.75" customHeight="1" x14ac:dyDescent="0.35">
      <c r="A39"/>
      <c r="B39"/>
      <c r="C39" s="159" t="s">
        <v>3345</v>
      </c>
    </row>
    <row r="40" spans="1:3" ht="12.75" customHeight="1" x14ac:dyDescent="0.35">
      <c r="A40"/>
      <c r="B40"/>
    </row>
    <row r="41" spans="1:3" ht="12.75" customHeight="1" x14ac:dyDescent="0.35">
      <c r="A41"/>
      <c r="B41"/>
      <c r="C41" s="97" t="s">
        <v>3346</v>
      </c>
    </row>
    <row r="42" spans="1:3" ht="12.75" customHeight="1" x14ac:dyDescent="0.35">
      <c r="A42"/>
      <c r="B42"/>
      <c r="C42" s="97" t="s">
        <v>4630</v>
      </c>
    </row>
    <row r="43" spans="1:3" ht="12.75" customHeight="1" x14ac:dyDescent="0.35">
      <c r="A43"/>
      <c r="B43"/>
      <c r="C43" s="97" t="s">
        <v>4631</v>
      </c>
    </row>
    <row r="44" spans="1:3" ht="12.75" customHeight="1" x14ac:dyDescent="0.35">
      <c r="A44"/>
      <c r="B44"/>
      <c r="C44" s="97" t="s">
        <v>4632</v>
      </c>
    </row>
    <row r="45" spans="1:3" ht="12.75" customHeight="1" x14ac:dyDescent="0.35">
      <c r="A45"/>
      <c r="B45"/>
      <c r="C45" s="97" t="s">
        <v>4633</v>
      </c>
    </row>
    <row r="46" spans="1:3" ht="12.75" customHeight="1" x14ac:dyDescent="0.35">
      <c r="A46"/>
      <c r="B46"/>
      <c r="C46" s="97" t="s">
        <v>4634</v>
      </c>
    </row>
    <row r="47" spans="1:3" ht="12.75" customHeight="1" x14ac:dyDescent="0.35">
      <c r="A47"/>
      <c r="B47"/>
      <c r="C47" s="97" t="s">
        <v>3373</v>
      </c>
    </row>
    <row r="48" spans="1:3" ht="12.75" customHeight="1" x14ac:dyDescent="0.35">
      <c r="A48"/>
      <c r="B48"/>
      <c r="C48" s="97" t="s">
        <v>4635</v>
      </c>
    </row>
    <row r="49" spans="1:3" ht="12.75" customHeight="1" x14ac:dyDescent="0.35">
      <c r="A49"/>
      <c r="B49"/>
      <c r="C49" s="97" t="s">
        <v>4636</v>
      </c>
    </row>
    <row r="50" spans="1:3" ht="12.75" customHeight="1" x14ac:dyDescent="0.35">
      <c r="A50"/>
      <c r="B50"/>
    </row>
    <row r="51" spans="1:3" ht="12.75" customHeight="1" x14ac:dyDescent="0.35">
      <c r="A51"/>
      <c r="B51"/>
      <c r="C51" s="97" t="s">
        <v>4637</v>
      </c>
    </row>
    <row r="52" spans="1:3" ht="12.75" customHeight="1" x14ac:dyDescent="0.35">
      <c r="A52"/>
      <c r="B52"/>
      <c r="C52" s="97" t="s">
        <v>3303</v>
      </c>
    </row>
    <row r="53" spans="1:3" ht="12.75" customHeight="1" x14ac:dyDescent="0.35">
      <c r="A53"/>
      <c r="B53"/>
      <c r="C53" s="97" t="s">
        <v>4638</v>
      </c>
    </row>
    <row r="54" spans="1:3" ht="12.75" customHeight="1" x14ac:dyDescent="0.35">
      <c r="A54"/>
      <c r="B54"/>
      <c r="C54" s="97" t="s">
        <v>4639</v>
      </c>
    </row>
    <row r="55" spans="1:3" ht="12.75" customHeight="1" x14ac:dyDescent="0.35">
      <c r="A55"/>
      <c r="B55"/>
      <c r="C55" s="97" t="s">
        <v>4640</v>
      </c>
    </row>
    <row r="56" spans="1:3" ht="12.75" customHeight="1" x14ac:dyDescent="0.35">
      <c r="A56"/>
      <c r="B56"/>
    </row>
    <row r="57" spans="1:3" ht="12.75" customHeight="1" x14ac:dyDescent="0.35">
      <c r="A57"/>
      <c r="B57"/>
      <c r="C57" s="97" t="s">
        <v>4641</v>
      </c>
    </row>
    <row r="58" spans="1:3" ht="12.75" customHeight="1" x14ac:dyDescent="0.35">
      <c r="A58"/>
      <c r="B58"/>
    </row>
    <row r="59" spans="1:3" ht="12.75" customHeight="1" x14ac:dyDescent="0.35">
      <c r="A59"/>
      <c r="B59"/>
      <c r="C59" s="97" t="s">
        <v>4642</v>
      </c>
    </row>
    <row r="60" spans="1:3" ht="12.75" customHeight="1" x14ac:dyDescent="0.35">
      <c r="A60"/>
      <c r="B60"/>
      <c r="C60" s="97" t="s">
        <v>4643</v>
      </c>
    </row>
    <row r="61" spans="1:3" ht="12.75" customHeight="1" x14ac:dyDescent="0.35">
      <c r="A61"/>
      <c r="B61"/>
      <c r="C61" s="97" t="s">
        <v>4644</v>
      </c>
    </row>
    <row r="62" spans="1:3" ht="12.75" customHeight="1" x14ac:dyDescent="0.35">
      <c r="A62"/>
      <c r="B62"/>
      <c r="C62" s="97" t="s">
        <v>4645</v>
      </c>
    </row>
    <row r="63" spans="1:3" ht="12.75" customHeight="1" x14ac:dyDescent="0.35">
      <c r="A63"/>
      <c r="B63"/>
      <c r="C63" s="97" t="s">
        <v>2478</v>
      </c>
    </row>
    <row r="64" spans="1:3" ht="12.75" customHeight="1" x14ac:dyDescent="0.35">
      <c r="A64"/>
      <c r="B64"/>
      <c r="C64" s="97" t="s">
        <v>4646</v>
      </c>
    </row>
    <row r="65" spans="1:3" ht="12.75" customHeight="1" x14ac:dyDescent="0.35">
      <c r="A65"/>
      <c r="B65"/>
      <c r="C65" s="97" t="s">
        <v>4647</v>
      </c>
    </row>
    <row r="66" spans="1:3" ht="12.75" customHeight="1" x14ac:dyDescent="0.35">
      <c r="A66"/>
      <c r="B66"/>
    </row>
    <row r="67" spans="1:3" ht="12.75" customHeight="1" x14ac:dyDescent="0.35">
      <c r="A67"/>
      <c r="B67"/>
      <c r="C67" s="97" t="s">
        <v>4648</v>
      </c>
    </row>
    <row r="68" spans="1:3" ht="12.75" customHeight="1" x14ac:dyDescent="0.35">
      <c r="A68"/>
      <c r="B68"/>
      <c r="C68" s="97" t="s">
        <v>3398</v>
      </c>
    </row>
    <row r="69" spans="1:3" ht="12.75" customHeight="1" x14ac:dyDescent="0.35">
      <c r="A69"/>
      <c r="B69"/>
      <c r="C69" s="97" t="s">
        <v>4649</v>
      </c>
    </row>
    <row r="70" spans="1:3" ht="12.75" customHeight="1" x14ac:dyDescent="0.35">
      <c r="A70"/>
      <c r="B70"/>
      <c r="C70" s="97" t="s">
        <v>3401</v>
      </c>
    </row>
    <row r="71" spans="1:3" ht="12.75" customHeight="1" x14ac:dyDescent="0.35">
      <c r="A71"/>
      <c r="B71"/>
      <c r="C71" s="97" t="s">
        <v>3395</v>
      </c>
    </row>
    <row r="72" spans="1:3" ht="12.75" customHeight="1" x14ac:dyDescent="0.35">
      <c r="A72"/>
      <c r="B72"/>
      <c r="C72" s="97" t="s">
        <v>4650</v>
      </c>
    </row>
    <row r="73" spans="1:3" ht="12.75" customHeight="1" x14ac:dyDescent="0.35">
      <c r="A73"/>
      <c r="B73"/>
      <c r="C73" s="97" t="s">
        <v>4651</v>
      </c>
    </row>
    <row r="74" spans="1:3" ht="12.75" customHeight="1" x14ac:dyDescent="0.35">
      <c r="A74"/>
      <c r="B74"/>
    </row>
    <row r="75" spans="1:3" ht="12.75" customHeight="1" x14ac:dyDescent="0.35">
      <c r="A75"/>
      <c r="B75"/>
      <c r="C75" s="97" t="s">
        <v>3306</v>
      </c>
    </row>
    <row r="76" spans="1:3" ht="12.75" customHeight="1" x14ac:dyDescent="0.35">
      <c r="A76"/>
      <c r="B76"/>
      <c r="C76" s="97" t="s">
        <v>4649</v>
      </c>
    </row>
    <row r="77" spans="1:3" ht="12.75" customHeight="1" x14ac:dyDescent="0.35">
      <c r="A77"/>
      <c r="B77"/>
      <c r="C77" s="97" t="s">
        <v>4652</v>
      </c>
    </row>
    <row r="78" spans="1:3" ht="12.75" customHeight="1" x14ac:dyDescent="0.35">
      <c r="A78"/>
      <c r="B78"/>
      <c r="C78" s="97" t="s">
        <v>4653</v>
      </c>
    </row>
    <row r="79" spans="1:3" ht="12.75" customHeight="1" x14ac:dyDescent="0.35">
      <c r="A79"/>
      <c r="B79"/>
      <c r="C79" s="97" t="s">
        <v>4654</v>
      </c>
    </row>
    <row r="80" spans="1:3" ht="12.75" customHeight="1" x14ac:dyDescent="0.35">
      <c r="A80"/>
      <c r="B80"/>
    </row>
    <row r="81" spans="1:3" ht="12.75" customHeight="1" x14ac:dyDescent="0.35">
      <c r="A81"/>
      <c r="B81"/>
      <c r="C81" s="97" t="s">
        <v>4655</v>
      </c>
    </row>
    <row r="82" spans="1:3" ht="12.75" customHeight="1" x14ac:dyDescent="0.35">
      <c r="A82"/>
      <c r="B82"/>
    </row>
    <row r="83" spans="1:3" ht="12.75" customHeight="1" x14ac:dyDescent="0.35">
      <c r="A83"/>
      <c r="B83"/>
      <c r="C83" s="97" t="s">
        <v>4656</v>
      </c>
    </row>
    <row r="84" spans="1:3" ht="12.75" customHeight="1" x14ac:dyDescent="0.35">
      <c r="A84"/>
      <c r="B84"/>
    </row>
    <row r="85" spans="1:3" ht="12.75" customHeight="1" x14ac:dyDescent="0.35">
      <c r="A85"/>
      <c r="B85"/>
      <c r="C85" s="159" t="s">
        <v>4917</v>
      </c>
    </row>
    <row r="86" spans="1:3" ht="12.75" customHeight="1" x14ac:dyDescent="0.35">
      <c r="A86"/>
      <c r="B86"/>
    </row>
    <row r="87" spans="1:3" ht="12.75" customHeight="1" x14ac:dyDescent="0.35">
      <c r="A87"/>
      <c r="B87"/>
      <c r="C87" s="97" t="s">
        <v>3317</v>
      </c>
    </row>
    <row r="88" spans="1:3" ht="12.75" customHeight="1" x14ac:dyDescent="0.35">
      <c r="A88"/>
      <c r="B88"/>
      <c r="C88" s="97" t="s">
        <v>4657</v>
      </c>
    </row>
    <row r="89" spans="1:3" ht="12.75" customHeight="1" x14ac:dyDescent="0.35">
      <c r="A89"/>
      <c r="B89"/>
      <c r="C89" s="97" t="s">
        <v>4658</v>
      </c>
    </row>
    <row r="90" spans="1:3" ht="12.75" customHeight="1" x14ac:dyDescent="0.35">
      <c r="A90"/>
      <c r="B90"/>
      <c r="C90" s="97" t="s">
        <v>3261</v>
      </c>
    </row>
    <row r="91" spans="1:3" ht="12.75" customHeight="1" x14ac:dyDescent="0.35">
      <c r="A91"/>
      <c r="B91"/>
      <c r="C91" s="97" t="s">
        <v>4659</v>
      </c>
    </row>
    <row r="92" spans="1:3" ht="12.75" customHeight="1" x14ac:dyDescent="0.35">
      <c r="A92"/>
      <c r="B92"/>
      <c r="C92" s="97" t="s">
        <v>4660</v>
      </c>
    </row>
    <row r="93" spans="1:3" ht="12.75" customHeight="1" x14ac:dyDescent="0.35">
      <c r="A93"/>
      <c r="B93"/>
      <c r="C93" s="97" t="s">
        <v>4661</v>
      </c>
    </row>
    <row r="94" spans="1:3" ht="12.75" customHeight="1" x14ac:dyDescent="0.35">
      <c r="A94"/>
      <c r="B94"/>
      <c r="C94" s="97" t="s">
        <v>4662</v>
      </c>
    </row>
    <row r="95" spans="1:3" ht="12.75" customHeight="1" x14ac:dyDescent="0.35">
      <c r="A95"/>
      <c r="B95"/>
      <c r="C95" s="97" t="s">
        <v>4663</v>
      </c>
    </row>
    <row r="96" spans="1:3" ht="12.75" customHeight="1" x14ac:dyDescent="0.35">
      <c r="A96"/>
      <c r="B96"/>
      <c r="C96" s="97" t="s">
        <v>4664</v>
      </c>
    </row>
    <row r="97" spans="1:3" ht="12.75" customHeight="1" x14ac:dyDescent="0.35">
      <c r="A97"/>
      <c r="B97"/>
      <c r="C97" s="97" t="s">
        <v>4665</v>
      </c>
    </row>
    <row r="98" spans="1:3" ht="12.75" customHeight="1" x14ac:dyDescent="0.35">
      <c r="A98"/>
      <c r="B98"/>
    </row>
    <row r="99" spans="1:3" ht="12.75" customHeight="1" x14ac:dyDescent="0.35">
      <c r="A99"/>
      <c r="B99"/>
      <c r="C99" s="97" t="s">
        <v>4666</v>
      </c>
    </row>
    <row r="100" spans="1:3" ht="12.75" customHeight="1" x14ac:dyDescent="0.35">
      <c r="A100"/>
      <c r="B100"/>
      <c r="C100" s="97" t="s">
        <v>4667</v>
      </c>
    </row>
    <row r="101" spans="1:3" ht="12.75" customHeight="1" x14ac:dyDescent="0.35">
      <c r="A101"/>
      <c r="B101"/>
      <c r="C101" s="97" t="s">
        <v>4668</v>
      </c>
    </row>
    <row r="102" spans="1:3" ht="12.75" customHeight="1" x14ac:dyDescent="0.35">
      <c r="A102"/>
      <c r="B102"/>
      <c r="C102" s="97" t="s">
        <v>4669</v>
      </c>
    </row>
    <row r="103" spans="1:3" ht="12.75" customHeight="1" x14ac:dyDescent="0.35">
      <c r="A103"/>
      <c r="B103"/>
      <c r="C103" s="97" t="s">
        <v>4670</v>
      </c>
    </row>
    <row r="104" spans="1:3" ht="12.75" customHeight="1" x14ac:dyDescent="0.35">
      <c r="A104"/>
      <c r="B104"/>
      <c r="C104" s="97" t="s">
        <v>4671</v>
      </c>
    </row>
    <row r="105" spans="1:3" ht="12.75" customHeight="1" x14ac:dyDescent="0.35">
      <c r="A105"/>
      <c r="B105"/>
      <c r="C105" s="97" t="s">
        <v>4672</v>
      </c>
    </row>
    <row r="106" spans="1:3" ht="12.75" customHeight="1" x14ac:dyDescent="0.35">
      <c r="A106"/>
      <c r="B106"/>
      <c r="C106" s="97" t="s">
        <v>4673</v>
      </c>
    </row>
    <row r="107" spans="1:3" ht="12.75" customHeight="1" x14ac:dyDescent="0.35">
      <c r="A107"/>
      <c r="B107"/>
      <c r="C107" s="97" t="s">
        <v>4674</v>
      </c>
    </row>
    <row r="108" spans="1:3" ht="12.75" customHeight="1" x14ac:dyDescent="0.35">
      <c r="A108"/>
      <c r="B108"/>
    </row>
    <row r="109" spans="1:3" ht="12.75" customHeight="1" x14ac:dyDescent="0.35">
      <c r="A109"/>
      <c r="B109"/>
      <c r="C109" s="97" t="s">
        <v>4675</v>
      </c>
    </row>
    <row r="110" spans="1:3" ht="12.75" customHeight="1" x14ac:dyDescent="0.35">
      <c r="A110"/>
      <c r="B110"/>
    </row>
    <row r="111" spans="1:3" ht="12.75" customHeight="1" x14ac:dyDescent="0.35">
      <c r="A111"/>
      <c r="B111"/>
      <c r="C111" s="97" t="s">
        <v>4676</v>
      </c>
    </row>
    <row r="112" spans="1:3" ht="12.75" customHeight="1" x14ac:dyDescent="0.35">
      <c r="A112"/>
      <c r="B112"/>
      <c r="C112" s="97" t="s">
        <v>4677</v>
      </c>
    </row>
    <row r="113" spans="1:3" ht="12.75" customHeight="1" x14ac:dyDescent="0.35">
      <c r="A113"/>
      <c r="B113"/>
      <c r="C113" s="97" t="s">
        <v>4678</v>
      </c>
    </row>
    <row r="114" spans="1:3" ht="12.75" customHeight="1" x14ac:dyDescent="0.35">
      <c r="A114"/>
      <c r="B114"/>
      <c r="C114" s="97" t="s">
        <v>4679</v>
      </c>
    </row>
    <row r="115" spans="1:3" ht="12.75" customHeight="1" x14ac:dyDescent="0.35">
      <c r="A115"/>
      <c r="B115"/>
      <c r="C115" s="97" t="s">
        <v>4680</v>
      </c>
    </row>
    <row r="116" spans="1:3" ht="12.75" customHeight="1" x14ac:dyDescent="0.35">
      <c r="A116"/>
      <c r="B116"/>
      <c r="C116" s="97" t="s">
        <v>4681</v>
      </c>
    </row>
    <row r="117" spans="1:3" ht="12.75" customHeight="1" x14ac:dyDescent="0.35">
      <c r="A117"/>
      <c r="B117"/>
      <c r="C117" s="97" t="s">
        <v>4682</v>
      </c>
    </row>
    <row r="118" spans="1:3" ht="12.75" customHeight="1" x14ac:dyDescent="0.35"/>
    <row r="119" spans="1:3" ht="12.75" customHeight="1" x14ac:dyDescent="0.35">
      <c r="C119" s="97" t="s">
        <v>4683</v>
      </c>
    </row>
    <row r="120" spans="1:3" ht="12.75" customHeight="1" x14ac:dyDescent="0.35">
      <c r="C120" s="97" t="s">
        <v>4684</v>
      </c>
    </row>
  </sheetData>
  <pageMargins left="0.75" right="0.75" top="1" bottom="1" header="0.5" footer="0.5"/>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4">
    <pageSetUpPr autoPageBreaks="0"/>
  </sheetPr>
  <dimension ref="A1:D120"/>
  <sheetViews>
    <sheetView workbookViewId="0">
      <selection activeCell="C85" sqref="C85"/>
    </sheetView>
  </sheetViews>
  <sheetFormatPr defaultColWidth="9.1796875" defaultRowHeight="14.5" x14ac:dyDescent="0.35"/>
  <cols>
    <col min="1" max="16384" width="9.1796875" style="97"/>
  </cols>
  <sheetData>
    <row r="1" spans="1:4" ht="12.75" customHeight="1" x14ac:dyDescent="0.35">
      <c r="A1"/>
      <c r="B1" s="4"/>
    </row>
    <row r="2" spans="1:4" ht="12.75" customHeight="1" x14ac:dyDescent="0.35">
      <c r="A2"/>
      <c r="B2"/>
    </row>
    <row r="3" spans="1:4" ht="12.75" customHeight="1" x14ac:dyDescent="0.35">
      <c r="A3"/>
      <c r="B3"/>
    </row>
    <row r="4" spans="1:4" ht="12.75" customHeight="1" x14ac:dyDescent="0.35">
      <c r="A4"/>
      <c r="B4"/>
      <c r="D4" s="97" t="s">
        <v>4685</v>
      </c>
    </row>
    <row r="5" spans="1:4" ht="12.75" customHeight="1" x14ac:dyDescent="0.35">
      <c r="A5"/>
      <c r="B5"/>
    </row>
    <row r="6" spans="1:4" ht="12.75" customHeight="1" x14ac:dyDescent="0.35">
      <c r="A6"/>
      <c r="B6"/>
      <c r="C6" s="159" t="s">
        <v>3470</v>
      </c>
    </row>
    <row r="7" spans="1:4" ht="12.75" customHeight="1" x14ac:dyDescent="0.35">
      <c r="A7"/>
      <c r="B7"/>
    </row>
    <row r="8" spans="1:4" ht="12.75" customHeight="1" x14ac:dyDescent="0.35">
      <c r="A8"/>
      <c r="B8"/>
      <c r="C8" s="97" t="s">
        <v>4686</v>
      </c>
    </row>
    <row r="9" spans="1:4" ht="12.75" customHeight="1" x14ac:dyDescent="0.35">
      <c r="A9"/>
      <c r="B9"/>
      <c r="C9" s="97" t="s">
        <v>4687</v>
      </c>
    </row>
    <row r="10" spans="1:4" ht="12.75" customHeight="1" x14ac:dyDescent="0.35">
      <c r="A10"/>
      <c r="B10"/>
      <c r="C10" s="97" t="s">
        <v>4688</v>
      </c>
    </row>
    <row r="11" spans="1:4" ht="12.75" customHeight="1" x14ac:dyDescent="0.35">
      <c r="A11"/>
      <c r="B11"/>
      <c r="C11" s="97" t="s">
        <v>4689</v>
      </c>
    </row>
    <row r="12" spans="1:4" ht="12.75" customHeight="1" x14ac:dyDescent="0.35">
      <c r="A12"/>
      <c r="B12"/>
      <c r="C12" s="97" t="s">
        <v>4690</v>
      </c>
    </row>
    <row r="13" spans="1:4" ht="12.75" customHeight="1" x14ac:dyDescent="0.35">
      <c r="A13"/>
      <c r="B13"/>
      <c r="C13" s="97" t="s">
        <v>4691</v>
      </c>
    </row>
    <row r="14" spans="1:4" ht="12.75" customHeight="1" x14ac:dyDescent="0.35">
      <c r="A14"/>
      <c r="B14"/>
      <c r="C14" s="97" t="s">
        <v>4692</v>
      </c>
    </row>
    <row r="15" spans="1:4" ht="12.75" customHeight="1" x14ac:dyDescent="0.35">
      <c r="A15"/>
      <c r="B15"/>
      <c r="C15" s="97" t="s">
        <v>4693</v>
      </c>
    </row>
    <row r="16" spans="1:4" ht="12.75" customHeight="1" x14ac:dyDescent="0.35">
      <c r="A16"/>
      <c r="B16"/>
      <c r="C16" s="97" t="s">
        <v>4694</v>
      </c>
    </row>
    <row r="17" spans="1:3" ht="12.75" customHeight="1" x14ac:dyDescent="0.35">
      <c r="A17"/>
      <c r="B17"/>
    </row>
    <row r="18" spans="1:3" ht="12.75" customHeight="1" x14ac:dyDescent="0.35">
      <c r="A18"/>
      <c r="B18"/>
      <c r="C18" s="97" t="s">
        <v>4695</v>
      </c>
    </row>
    <row r="19" spans="1:3" ht="12.75" customHeight="1" x14ac:dyDescent="0.35">
      <c r="A19"/>
      <c r="B19"/>
      <c r="C19" s="97" t="s">
        <v>4696</v>
      </c>
    </row>
    <row r="20" spans="1:3" ht="12.75" customHeight="1" x14ac:dyDescent="0.35">
      <c r="A20"/>
      <c r="B20"/>
      <c r="C20" s="97" t="s">
        <v>4697</v>
      </c>
    </row>
    <row r="21" spans="1:3" ht="12.75" customHeight="1" x14ac:dyDescent="0.35">
      <c r="A21"/>
      <c r="B21"/>
      <c r="C21" s="97" t="s">
        <v>4698</v>
      </c>
    </row>
    <row r="22" spans="1:3" ht="12.75" customHeight="1" x14ac:dyDescent="0.35">
      <c r="A22"/>
      <c r="B22"/>
    </row>
    <row r="23" spans="1:3" ht="12.75" customHeight="1" x14ac:dyDescent="0.35">
      <c r="A23"/>
      <c r="B23"/>
      <c r="C23" s="97" t="s">
        <v>4699</v>
      </c>
    </row>
    <row r="24" spans="1:3" ht="12.75" customHeight="1" x14ac:dyDescent="0.35">
      <c r="A24"/>
      <c r="B24"/>
      <c r="C24" s="97" t="s">
        <v>4700</v>
      </c>
    </row>
    <row r="25" spans="1:3" ht="12.75" customHeight="1" x14ac:dyDescent="0.35">
      <c r="A25"/>
      <c r="B25"/>
      <c r="C25" s="97" t="s">
        <v>4701</v>
      </c>
    </row>
    <row r="26" spans="1:3" ht="12.75" customHeight="1" x14ac:dyDescent="0.35">
      <c r="A26"/>
      <c r="B26"/>
    </row>
    <row r="27" spans="1:3" ht="12.75" customHeight="1" x14ac:dyDescent="0.35">
      <c r="A27"/>
      <c r="B27"/>
      <c r="C27" s="97" t="s">
        <v>4702</v>
      </c>
    </row>
    <row r="28" spans="1:3" ht="12.75" customHeight="1" x14ac:dyDescent="0.35">
      <c r="A28"/>
      <c r="B28"/>
      <c r="C28" s="97" t="s">
        <v>4703</v>
      </c>
    </row>
    <row r="29" spans="1:3" ht="12.75" customHeight="1" x14ac:dyDescent="0.35">
      <c r="A29"/>
      <c r="B29"/>
      <c r="C29" s="97" t="s">
        <v>4704</v>
      </c>
    </row>
    <row r="30" spans="1:3" ht="12.75" customHeight="1" x14ac:dyDescent="0.35">
      <c r="A30"/>
      <c r="B30"/>
      <c r="C30" s="97" t="s">
        <v>4705</v>
      </c>
    </row>
    <row r="31" spans="1:3" ht="12.75" customHeight="1" x14ac:dyDescent="0.35">
      <c r="A31"/>
      <c r="B31"/>
    </row>
    <row r="32" spans="1:3" ht="12.75" customHeight="1" x14ac:dyDescent="0.35">
      <c r="A32"/>
      <c r="B32"/>
      <c r="C32" s="97" t="s">
        <v>4706</v>
      </c>
    </row>
    <row r="33" spans="1:3" ht="12.75" customHeight="1" x14ac:dyDescent="0.35">
      <c r="A33"/>
      <c r="B33"/>
      <c r="C33" s="97" t="s">
        <v>4707</v>
      </c>
    </row>
    <row r="34" spans="1:3" ht="12.75" customHeight="1" x14ac:dyDescent="0.35">
      <c r="A34"/>
      <c r="B34"/>
      <c r="C34" s="97" t="s">
        <v>3511</v>
      </c>
    </row>
    <row r="35" spans="1:3" ht="12.75" customHeight="1" x14ac:dyDescent="0.35">
      <c r="A35"/>
      <c r="B35"/>
    </row>
    <row r="36" spans="1:3" ht="12.75" customHeight="1" x14ac:dyDescent="0.35">
      <c r="A36"/>
      <c r="B36"/>
    </row>
    <row r="37" spans="1:3" ht="12.75" customHeight="1" x14ac:dyDescent="0.35">
      <c r="A37"/>
      <c r="B37"/>
    </row>
    <row r="38" spans="1:3" ht="12.75" customHeight="1" x14ac:dyDescent="0.35">
      <c r="A38"/>
      <c r="B38"/>
    </row>
    <row r="39" spans="1:3" ht="12.75" customHeight="1" x14ac:dyDescent="0.35">
      <c r="A39"/>
      <c r="B39"/>
      <c r="C39" s="159" t="s">
        <v>4918</v>
      </c>
    </row>
    <row r="40" spans="1:3" ht="12.75" customHeight="1" x14ac:dyDescent="0.35">
      <c r="A40"/>
      <c r="B40"/>
    </row>
    <row r="41" spans="1:3" ht="12.75" customHeight="1" x14ac:dyDescent="0.35">
      <c r="A41"/>
      <c r="B41"/>
      <c r="C41" s="97" t="s">
        <v>3579</v>
      </c>
    </row>
    <row r="42" spans="1:3" ht="12.75" customHeight="1" x14ac:dyDescent="0.35">
      <c r="A42"/>
      <c r="B42"/>
      <c r="C42" s="97" t="s">
        <v>4708</v>
      </c>
    </row>
    <row r="43" spans="1:3" ht="12.75" customHeight="1" x14ac:dyDescent="0.35">
      <c r="A43"/>
      <c r="B43"/>
      <c r="C43" s="97" t="s">
        <v>3582</v>
      </c>
    </row>
    <row r="44" spans="1:3" ht="12.75" customHeight="1" x14ac:dyDescent="0.35">
      <c r="A44"/>
      <c r="B44"/>
      <c r="C44" s="97" t="s">
        <v>4709</v>
      </c>
    </row>
    <row r="45" spans="1:3" ht="12.75" customHeight="1" x14ac:dyDescent="0.35">
      <c r="A45"/>
      <c r="B45"/>
      <c r="C45" s="97" t="s">
        <v>4710</v>
      </c>
    </row>
    <row r="46" spans="1:3" ht="12.75" customHeight="1" x14ac:dyDescent="0.35">
      <c r="A46"/>
      <c r="B46"/>
      <c r="C46" s="97" t="s">
        <v>4711</v>
      </c>
    </row>
    <row r="47" spans="1:3" ht="12.75" customHeight="1" x14ac:dyDescent="0.35">
      <c r="A47"/>
      <c r="B47"/>
      <c r="C47" s="97" t="s">
        <v>3607</v>
      </c>
    </row>
    <row r="48" spans="1:3" ht="12.75" customHeight="1" x14ac:dyDescent="0.35">
      <c r="A48"/>
      <c r="B48"/>
      <c r="C48" s="97" t="s">
        <v>4712</v>
      </c>
    </row>
    <row r="49" spans="1:3" ht="12.75" customHeight="1" x14ac:dyDescent="0.35">
      <c r="A49"/>
      <c r="B49"/>
      <c r="C49" s="97" t="s">
        <v>4713</v>
      </c>
    </row>
    <row r="50" spans="1:3" ht="12.75" customHeight="1" x14ac:dyDescent="0.35">
      <c r="A50"/>
      <c r="B50"/>
    </row>
    <row r="51" spans="1:3" ht="12.75" customHeight="1" x14ac:dyDescent="0.35">
      <c r="A51"/>
      <c r="B51"/>
      <c r="C51" s="97" t="s">
        <v>4714</v>
      </c>
    </row>
    <row r="52" spans="1:3" ht="12.75" customHeight="1" x14ac:dyDescent="0.35">
      <c r="A52"/>
      <c r="B52"/>
      <c r="C52" s="97" t="s">
        <v>4715</v>
      </c>
    </row>
    <row r="53" spans="1:3" ht="12.75" customHeight="1" x14ac:dyDescent="0.35">
      <c r="A53"/>
      <c r="B53"/>
      <c r="C53" s="97" t="s">
        <v>4716</v>
      </c>
    </row>
    <row r="54" spans="1:3" ht="12.75" customHeight="1" x14ac:dyDescent="0.35">
      <c r="A54"/>
      <c r="B54"/>
      <c r="C54" s="97" t="s">
        <v>4717</v>
      </c>
    </row>
    <row r="55" spans="1:3" ht="12.75" customHeight="1" x14ac:dyDescent="0.35">
      <c r="A55"/>
      <c r="B55"/>
      <c r="C55" s="97" t="s">
        <v>4718</v>
      </c>
    </row>
    <row r="56" spans="1:3" ht="12.75" customHeight="1" x14ac:dyDescent="0.35">
      <c r="A56"/>
      <c r="B56"/>
    </row>
    <row r="57" spans="1:3" ht="12.75" customHeight="1" x14ac:dyDescent="0.35">
      <c r="A57"/>
      <c r="B57"/>
      <c r="C57" s="97" t="s">
        <v>4719</v>
      </c>
    </row>
    <row r="58" spans="1:3" ht="12.75" customHeight="1" x14ac:dyDescent="0.35">
      <c r="A58"/>
      <c r="B58"/>
    </row>
    <row r="59" spans="1:3" ht="12.75" customHeight="1" x14ac:dyDescent="0.35">
      <c r="A59"/>
      <c r="B59"/>
      <c r="C59" s="97" t="s">
        <v>4720</v>
      </c>
    </row>
    <row r="60" spans="1:3" ht="12.75" customHeight="1" x14ac:dyDescent="0.35">
      <c r="A60"/>
      <c r="B60"/>
      <c r="C60" s="97" t="s">
        <v>4721</v>
      </c>
    </row>
    <row r="61" spans="1:3" ht="12.75" customHeight="1" x14ac:dyDescent="0.35">
      <c r="A61"/>
      <c r="B61"/>
      <c r="C61" s="97" t="s">
        <v>4722</v>
      </c>
    </row>
    <row r="62" spans="1:3" ht="12.75" customHeight="1" x14ac:dyDescent="0.35">
      <c r="A62"/>
      <c r="B62"/>
      <c r="C62" s="97" t="s">
        <v>4723</v>
      </c>
    </row>
    <row r="63" spans="1:3" ht="12.75" customHeight="1" x14ac:dyDescent="0.35">
      <c r="A63"/>
      <c r="B63"/>
      <c r="C63" s="97" t="s">
        <v>7</v>
      </c>
    </row>
    <row r="64" spans="1:3" ht="12.75" customHeight="1" x14ac:dyDescent="0.35">
      <c r="A64"/>
      <c r="B64"/>
      <c r="C64" s="97" t="s">
        <v>3511</v>
      </c>
    </row>
    <row r="65" spans="1:3" ht="12.75" customHeight="1" x14ac:dyDescent="0.35">
      <c r="A65"/>
      <c r="B65"/>
      <c r="C65" s="97" t="s">
        <v>4724</v>
      </c>
    </row>
    <row r="66" spans="1:3" ht="12.75" customHeight="1" x14ac:dyDescent="0.35">
      <c r="A66"/>
      <c r="B66"/>
    </row>
    <row r="67" spans="1:3" ht="12.75" customHeight="1" x14ac:dyDescent="0.35">
      <c r="A67"/>
      <c r="B67"/>
      <c r="C67" s="97" t="s">
        <v>4725</v>
      </c>
    </row>
    <row r="68" spans="1:3" ht="12.75" customHeight="1" x14ac:dyDescent="0.35">
      <c r="A68"/>
      <c r="B68"/>
      <c r="C68" s="97" t="s">
        <v>4726</v>
      </c>
    </row>
    <row r="69" spans="1:3" ht="12.75" customHeight="1" x14ac:dyDescent="0.35">
      <c r="A69"/>
      <c r="B69"/>
      <c r="C69" s="97" t="s">
        <v>4727</v>
      </c>
    </row>
    <row r="70" spans="1:3" ht="12.75" customHeight="1" x14ac:dyDescent="0.35">
      <c r="A70"/>
      <c r="B70"/>
      <c r="C70" s="97" t="s">
        <v>3629</v>
      </c>
    </row>
    <row r="71" spans="1:3" ht="12.75" customHeight="1" x14ac:dyDescent="0.35">
      <c r="A71"/>
      <c r="B71"/>
      <c r="C71" s="97" t="s">
        <v>3625</v>
      </c>
    </row>
    <row r="72" spans="1:3" ht="12.75" customHeight="1" x14ac:dyDescent="0.35">
      <c r="A72"/>
      <c r="B72"/>
      <c r="C72" s="97" t="s">
        <v>4728</v>
      </c>
    </row>
    <row r="73" spans="1:3" ht="12.75" customHeight="1" x14ac:dyDescent="0.35">
      <c r="A73"/>
      <c r="B73"/>
      <c r="C73" s="97" t="s">
        <v>4729</v>
      </c>
    </row>
    <row r="74" spans="1:3" ht="12.75" customHeight="1" x14ac:dyDescent="0.35">
      <c r="A74"/>
      <c r="B74"/>
    </row>
    <row r="75" spans="1:3" ht="12.75" customHeight="1" x14ac:dyDescent="0.35">
      <c r="A75"/>
      <c r="B75"/>
      <c r="C75" s="97" t="s">
        <v>4730</v>
      </c>
    </row>
    <row r="76" spans="1:3" ht="12.75" customHeight="1" x14ac:dyDescent="0.35">
      <c r="A76"/>
      <c r="B76"/>
      <c r="C76" s="97" t="s">
        <v>4727</v>
      </c>
    </row>
    <row r="77" spans="1:3" ht="12.75" customHeight="1" x14ac:dyDescent="0.35">
      <c r="A77"/>
      <c r="B77"/>
      <c r="C77" s="97" t="s">
        <v>4731</v>
      </c>
    </row>
    <row r="78" spans="1:3" ht="12.75" customHeight="1" x14ac:dyDescent="0.35">
      <c r="A78"/>
      <c r="B78"/>
      <c r="C78" s="97" t="s">
        <v>4732</v>
      </c>
    </row>
    <row r="79" spans="1:3" ht="12.75" customHeight="1" x14ac:dyDescent="0.35">
      <c r="A79"/>
      <c r="B79"/>
      <c r="C79" s="97" t="s">
        <v>4733</v>
      </c>
    </row>
    <row r="80" spans="1:3" ht="12.75" customHeight="1" x14ac:dyDescent="0.35">
      <c r="A80"/>
      <c r="B80"/>
    </row>
    <row r="81" spans="1:3" ht="12.75" customHeight="1" x14ac:dyDescent="0.35">
      <c r="A81"/>
      <c r="B81"/>
      <c r="C81" s="97" t="s">
        <v>4734</v>
      </c>
    </row>
    <row r="82" spans="1:3" ht="12.75" customHeight="1" x14ac:dyDescent="0.35">
      <c r="A82"/>
      <c r="B82"/>
    </row>
    <row r="83" spans="1:3" ht="12.75" customHeight="1" x14ac:dyDescent="0.35">
      <c r="A83"/>
      <c r="B83"/>
      <c r="C83" s="97" t="s">
        <v>4735</v>
      </c>
    </row>
    <row r="84" spans="1:3" ht="12.75" customHeight="1" x14ac:dyDescent="0.35">
      <c r="A84"/>
      <c r="B84"/>
    </row>
    <row r="85" spans="1:3" ht="12.75" customHeight="1" x14ac:dyDescent="0.35">
      <c r="A85"/>
      <c r="B85"/>
      <c r="C85" s="159" t="s">
        <v>4919</v>
      </c>
    </row>
    <row r="86" spans="1:3" ht="12.75" customHeight="1" x14ac:dyDescent="0.35">
      <c r="A86"/>
      <c r="B86"/>
    </row>
    <row r="87" spans="1:3" ht="12.75" customHeight="1" x14ac:dyDescent="0.35">
      <c r="A87"/>
      <c r="B87"/>
      <c r="C87" s="97" t="s">
        <v>4736</v>
      </c>
    </row>
    <row r="88" spans="1:3" ht="12.75" customHeight="1" x14ac:dyDescent="0.35">
      <c r="A88"/>
      <c r="B88"/>
      <c r="C88" s="97" t="s">
        <v>4737</v>
      </c>
    </row>
    <row r="89" spans="1:3" ht="12.75" customHeight="1" x14ac:dyDescent="0.35">
      <c r="A89"/>
      <c r="B89"/>
      <c r="C89" s="97" t="s">
        <v>4738</v>
      </c>
    </row>
    <row r="90" spans="1:3" ht="12.75" customHeight="1" x14ac:dyDescent="0.35">
      <c r="A90"/>
      <c r="B90"/>
      <c r="C90" s="97" t="s">
        <v>4739</v>
      </c>
    </row>
    <row r="91" spans="1:3" ht="12.75" customHeight="1" x14ac:dyDescent="0.35">
      <c r="A91"/>
      <c r="B91"/>
      <c r="C91" s="97" t="s">
        <v>4740</v>
      </c>
    </row>
    <row r="92" spans="1:3" ht="12.75" customHeight="1" x14ac:dyDescent="0.35">
      <c r="A92"/>
      <c r="B92"/>
      <c r="C92" s="97" t="s">
        <v>4741</v>
      </c>
    </row>
    <row r="93" spans="1:3" ht="12.75" customHeight="1" x14ac:dyDescent="0.35">
      <c r="A93"/>
      <c r="B93"/>
      <c r="C93" s="97" t="s">
        <v>4742</v>
      </c>
    </row>
    <row r="94" spans="1:3" ht="12.75" customHeight="1" x14ac:dyDescent="0.35">
      <c r="A94"/>
      <c r="B94"/>
      <c r="C94" s="97" t="s">
        <v>4743</v>
      </c>
    </row>
    <row r="95" spans="1:3" ht="12.75" customHeight="1" x14ac:dyDescent="0.35">
      <c r="A95"/>
      <c r="B95"/>
      <c r="C95" s="97" t="s">
        <v>4744</v>
      </c>
    </row>
    <row r="96" spans="1:3" ht="12.75" customHeight="1" x14ac:dyDescent="0.35">
      <c r="A96"/>
      <c r="B96"/>
      <c r="C96" s="97" t="s">
        <v>4745</v>
      </c>
    </row>
    <row r="97" spans="1:3" ht="12.75" customHeight="1" x14ac:dyDescent="0.35">
      <c r="A97"/>
      <c r="B97"/>
      <c r="C97" s="97" t="s">
        <v>4746</v>
      </c>
    </row>
    <row r="98" spans="1:3" ht="12.75" customHeight="1" x14ac:dyDescent="0.35">
      <c r="A98"/>
      <c r="B98"/>
    </row>
    <row r="99" spans="1:3" ht="12.75" customHeight="1" x14ac:dyDescent="0.35">
      <c r="A99"/>
      <c r="B99"/>
      <c r="C99" s="97" t="s">
        <v>4747</v>
      </c>
    </row>
    <row r="100" spans="1:3" ht="12.75" customHeight="1" x14ac:dyDescent="0.35">
      <c r="A100"/>
      <c r="B100"/>
      <c r="C100" s="97" t="s">
        <v>4748</v>
      </c>
    </row>
    <row r="101" spans="1:3" ht="12.75" customHeight="1" x14ac:dyDescent="0.35">
      <c r="A101"/>
      <c r="B101"/>
      <c r="C101" s="97" t="s">
        <v>4749</v>
      </c>
    </row>
    <row r="102" spans="1:3" ht="12.75" customHeight="1" x14ac:dyDescent="0.35">
      <c r="A102"/>
      <c r="B102"/>
      <c r="C102" s="97" t="s">
        <v>4750</v>
      </c>
    </row>
    <row r="103" spans="1:3" ht="12.75" customHeight="1" x14ac:dyDescent="0.35">
      <c r="A103"/>
      <c r="B103"/>
      <c r="C103" s="97" t="s">
        <v>4751</v>
      </c>
    </row>
    <row r="104" spans="1:3" ht="12.75" customHeight="1" x14ac:dyDescent="0.35">
      <c r="A104"/>
      <c r="B104"/>
      <c r="C104" s="97" t="s">
        <v>4752</v>
      </c>
    </row>
    <row r="105" spans="1:3" ht="12.75" customHeight="1" x14ac:dyDescent="0.35">
      <c r="A105"/>
      <c r="B105"/>
      <c r="C105" s="97" t="s">
        <v>4753</v>
      </c>
    </row>
    <row r="106" spans="1:3" ht="12.75" customHeight="1" x14ac:dyDescent="0.35">
      <c r="A106"/>
      <c r="B106"/>
      <c r="C106" s="97" t="s">
        <v>4754</v>
      </c>
    </row>
    <row r="107" spans="1:3" ht="12.75" customHeight="1" x14ac:dyDescent="0.35">
      <c r="A107"/>
      <c r="B107"/>
      <c r="C107" s="97" t="s">
        <v>4755</v>
      </c>
    </row>
    <row r="108" spans="1:3" ht="12.75" customHeight="1" x14ac:dyDescent="0.35">
      <c r="A108"/>
      <c r="B108"/>
    </row>
    <row r="109" spans="1:3" ht="12.75" customHeight="1" x14ac:dyDescent="0.35">
      <c r="A109"/>
      <c r="B109"/>
      <c r="C109" s="97" t="s">
        <v>4756</v>
      </c>
    </row>
    <row r="110" spans="1:3" ht="12.75" customHeight="1" x14ac:dyDescent="0.35">
      <c r="A110"/>
      <c r="B110"/>
    </row>
    <row r="111" spans="1:3" ht="12.75" customHeight="1" x14ac:dyDescent="0.35">
      <c r="A111"/>
      <c r="B111"/>
      <c r="C111" s="97" t="s">
        <v>4757</v>
      </c>
    </row>
    <row r="112" spans="1:3" ht="12.75" customHeight="1" x14ac:dyDescent="0.35">
      <c r="A112"/>
      <c r="B112"/>
      <c r="C112" s="97" t="s">
        <v>4758</v>
      </c>
    </row>
    <row r="113" spans="1:3" ht="12.75" customHeight="1" x14ac:dyDescent="0.35">
      <c r="A113"/>
      <c r="B113"/>
      <c r="C113" s="97" t="s">
        <v>4759</v>
      </c>
    </row>
    <row r="114" spans="1:3" ht="12.75" customHeight="1" x14ac:dyDescent="0.35">
      <c r="A114"/>
      <c r="B114"/>
      <c r="C114" s="97" t="s">
        <v>4760</v>
      </c>
    </row>
    <row r="115" spans="1:3" ht="12.75" customHeight="1" x14ac:dyDescent="0.35">
      <c r="A115"/>
      <c r="B115"/>
      <c r="C115" s="97" t="s">
        <v>4761</v>
      </c>
    </row>
    <row r="116" spans="1:3" ht="12.75" customHeight="1" x14ac:dyDescent="0.35">
      <c r="A116"/>
      <c r="B116"/>
      <c r="C116" s="97" t="s">
        <v>4762</v>
      </c>
    </row>
    <row r="117" spans="1:3" ht="12.75" customHeight="1" x14ac:dyDescent="0.35">
      <c r="A117"/>
      <c r="B117"/>
      <c r="C117" s="97" t="s">
        <v>4763</v>
      </c>
    </row>
    <row r="118" spans="1:3" ht="12.75" customHeight="1" x14ac:dyDescent="0.35"/>
    <row r="119" spans="1:3" ht="12.75" customHeight="1" x14ac:dyDescent="0.35">
      <c r="C119" s="97" t="s">
        <v>4764</v>
      </c>
    </row>
    <row r="120" spans="1:3" ht="12.75" customHeight="1" x14ac:dyDescent="0.35">
      <c r="C120" s="97" t="s">
        <v>4765</v>
      </c>
    </row>
  </sheetData>
  <pageMargins left="0.75" right="0.75" top="1" bottom="1" header="0.5" footer="0.5"/>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5">
    <pageSetUpPr autoPageBreaks="0"/>
  </sheetPr>
  <dimension ref="A1:D120"/>
  <sheetViews>
    <sheetView workbookViewId="0"/>
  </sheetViews>
  <sheetFormatPr defaultColWidth="9.1796875" defaultRowHeight="14.5" x14ac:dyDescent="0.35"/>
  <cols>
    <col min="1" max="16384" width="9.1796875" style="97"/>
  </cols>
  <sheetData>
    <row r="1" spans="1:4" ht="12.75" customHeight="1" x14ac:dyDescent="0.35">
      <c r="A1"/>
      <c r="B1"/>
    </row>
    <row r="2" spans="1:4" ht="12.75" customHeight="1" x14ac:dyDescent="0.35">
      <c r="A2"/>
      <c r="B2"/>
    </row>
    <row r="3" spans="1:4" ht="12.75" customHeight="1" x14ac:dyDescent="0.35">
      <c r="A3"/>
      <c r="B3"/>
    </row>
    <row r="4" spans="1:4" ht="12.75" customHeight="1" x14ac:dyDescent="0.35">
      <c r="A4"/>
      <c r="B4"/>
      <c r="D4" s="97" t="s">
        <v>4766</v>
      </c>
    </row>
    <row r="5" spans="1:4" ht="12.75" customHeight="1" x14ac:dyDescent="0.35">
      <c r="A5"/>
      <c r="B5"/>
    </row>
    <row r="6" spans="1:4" ht="12.75" customHeight="1" x14ac:dyDescent="0.35">
      <c r="A6"/>
      <c r="B6"/>
      <c r="C6" s="159" t="s">
        <v>3698</v>
      </c>
    </row>
    <row r="7" spans="1:4" ht="12.75" customHeight="1" x14ac:dyDescent="0.35">
      <c r="A7"/>
      <c r="B7"/>
    </row>
    <row r="8" spans="1:4" ht="12.75" customHeight="1" x14ac:dyDescent="0.35">
      <c r="A8"/>
      <c r="B8"/>
      <c r="C8" s="97" t="s">
        <v>4767</v>
      </c>
    </row>
    <row r="9" spans="1:4" ht="12.75" customHeight="1" x14ac:dyDescent="0.35">
      <c r="A9"/>
      <c r="B9"/>
      <c r="C9" s="97" t="s">
        <v>4768</v>
      </c>
    </row>
    <row r="10" spans="1:4" ht="12.75" customHeight="1" x14ac:dyDescent="0.35">
      <c r="A10"/>
      <c r="B10"/>
      <c r="C10" s="97" t="s">
        <v>4769</v>
      </c>
    </row>
    <row r="11" spans="1:4" ht="12.75" customHeight="1" x14ac:dyDescent="0.35">
      <c r="A11"/>
      <c r="B11"/>
      <c r="C11" s="97" t="s">
        <v>4770</v>
      </c>
    </row>
    <row r="12" spans="1:4" ht="12.75" customHeight="1" x14ac:dyDescent="0.35">
      <c r="A12"/>
      <c r="B12"/>
      <c r="C12" s="97" t="s">
        <v>4771</v>
      </c>
    </row>
    <row r="13" spans="1:4" ht="12.75" customHeight="1" x14ac:dyDescent="0.35">
      <c r="A13"/>
      <c r="B13"/>
      <c r="C13" s="97" t="s">
        <v>4772</v>
      </c>
    </row>
    <row r="14" spans="1:4" ht="12.75" customHeight="1" x14ac:dyDescent="0.35">
      <c r="A14"/>
      <c r="B14"/>
      <c r="C14" s="97" t="s">
        <v>4773</v>
      </c>
    </row>
    <row r="15" spans="1:4" ht="12.75" customHeight="1" x14ac:dyDescent="0.35">
      <c r="A15"/>
      <c r="B15"/>
      <c r="C15" s="97" t="s">
        <v>3733</v>
      </c>
    </row>
    <row r="16" spans="1:4" ht="12.75" customHeight="1" x14ac:dyDescent="0.35">
      <c r="A16"/>
      <c r="B16"/>
      <c r="C16" s="97" t="s">
        <v>4774</v>
      </c>
    </row>
    <row r="17" spans="1:3" ht="12.75" customHeight="1" x14ac:dyDescent="0.35">
      <c r="A17"/>
      <c r="B17"/>
    </row>
    <row r="18" spans="1:3" ht="12.75" customHeight="1" x14ac:dyDescent="0.35">
      <c r="A18"/>
      <c r="B18"/>
      <c r="C18" s="97" t="s">
        <v>4775</v>
      </c>
    </row>
    <row r="19" spans="1:3" ht="12.75" customHeight="1" x14ac:dyDescent="0.35">
      <c r="A19"/>
      <c r="B19"/>
      <c r="C19" s="97" t="s">
        <v>4776</v>
      </c>
    </row>
    <row r="20" spans="1:3" ht="12.75" customHeight="1" x14ac:dyDescent="0.35">
      <c r="A20"/>
      <c r="B20"/>
      <c r="C20" s="97" t="s">
        <v>4777</v>
      </c>
    </row>
    <row r="21" spans="1:3" ht="12.75" customHeight="1" x14ac:dyDescent="0.35">
      <c r="A21"/>
      <c r="B21"/>
      <c r="C21" s="97" t="s">
        <v>4778</v>
      </c>
    </row>
    <row r="22" spans="1:3" ht="12.75" customHeight="1" x14ac:dyDescent="0.35">
      <c r="A22"/>
      <c r="B22"/>
    </row>
    <row r="23" spans="1:3" ht="12.75" customHeight="1" x14ac:dyDescent="0.35">
      <c r="A23"/>
      <c r="B23"/>
      <c r="C23" s="97" t="s">
        <v>4779</v>
      </c>
    </row>
    <row r="24" spans="1:3" ht="12.75" customHeight="1" x14ac:dyDescent="0.35">
      <c r="A24"/>
      <c r="B24"/>
      <c r="C24" s="97" t="s">
        <v>4780</v>
      </c>
    </row>
    <row r="25" spans="1:3" ht="12.75" customHeight="1" x14ac:dyDescent="0.35">
      <c r="A25"/>
      <c r="B25"/>
      <c r="C25" s="97" t="s">
        <v>4781</v>
      </c>
    </row>
    <row r="26" spans="1:3" ht="12.75" customHeight="1" x14ac:dyDescent="0.35">
      <c r="A26"/>
      <c r="B26"/>
    </row>
    <row r="27" spans="1:3" ht="12.75" customHeight="1" x14ac:dyDescent="0.35">
      <c r="A27"/>
      <c r="B27"/>
      <c r="C27" s="97" t="s">
        <v>4782</v>
      </c>
    </row>
    <row r="28" spans="1:3" ht="12.75" customHeight="1" x14ac:dyDescent="0.35">
      <c r="A28"/>
      <c r="B28"/>
      <c r="C28" s="97" t="s">
        <v>4783</v>
      </c>
    </row>
    <row r="29" spans="1:3" ht="12.75" customHeight="1" x14ac:dyDescent="0.35">
      <c r="A29"/>
      <c r="B29"/>
      <c r="C29" s="97" t="s">
        <v>4784</v>
      </c>
    </row>
    <row r="30" spans="1:3" ht="12.75" customHeight="1" x14ac:dyDescent="0.35">
      <c r="A30"/>
      <c r="B30"/>
      <c r="C30" s="97" t="s">
        <v>4785</v>
      </c>
    </row>
    <row r="31" spans="1:3" ht="12.75" customHeight="1" x14ac:dyDescent="0.35">
      <c r="A31"/>
      <c r="B31"/>
    </row>
    <row r="32" spans="1:3" ht="12.75" customHeight="1" x14ac:dyDescent="0.35">
      <c r="A32"/>
      <c r="B32"/>
      <c r="C32" s="97" t="s">
        <v>4786</v>
      </c>
    </row>
    <row r="33" spans="1:3" ht="12.75" customHeight="1" x14ac:dyDescent="0.35">
      <c r="A33"/>
      <c r="B33"/>
      <c r="C33" s="97" t="s">
        <v>4787</v>
      </c>
    </row>
    <row r="34" spans="1:3" ht="12.75" customHeight="1" x14ac:dyDescent="0.35">
      <c r="A34"/>
      <c r="B34"/>
      <c r="C34" s="97" t="s">
        <v>4788</v>
      </c>
    </row>
    <row r="35" spans="1:3" ht="12.75" customHeight="1" x14ac:dyDescent="0.35">
      <c r="A35"/>
      <c r="B35"/>
    </row>
    <row r="36" spans="1:3" ht="12.75" customHeight="1" x14ac:dyDescent="0.35">
      <c r="A36"/>
      <c r="B36"/>
    </row>
    <row r="37" spans="1:3" ht="12.75" customHeight="1" x14ac:dyDescent="0.35">
      <c r="A37"/>
      <c r="B37"/>
    </row>
    <row r="38" spans="1:3" ht="12.75" customHeight="1" x14ac:dyDescent="0.35">
      <c r="A38"/>
      <c r="B38"/>
    </row>
    <row r="39" spans="1:3" ht="12.75" customHeight="1" x14ac:dyDescent="0.35">
      <c r="A39"/>
      <c r="B39"/>
      <c r="C39" s="159" t="s">
        <v>3803</v>
      </c>
    </row>
    <row r="40" spans="1:3" ht="12.75" customHeight="1" x14ac:dyDescent="0.35">
      <c r="A40"/>
      <c r="B40"/>
    </row>
    <row r="41" spans="1:3" ht="12.75" customHeight="1" x14ac:dyDescent="0.35">
      <c r="A41"/>
      <c r="B41"/>
      <c r="C41" s="97" t="s">
        <v>3804</v>
      </c>
    </row>
    <row r="42" spans="1:3" ht="12.75" customHeight="1" x14ac:dyDescent="0.35">
      <c r="A42"/>
      <c r="B42"/>
      <c r="C42" s="97" t="s">
        <v>4789</v>
      </c>
    </row>
    <row r="43" spans="1:3" ht="12.75" customHeight="1" x14ac:dyDescent="0.35">
      <c r="A43"/>
      <c r="B43"/>
      <c r="C43" s="97" t="s">
        <v>3807</v>
      </c>
    </row>
    <row r="44" spans="1:3" ht="12.75" customHeight="1" x14ac:dyDescent="0.35">
      <c r="A44"/>
      <c r="B44"/>
      <c r="C44" s="97" t="s">
        <v>4790</v>
      </c>
    </row>
    <row r="45" spans="1:3" ht="12.75" customHeight="1" x14ac:dyDescent="0.35">
      <c r="A45"/>
      <c r="B45"/>
      <c r="C45" s="97" t="s">
        <v>4791</v>
      </c>
    </row>
    <row r="46" spans="1:3" ht="12.75" customHeight="1" x14ac:dyDescent="0.35">
      <c r="A46"/>
      <c r="B46"/>
      <c r="C46" s="97" t="s">
        <v>4792</v>
      </c>
    </row>
    <row r="47" spans="1:3" ht="12.75" customHeight="1" x14ac:dyDescent="0.35">
      <c r="A47"/>
      <c r="B47"/>
      <c r="C47" s="97" t="s">
        <v>4793</v>
      </c>
    </row>
    <row r="48" spans="1:3" ht="12.75" customHeight="1" x14ac:dyDescent="0.35">
      <c r="A48"/>
      <c r="B48"/>
      <c r="C48" s="97" t="s">
        <v>4794</v>
      </c>
    </row>
    <row r="49" spans="1:3" ht="12.75" customHeight="1" x14ac:dyDescent="0.35">
      <c r="A49"/>
      <c r="B49"/>
      <c r="C49" s="97" t="s">
        <v>4795</v>
      </c>
    </row>
    <row r="50" spans="1:3" ht="12.75" customHeight="1" x14ac:dyDescent="0.35">
      <c r="A50"/>
      <c r="B50"/>
    </row>
    <row r="51" spans="1:3" ht="12.75" customHeight="1" x14ac:dyDescent="0.35">
      <c r="A51"/>
      <c r="B51"/>
      <c r="C51" s="97" t="s">
        <v>4796</v>
      </c>
    </row>
    <row r="52" spans="1:3" ht="12.75" customHeight="1" x14ac:dyDescent="0.35">
      <c r="A52"/>
      <c r="B52"/>
      <c r="C52" s="97" t="s">
        <v>3758</v>
      </c>
    </row>
    <row r="53" spans="1:3" ht="12.75" customHeight="1" x14ac:dyDescent="0.35">
      <c r="A53"/>
      <c r="B53"/>
      <c r="C53" s="97" t="s">
        <v>4797</v>
      </c>
    </row>
    <row r="54" spans="1:3" ht="12.75" customHeight="1" x14ac:dyDescent="0.35">
      <c r="A54"/>
      <c r="B54"/>
      <c r="C54" s="97" t="s">
        <v>4798</v>
      </c>
    </row>
    <row r="55" spans="1:3" ht="12.75" customHeight="1" x14ac:dyDescent="0.35">
      <c r="A55"/>
      <c r="B55"/>
      <c r="C55" s="97" t="s">
        <v>3840</v>
      </c>
    </row>
    <row r="56" spans="1:3" ht="12.75" customHeight="1" x14ac:dyDescent="0.35">
      <c r="A56"/>
      <c r="B56"/>
    </row>
    <row r="57" spans="1:3" ht="12.75" customHeight="1" x14ac:dyDescent="0.35">
      <c r="A57"/>
      <c r="B57"/>
      <c r="C57" s="97" t="s">
        <v>4799</v>
      </c>
    </row>
    <row r="58" spans="1:3" ht="12.75" customHeight="1" x14ac:dyDescent="0.35">
      <c r="A58"/>
      <c r="B58"/>
    </row>
    <row r="59" spans="1:3" ht="12.75" customHeight="1" x14ac:dyDescent="0.35">
      <c r="A59"/>
      <c r="B59"/>
      <c r="C59" s="97" t="s">
        <v>4800</v>
      </c>
    </row>
    <row r="60" spans="1:3" ht="12.75" customHeight="1" x14ac:dyDescent="0.35">
      <c r="A60"/>
      <c r="B60"/>
      <c r="C60" s="97" t="s">
        <v>4801</v>
      </c>
    </row>
    <row r="61" spans="1:3" ht="12.75" customHeight="1" x14ac:dyDescent="0.35">
      <c r="A61"/>
      <c r="B61"/>
      <c r="C61" s="97" t="s">
        <v>3675</v>
      </c>
    </row>
    <row r="62" spans="1:3" ht="12.75" customHeight="1" x14ac:dyDescent="0.35">
      <c r="A62"/>
      <c r="B62"/>
      <c r="C62" s="97" t="s">
        <v>4802</v>
      </c>
    </row>
    <row r="63" spans="1:3" ht="12.75" customHeight="1" x14ac:dyDescent="0.35">
      <c r="A63"/>
      <c r="B63"/>
      <c r="C63" s="97" t="s">
        <v>4803</v>
      </c>
    </row>
    <row r="64" spans="1:3" ht="12.75" customHeight="1" x14ac:dyDescent="0.35">
      <c r="A64"/>
      <c r="B64"/>
      <c r="C64" s="97" t="s">
        <v>3726</v>
      </c>
    </row>
    <row r="65" spans="1:3" ht="12.75" customHeight="1" x14ac:dyDescent="0.35">
      <c r="A65"/>
      <c r="B65"/>
      <c r="C65" s="97" t="s">
        <v>4804</v>
      </c>
    </row>
    <row r="66" spans="1:3" ht="12.75" customHeight="1" x14ac:dyDescent="0.35">
      <c r="A66"/>
      <c r="B66"/>
    </row>
    <row r="67" spans="1:3" ht="12.75" customHeight="1" x14ac:dyDescent="0.35">
      <c r="A67"/>
      <c r="B67"/>
      <c r="C67" s="97" t="s">
        <v>4805</v>
      </c>
    </row>
    <row r="68" spans="1:3" ht="12.75" customHeight="1" x14ac:dyDescent="0.35">
      <c r="A68"/>
      <c r="B68"/>
      <c r="C68" s="97" t="s">
        <v>3851</v>
      </c>
    </row>
    <row r="69" spans="1:3" ht="12.75" customHeight="1" x14ac:dyDescent="0.35">
      <c r="A69"/>
      <c r="B69"/>
      <c r="C69" s="97" t="s">
        <v>4806</v>
      </c>
    </row>
    <row r="70" spans="1:3" ht="12.75" customHeight="1" x14ac:dyDescent="0.35">
      <c r="A70"/>
      <c r="B70"/>
      <c r="C70" s="97" t="s">
        <v>3682</v>
      </c>
    </row>
    <row r="71" spans="1:3" ht="12.75" customHeight="1" x14ac:dyDescent="0.35">
      <c r="A71"/>
      <c r="B71"/>
      <c r="C71" s="97" t="s">
        <v>3849</v>
      </c>
    </row>
    <row r="72" spans="1:3" ht="12.75" customHeight="1" x14ac:dyDescent="0.35">
      <c r="A72"/>
      <c r="B72"/>
      <c r="C72" s="97" t="s">
        <v>4807</v>
      </c>
    </row>
    <row r="73" spans="1:3" ht="12.75" customHeight="1" x14ac:dyDescent="0.35">
      <c r="A73"/>
      <c r="B73"/>
      <c r="C73" s="97" t="s">
        <v>4808</v>
      </c>
    </row>
    <row r="74" spans="1:3" ht="12.75" customHeight="1" x14ac:dyDescent="0.35">
      <c r="A74"/>
      <c r="B74"/>
    </row>
    <row r="75" spans="1:3" ht="12.75" customHeight="1" x14ac:dyDescent="0.35">
      <c r="A75"/>
      <c r="B75"/>
      <c r="C75" s="97" t="s">
        <v>3762</v>
      </c>
    </row>
    <row r="76" spans="1:3" ht="12.75" customHeight="1" x14ac:dyDescent="0.35">
      <c r="A76"/>
      <c r="B76"/>
      <c r="C76" s="97" t="s">
        <v>4806</v>
      </c>
    </row>
    <row r="77" spans="1:3" ht="12.75" customHeight="1" x14ac:dyDescent="0.35">
      <c r="A77"/>
      <c r="B77"/>
      <c r="C77" s="97" t="s">
        <v>4809</v>
      </c>
    </row>
    <row r="78" spans="1:3" ht="12.75" customHeight="1" x14ac:dyDescent="0.35">
      <c r="A78"/>
      <c r="B78"/>
      <c r="C78" s="97" t="s">
        <v>4810</v>
      </c>
    </row>
    <row r="79" spans="1:3" ht="12.75" customHeight="1" x14ac:dyDescent="0.35">
      <c r="A79"/>
      <c r="B79"/>
      <c r="C79" s="97" t="s">
        <v>4811</v>
      </c>
    </row>
    <row r="80" spans="1:3" ht="12.75" customHeight="1" x14ac:dyDescent="0.35">
      <c r="A80"/>
      <c r="B80"/>
    </row>
    <row r="81" spans="1:3" ht="12.75" customHeight="1" x14ac:dyDescent="0.35">
      <c r="A81"/>
      <c r="B81"/>
      <c r="C81" s="97" t="s">
        <v>4812</v>
      </c>
    </row>
    <row r="82" spans="1:3" ht="12.75" customHeight="1" x14ac:dyDescent="0.35">
      <c r="A82"/>
      <c r="B82"/>
    </row>
    <row r="83" spans="1:3" ht="12.75" customHeight="1" x14ac:dyDescent="0.35">
      <c r="A83"/>
      <c r="B83"/>
      <c r="C83" s="97" t="s">
        <v>4813</v>
      </c>
    </row>
    <row r="84" spans="1:3" ht="12.75" customHeight="1" x14ac:dyDescent="0.35">
      <c r="A84"/>
      <c r="B84"/>
    </row>
    <row r="85" spans="1:3" ht="12.75" customHeight="1" x14ac:dyDescent="0.35">
      <c r="A85"/>
      <c r="B85"/>
      <c r="C85" s="159" t="s">
        <v>3772</v>
      </c>
    </row>
    <row r="86" spans="1:3" ht="12.75" customHeight="1" x14ac:dyDescent="0.35">
      <c r="A86"/>
      <c r="B86"/>
    </row>
    <row r="87" spans="1:3" ht="12.75" customHeight="1" x14ac:dyDescent="0.35">
      <c r="A87"/>
      <c r="B87"/>
      <c r="C87" s="97" t="s">
        <v>4814</v>
      </c>
    </row>
    <row r="88" spans="1:3" ht="12.75" customHeight="1" x14ac:dyDescent="0.35">
      <c r="A88"/>
      <c r="B88"/>
      <c r="C88" s="97" t="s">
        <v>4815</v>
      </c>
    </row>
    <row r="89" spans="1:3" ht="12.75" customHeight="1" x14ac:dyDescent="0.35">
      <c r="A89"/>
      <c r="B89"/>
      <c r="C89" s="97" t="s">
        <v>4816</v>
      </c>
    </row>
    <row r="90" spans="1:3" ht="12.75" customHeight="1" x14ac:dyDescent="0.35">
      <c r="A90"/>
      <c r="B90"/>
      <c r="C90" s="97" t="s">
        <v>4776</v>
      </c>
    </row>
    <row r="91" spans="1:3" ht="12.75" customHeight="1" x14ac:dyDescent="0.35">
      <c r="A91"/>
      <c r="B91"/>
      <c r="C91" s="97" t="s">
        <v>4817</v>
      </c>
    </row>
    <row r="92" spans="1:3" ht="12.75" customHeight="1" x14ac:dyDescent="0.35">
      <c r="A92"/>
      <c r="B92"/>
      <c r="C92" s="97" t="s">
        <v>4818</v>
      </c>
    </row>
    <row r="93" spans="1:3" ht="12.75" customHeight="1" x14ac:dyDescent="0.35">
      <c r="A93"/>
      <c r="B93"/>
      <c r="C93" s="97" t="s">
        <v>4819</v>
      </c>
    </row>
    <row r="94" spans="1:3" ht="12.75" customHeight="1" x14ac:dyDescent="0.35">
      <c r="A94"/>
      <c r="B94"/>
      <c r="C94" s="97" t="s">
        <v>4820</v>
      </c>
    </row>
    <row r="95" spans="1:3" ht="12.75" customHeight="1" x14ac:dyDescent="0.35">
      <c r="A95"/>
      <c r="B95"/>
      <c r="C95" s="97" t="s">
        <v>4821</v>
      </c>
    </row>
    <row r="96" spans="1:3" ht="12.75" customHeight="1" x14ac:dyDescent="0.35">
      <c r="A96"/>
      <c r="B96"/>
      <c r="C96" s="97" t="s">
        <v>4822</v>
      </c>
    </row>
    <row r="97" spans="1:3" ht="12.75" customHeight="1" x14ac:dyDescent="0.35">
      <c r="A97"/>
      <c r="B97"/>
      <c r="C97" s="97" t="s">
        <v>4823</v>
      </c>
    </row>
    <row r="98" spans="1:3" ht="12.75" customHeight="1" x14ac:dyDescent="0.35">
      <c r="A98"/>
      <c r="B98"/>
    </row>
    <row r="99" spans="1:3" ht="12.75" customHeight="1" x14ac:dyDescent="0.35">
      <c r="A99"/>
      <c r="B99"/>
      <c r="C99" s="97" t="s">
        <v>4824</v>
      </c>
    </row>
    <row r="100" spans="1:3" ht="12.75" customHeight="1" x14ac:dyDescent="0.35">
      <c r="A100"/>
      <c r="B100"/>
      <c r="C100" s="97" t="s">
        <v>4825</v>
      </c>
    </row>
    <row r="101" spans="1:3" ht="12.75" customHeight="1" x14ac:dyDescent="0.35">
      <c r="A101"/>
      <c r="B101"/>
      <c r="C101" s="97" t="s">
        <v>4826</v>
      </c>
    </row>
    <row r="102" spans="1:3" ht="12.75" customHeight="1" x14ac:dyDescent="0.35">
      <c r="A102"/>
      <c r="B102"/>
      <c r="C102" s="97" t="s">
        <v>4827</v>
      </c>
    </row>
    <row r="103" spans="1:3" ht="12.75" customHeight="1" x14ac:dyDescent="0.35">
      <c r="A103"/>
      <c r="B103"/>
      <c r="C103" s="97" t="s">
        <v>4828</v>
      </c>
    </row>
    <row r="104" spans="1:3" ht="12.75" customHeight="1" x14ac:dyDescent="0.35">
      <c r="A104"/>
      <c r="B104"/>
      <c r="C104" s="97" t="s">
        <v>4829</v>
      </c>
    </row>
    <row r="105" spans="1:3" ht="12.75" customHeight="1" x14ac:dyDescent="0.35">
      <c r="A105"/>
      <c r="B105"/>
      <c r="C105" s="97" t="s">
        <v>4830</v>
      </c>
    </row>
    <row r="106" spans="1:3" ht="12.75" customHeight="1" x14ac:dyDescent="0.35">
      <c r="A106"/>
      <c r="B106"/>
      <c r="C106" s="97" t="s">
        <v>4831</v>
      </c>
    </row>
    <row r="107" spans="1:3" ht="12.75" customHeight="1" x14ac:dyDescent="0.35">
      <c r="A107"/>
      <c r="B107"/>
      <c r="C107" s="97" t="s">
        <v>4832</v>
      </c>
    </row>
    <row r="108" spans="1:3" ht="12.75" customHeight="1" x14ac:dyDescent="0.35">
      <c r="A108"/>
      <c r="B108"/>
    </row>
    <row r="109" spans="1:3" ht="12.75" customHeight="1" x14ac:dyDescent="0.35">
      <c r="A109"/>
      <c r="B109"/>
      <c r="C109" s="97" t="s">
        <v>4833</v>
      </c>
    </row>
    <row r="110" spans="1:3" ht="12.75" customHeight="1" x14ac:dyDescent="0.35">
      <c r="A110"/>
      <c r="B110"/>
    </row>
    <row r="111" spans="1:3" ht="12.75" customHeight="1" x14ac:dyDescent="0.35">
      <c r="A111"/>
      <c r="B111"/>
      <c r="C111" s="97" t="s">
        <v>4834</v>
      </c>
    </row>
    <row r="112" spans="1:3" ht="12.75" customHeight="1" x14ac:dyDescent="0.35">
      <c r="A112"/>
      <c r="B112"/>
      <c r="C112" s="97" t="s">
        <v>4835</v>
      </c>
    </row>
    <row r="113" spans="1:3" ht="12.75" customHeight="1" x14ac:dyDescent="0.35">
      <c r="A113"/>
      <c r="B113"/>
      <c r="C113" s="97" t="s">
        <v>4836</v>
      </c>
    </row>
    <row r="114" spans="1:3" ht="12.75" customHeight="1" x14ac:dyDescent="0.35">
      <c r="A114"/>
      <c r="B114"/>
      <c r="C114" s="97" t="s">
        <v>4837</v>
      </c>
    </row>
    <row r="115" spans="1:3" ht="12.75" customHeight="1" x14ac:dyDescent="0.35">
      <c r="A115"/>
      <c r="B115"/>
      <c r="C115" s="97" t="s">
        <v>4838</v>
      </c>
    </row>
    <row r="116" spans="1:3" ht="12.75" customHeight="1" x14ac:dyDescent="0.35">
      <c r="A116"/>
      <c r="B116"/>
      <c r="C116" s="97" t="s">
        <v>4839</v>
      </c>
    </row>
    <row r="117" spans="1:3" ht="12.75" customHeight="1" x14ac:dyDescent="0.35">
      <c r="A117"/>
      <c r="B117"/>
      <c r="C117" s="97" t="s">
        <v>4840</v>
      </c>
    </row>
    <row r="118" spans="1:3" ht="12.75" customHeight="1" x14ac:dyDescent="0.35"/>
    <row r="119" spans="1:3" ht="12.75" customHeight="1" x14ac:dyDescent="0.35">
      <c r="C119" s="97" t="s">
        <v>4841</v>
      </c>
    </row>
    <row r="120" spans="1:3" ht="12.75" customHeight="1" x14ac:dyDescent="0.35">
      <c r="C120" s="97" t="s">
        <v>4842</v>
      </c>
    </row>
  </sheetData>
  <pageMargins left="0.75" right="0.75" top="1" bottom="1" header="0.5" footer="0.5"/>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1">
    <tabColor rgb="FF92D050"/>
    <pageSetUpPr autoPageBreaks="0"/>
  </sheetPr>
  <dimension ref="B1:D120"/>
  <sheetViews>
    <sheetView topLeftCell="A19" workbookViewId="0">
      <selection activeCell="C64" sqref="C64"/>
    </sheetView>
  </sheetViews>
  <sheetFormatPr defaultColWidth="9.1796875" defaultRowHeight="14.5" x14ac:dyDescent="0.35"/>
  <cols>
    <col min="1" max="16384" width="9.1796875" style="1295"/>
  </cols>
  <sheetData>
    <row r="1" spans="2:4" ht="12.75" customHeight="1" x14ac:dyDescent="0.35">
      <c r="B1" s="1300"/>
    </row>
    <row r="2" spans="2:4" ht="12.75" customHeight="1" x14ac:dyDescent="0.35"/>
    <row r="3" spans="2:4" ht="12.75" customHeight="1" x14ac:dyDescent="0.35"/>
    <row r="4" spans="2:4" ht="12.75" customHeight="1" x14ac:dyDescent="0.35">
      <c r="D4" s="97" t="s">
        <v>5626</v>
      </c>
    </row>
    <row r="5" spans="2:4" ht="12.75" customHeight="1" x14ac:dyDescent="0.35"/>
    <row r="6" spans="2:4" ht="12.75" customHeight="1" x14ac:dyDescent="0.35">
      <c r="C6" s="97" t="s">
        <v>5885</v>
      </c>
    </row>
    <row r="7" spans="2:4" ht="12.75" customHeight="1" x14ac:dyDescent="0.35"/>
    <row r="8" spans="2:4" ht="12.75" customHeight="1" x14ac:dyDescent="0.35">
      <c r="C8" s="97" t="s">
        <v>5627</v>
      </c>
    </row>
    <row r="9" spans="2:4" ht="12.75" customHeight="1" x14ac:dyDescent="0.35">
      <c r="C9" s="97" t="s">
        <v>5628</v>
      </c>
    </row>
    <row r="10" spans="2:4" ht="12.75" customHeight="1" x14ac:dyDescent="0.35">
      <c r="C10" s="97" t="s">
        <v>5886</v>
      </c>
    </row>
    <row r="11" spans="2:4" ht="12.75" customHeight="1" x14ac:dyDescent="0.35">
      <c r="C11" s="97" t="s">
        <v>5629</v>
      </c>
    </row>
    <row r="12" spans="2:4" ht="12.75" customHeight="1" x14ac:dyDescent="0.35">
      <c r="C12" s="97" t="s">
        <v>5630</v>
      </c>
    </row>
    <row r="13" spans="2:4" ht="12.75" customHeight="1" x14ac:dyDescent="0.35">
      <c r="C13" s="97" t="s">
        <v>5887</v>
      </c>
    </row>
    <row r="14" spans="2:4" ht="12.75" customHeight="1" x14ac:dyDescent="0.35">
      <c r="C14" s="97" t="s">
        <v>5631</v>
      </c>
    </row>
    <row r="15" spans="2:4" ht="12.75" customHeight="1" x14ac:dyDescent="0.35">
      <c r="C15" s="97" t="s">
        <v>5782</v>
      </c>
    </row>
    <row r="16" spans="2:4" ht="12.75" customHeight="1" x14ac:dyDescent="0.35">
      <c r="C16" s="97" t="s">
        <v>5888</v>
      </c>
    </row>
    <row r="17" spans="3:3" ht="12.75" customHeight="1" x14ac:dyDescent="0.35"/>
    <row r="18" spans="3:3" ht="12.75" customHeight="1" x14ac:dyDescent="0.35">
      <c r="C18" s="97" t="s">
        <v>5632</v>
      </c>
    </row>
    <row r="19" spans="3:3" ht="12.75" customHeight="1" x14ac:dyDescent="0.35">
      <c r="C19" s="97" t="s">
        <v>5633</v>
      </c>
    </row>
    <row r="20" spans="3:3" ht="12.75" customHeight="1" x14ac:dyDescent="0.35">
      <c r="C20" s="97" t="s">
        <v>5634</v>
      </c>
    </row>
    <row r="21" spans="3:3" ht="12.75" customHeight="1" x14ac:dyDescent="0.35">
      <c r="C21" s="97" t="s">
        <v>5635</v>
      </c>
    </row>
    <row r="22" spans="3:3" ht="12.75" customHeight="1" x14ac:dyDescent="0.35"/>
    <row r="23" spans="3:3" ht="12.75" customHeight="1" x14ac:dyDescent="0.35">
      <c r="C23" s="97" t="s">
        <v>5889</v>
      </c>
    </row>
    <row r="24" spans="3:3" ht="12.75" customHeight="1" x14ac:dyDescent="0.35">
      <c r="C24" s="97" t="s">
        <v>5636</v>
      </c>
    </row>
    <row r="25" spans="3:3" ht="12.75" customHeight="1" x14ac:dyDescent="0.35">
      <c r="C25" s="97" t="s">
        <v>5637</v>
      </c>
    </row>
    <row r="26" spans="3:3" ht="12.75" customHeight="1" x14ac:dyDescent="0.35"/>
    <row r="27" spans="3:3" ht="12.75" customHeight="1" x14ac:dyDescent="0.35">
      <c r="C27" s="97" t="s">
        <v>5638</v>
      </c>
    </row>
    <row r="28" spans="3:3" ht="12.75" customHeight="1" x14ac:dyDescent="0.35">
      <c r="C28" s="97" t="s">
        <v>5639</v>
      </c>
    </row>
    <row r="29" spans="3:3" ht="12.75" customHeight="1" x14ac:dyDescent="0.35">
      <c r="C29" s="97" t="s">
        <v>5640</v>
      </c>
    </row>
    <row r="30" spans="3:3" ht="12.75" customHeight="1" x14ac:dyDescent="0.35">
      <c r="C30" s="97" t="s">
        <v>5641</v>
      </c>
    </row>
    <row r="31" spans="3:3" ht="12.75" customHeight="1" x14ac:dyDescent="0.35"/>
    <row r="32" spans="3:3" ht="12.75" customHeight="1" x14ac:dyDescent="0.35">
      <c r="C32" s="97" t="s">
        <v>5890</v>
      </c>
    </row>
    <row r="33" spans="3:3" ht="12.75" customHeight="1" x14ac:dyDescent="0.35">
      <c r="C33" s="97" t="s">
        <v>5642</v>
      </c>
    </row>
    <row r="34" spans="3:3" ht="12.75" customHeight="1" x14ac:dyDescent="0.35">
      <c r="C34" s="220" t="s">
        <v>5985</v>
      </c>
    </row>
    <row r="35" spans="3:3" ht="12.75" customHeight="1" x14ac:dyDescent="0.35"/>
    <row r="36" spans="3:3" ht="12.75" customHeight="1" x14ac:dyDescent="0.35"/>
    <row r="37" spans="3:3" ht="12.75" customHeight="1" x14ac:dyDescent="0.35"/>
    <row r="38" spans="3:3" ht="12.75" customHeight="1" x14ac:dyDescent="0.35"/>
    <row r="39" spans="3:3" ht="12.75" customHeight="1" x14ac:dyDescent="0.35">
      <c r="C39" s="97" t="s">
        <v>5909</v>
      </c>
    </row>
    <row r="40" spans="3:3" ht="12.75" customHeight="1" x14ac:dyDescent="0.35"/>
    <row r="41" spans="3:3" ht="12.75" customHeight="1" x14ac:dyDescent="0.35">
      <c r="C41" s="97" t="s">
        <v>5558</v>
      </c>
    </row>
    <row r="42" spans="3:3" ht="12.75" customHeight="1" x14ac:dyDescent="0.35">
      <c r="C42" s="97" t="s">
        <v>5643</v>
      </c>
    </row>
    <row r="43" spans="3:3" ht="12.75" customHeight="1" x14ac:dyDescent="0.35">
      <c r="C43" s="97" t="s">
        <v>5560</v>
      </c>
    </row>
    <row r="44" spans="3:3" ht="12.75" customHeight="1" x14ac:dyDescent="0.35">
      <c r="C44" s="97" t="s">
        <v>5891</v>
      </c>
    </row>
    <row r="45" spans="3:3" ht="12.75" customHeight="1" x14ac:dyDescent="0.35">
      <c r="C45" s="97" t="s">
        <v>5644</v>
      </c>
    </row>
    <row r="46" spans="3:3" ht="12.75" customHeight="1" x14ac:dyDescent="0.35">
      <c r="C46" s="97" t="s">
        <v>5645</v>
      </c>
    </row>
    <row r="47" spans="3:3" ht="12.75" customHeight="1" x14ac:dyDescent="0.35">
      <c r="C47" s="97" t="s">
        <v>5646</v>
      </c>
    </row>
    <row r="48" spans="3:3" ht="12.75" customHeight="1" x14ac:dyDescent="0.35">
      <c r="C48" s="97" t="s">
        <v>5892</v>
      </c>
    </row>
    <row r="49" spans="3:3" ht="12.75" customHeight="1" x14ac:dyDescent="0.35">
      <c r="C49" s="97" t="s">
        <v>5647</v>
      </c>
    </row>
    <row r="50" spans="3:3" ht="12.75" customHeight="1" x14ac:dyDescent="0.35"/>
    <row r="51" spans="3:3" ht="12.75" customHeight="1" x14ac:dyDescent="0.35">
      <c r="C51" s="97" t="s">
        <v>5648</v>
      </c>
    </row>
    <row r="52" spans="3:3" ht="12.75" customHeight="1" x14ac:dyDescent="0.35">
      <c r="C52" s="97" t="s">
        <v>5530</v>
      </c>
    </row>
    <row r="53" spans="3:3" ht="12.75" customHeight="1" x14ac:dyDescent="0.35">
      <c r="C53" s="97" t="s">
        <v>5649</v>
      </c>
    </row>
    <row r="54" spans="3:3" ht="12.75" customHeight="1" x14ac:dyDescent="0.35">
      <c r="C54" s="97" t="s">
        <v>5650</v>
      </c>
    </row>
    <row r="55" spans="3:3" ht="12.75" customHeight="1" x14ac:dyDescent="0.35">
      <c r="C55" s="97" t="s">
        <v>5651</v>
      </c>
    </row>
    <row r="56" spans="3:3" ht="12.75" customHeight="1" x14ac:dyDescent="0.35"/>
    <row r="57" spans="3:3" ht="12.75" customHeight="1" x14ac:dyDescent="0.35">
      <c r="C57" s="97" t="s">
        <v>5652</v>
      </c>
    </row>
    <row r="58" spans="3:3" ht="12.75" customHeight="1" x14ac:dyDescent="0.35"/>
    <row r="59" spans="3:3" ht="12.75" customHeight="1" x14ac:dyDescent="0.35">
      <c r="C59" s="97" t="s">
        <v>5495</v>
      </c>
    </row>
    <row r="60" spans="3:3" ht="12.75" customHeight="1" x14ac:dyDescent="0.35">
      <c r="C60" s="97" t="s">
        <v>5653</v>
      </c>
    </row>
    <row r="61" spans="3:3" ht="12.75" customHeight="1" x14ac:dyDescent="0.35">
      <c r="C61" s="97" t="s">
        <v>5483</v>
      </c>
    </row>
    <row r="62" spans="3:3" ht="12.75" customHeight="1" x14ac:dyDescent="0.35">
      <c r="C62" s="97" t="s">
        <v>5654</v>
      </c>
    </row>
    <row r="63" spans="3:3" ht="12.75" customHeight="1" x14ac:dyDescent="0.35">
      <c r="C63" s="97" t="s">
        <v>5655</v>
      </c>
    </row>
    <row r="64" spans="3:3" ht="12.75" customHeight="1" x14ac:dyDescent="0.35">
      <c r="C64" s="220" t="s">
        <v>5978</v>
      </c>
    </row>
    <row r="65" spans="3:3" ht="12.75" customHeight="1" x14ac:dyDescent="0.35">
      <c r="C65" s="97" t="s">
        <v>5656</v>
      </c>
    </row>
    <row r="66" spans="3:3" ht="12.75" customHeight="1" x14ac:dyDescent="0.35"/>
    <row r="67" spans="3:3" ht="12.75" customHeight="1" x14ac:dyDescent="0.35">
      <c r="C67" s="97" t="s">
        <v>5910</v>
      </c>
    </row>
    <row r="68" spans="3:3" ht="12.75" customHeight="1" x14ac:dyDescent="0.35">
      <c r="C68" s="97" t="s">
        <v>5584</v>
      </c>
    </row>
    <row r="69" spans="3:3" ht="12.75" customHeight="1" x14ac:dyDescent="0.35">
      <c r="C69" s="97" t="s">
        <v>5657</v>
      </c>
    </row>
    <row r="70" spans="3:3" ht="12.75" customHeight="1" x14ac:dyDescent="0.35">
      <c r="C70" s="97" t="s">
        <v>5490</v>
      </c>
    </row>
    <row r="71" spans="3:3" ht="12.75" customHeight="1" x14ac:dyDescent="0.35">
      <c r="C71" s="97" t="s">
        <v>5583</v>
      </c>
    </row>
    <row r="72" spans="3:3" ht="12.75" customHeight="1" x14ac:dyDescent="0.35">
      <c r="C72" s="97" t="s">
        <v>5658</v>
      </c>
    </row>
    <row r="73" spans="3:3" ht="12.75" customHeight="1" x14ac:dyDescent="0.35">
      <c r="C73" s="97" t="s">
        <v>5659</v>
      </c>
    </row>
    <row r="74" spans="3:3" ht="12.75" customHeight="1" x14ac:dyDescent="0.35"/>
    <row r="75" spans="3:3" ht="12.75" customHeight="1" x14ac:dyDescent="0.35">
      <c r="C75" s="97" t="s">
        <v>5587</v>
      </c>
    </row>
    <row r="76" spans="3:3" ht="12.75" customHeight="1" x14ac:dyDescent="0.35">
      <c r="C76" s="97" t="s">
        <v>5657</v>
      </c>
    </row>
    <row r="77" spans="3:3" ht="12.75" customHeight="1" x14ac:dyDescent="0.35">
      <c r="C77" s="97" t="s">
        <v>5660</v>
      </c>
    </row>
    <row r="78" spans="3:3" ht="12.75" customHeight="1" x14ac:dyDescent="0.35">
      <c r="C78" s="97" t="s">
        <v>5661</v>
      </c>
    </row>
    <row r="79" spans="3:3" ht="12.75" customHeight="1" x14ac:dyDescent="0.35">
      <c r="C79" s="97" t="s">
        <v>5662</v>
      </c>
    </row>
    <row r="80" spans="3:3" ht="12.75" customHeight="1" x14ac:dyDescent="0.35"/>
    <row r="81" spans="3:3" ht="12.75" customHeight="1" x14ac:dyDescent="0.35">
      <c r="C81" s="97" t="s">
        <v>5893</v>
      </c>
    </row>
    <row r="82" spans="3:3" ht="12.75" customHeight="1" x14ac:dyDescent="0.35"/>
    <row r="83" spans="3:3" ht="12.75" customHeight="1" x14ac:dyDescent="0.35">
      <c r="C83" s="97" t="s">
        <v>5663</v>
      </c>
    </row>
    <row r="84" spans="3:3" ht="12.75" customHeight="1" x14ac:dyDescent="0.35"/>
    <row r="85" spans="3:3" ht="12.75" customHeight="1" x14ac:dyDescent="0.35">
      <c r="C85" s="97" t="s">
        <v>5894</v>
      </c>
    </row>
    <row r="86" spans="3:3" ht="12.75" customHeight="1" x14ac:dyDescent="0.35"/>
    <row r="87" spans="3:3" ht="12.75" customHeight="1" x14ac:dyDescent="0.35">
      <c r="C87" s="97" t="s">
        <v>5804</v>
      </c>
    </row>
    <row r="88" spans="3:3" ht="12.75" customHeight="1" x14ac:dyDescent="0.35">
      <c r="C88" s="97" t="s">
        <v>5895</v>
      </c>
    </row>
    <row r="89" spans="3:3" ht="12.75" customHeight="1" x14ac:dyDescent="0.35">
      <c r="C89" s="1295" t="s">
        <v>5896</v>
      </c>
    </row>
    <row r="90" spans="3:3" ht="12.75" customHeight="1" x14ac:dyDescent="0.35">
      <c r="C90" s="97" t="s">
        <v>5633</v>
      </c>
    </row>
    <row r="91" spans="3:3" ht="12.75" customHeight="1" x14ac:dyDescent="0.35">
      <c r="C91" s="97" t="s">
        <v>5664</v>
      </c>
    </row>
    <row r="92" spans="3:3" ht="12.75" customHeight="1" x14ac:dyDescent="0.35">
      <c r="C92" s="97" t="s">
        <v>5665</v>
      </c>
    </row>
    <row r="93" spans="3:3" ht="12.75" customHeight="1" x14ac:dyDescent="0.35">
      <c r="C93" s="97" t="s">
        <v>5897</v>
      </c>
    </row>
    <row r="94" spans="3:3" ht="12.75" customHeight="1" x14ac:dyDescent="0.35">
      <c r="C94" s="97" t="s">
        <v>5801</v>
      </c>
    </row>
    <row r="95" spans="3:3" ht="12.75" customHeight="1" x14ac:dyDescent="0.35">
      <c r="C95" s="97" t="s">
        <v>5898</v>
      </c>
    </row>
    <row r="96" spans="3:3" ht="12.75" customHeight="1" x14ac:dyDescent="0.35">
      <c r="C96" s="97" t="s">
        <v>5899</v>
      </c>
    </row>
    <row r="97" spans="3:3" ht="12.75" customHeight="1" x14ac:dyDescent="0.35">
      <c r="C97" s="1295" t="s">
        <v>5900</v>
      </c>
    </row>
    <row r="98" spans="3:3" ht="12.75" customHeight="1" x14ac:dyDescent="0.35"/>
    <row r="99" spans="3:3" ht="12.75" customHeight="1" x14ac:dyDescent="0.35">
      <c r="C99" s="97" t="s">
        <v>5666</v>
      </c>
    </row>
    <row r="100" spans="3:3" ht="12.75" customHeight="1" x14ac:dyDescent="0.35">
      <c r="C100" s="97" t="s">
        <v>5901</v>
      </c>
    </row>
    <row r="101" spans="3:3" ht="12.75" customHeight="1" x14ac:dyDescent="0.35">
      <c r="C101" s="97" t="s">
        <v>5667</v>
      </c>
    </row>
    <row r="102" spans="3:3" ht="12.75" customHeight="1" x14ac:dyDescent="0.35">
      <c r="C102" s="97" t="s">
        <v>5668</v>
      </c>
    </row>
    <row r="103" spans="3:3" ht="12.75" customHeight="1" x14ac:dyDescent="0.35">
      <c r="C103" s="1295" t="s">
        <v>5669</v>
      </c>
    </row>
    <row r="104" spans="3:3" ht="12.75" customHeight="1" x14ac:dyDescent="0.35">
      <c r="C104" s="97" t="s">
        <v>5670</v>
      </c>
    </row>
    <row r="105" spans="3:3" ht="12.75" customHeight="1" x14ac:dyDescent="0.35">
      <c r="C105" s="97" t="s">
        <v>5902</v>
      </c>
    </row>
    <row r="106" spans="3:3" ht="12.75" customHeight="1" x14ac:dyDescent="0.35">
      <c r="C106" s="97" t="s">
        <v>5903</v>
      </c>
    </row>
    <row r="107" spans="3:3" ht="12.75" customHeight="1" x14ac:dyDescent="0.35">
      <c r="C107" s="97" t="s">
        <v>5904</v>
      </c>
    </row>
    <row r="108" spans="3:3" ht="12.75" customHeight="1" x14ac:dyDescent="0.35"/>
    <row r="109" spans="3:3" ht="12.75" customHeight="1" x14ac:dyDescent="0.35">
      <c r="C109" s="97" t="s">
        <v>5671</v>
      </c>
    </row>
    <row r="110" spans="3:3" ht="12.75" customHeight="1" x14ac:dyDescent="0.35"/>
    <row r="111" spans="3:3" ht="12.75" customHeight="1" x14ac:dyDescent="0.35">
      <c r="C111" s="97" t="s">
        <v>5672</v>
      </c>
    </row>
    <row r="112" spans="3:3" ht="12.75" customHeight="1" x14ac:dyDescent="0.35">
      <c r="C112" s="97" t="s">
        <v>5673</v>
      </c>
    </row>
    <row r="113" spans="3:3" ht="12.75" customHeight="1" x14ac:dyDescent="0.35">
      <c r="C113" s="97" t="s">
        <v>5674</v>
      </c>
    </row>
    <row r="114" spans="3:3" ht="12.75" customHeight="1" x14ac:dyDescent="0.35">
      <c r="C114" s="97" t="s">
        <v>5675</v>
      </c>
    </row>
    <row r="115" spans="3:3" ht="12.75" customHeight="1" x14ac:dyDescent="0.35">
      <c r="C115" s="97" t="s">
        <v>5898</v>
      </c>
    </row>
    <row r="116" spans="3:3" ht="12.75" customHeight="1" x14ac:dyDescent="0.35">
      <c r="C116" s="97" t="s">
        <v>5899</v>
      </c>
    </row>
    <row r="117" spans="3:3" ht="12.75" customHeight="1" x14ac:dyDescent="0.35">
      <c r="C117" s="97" t="s">
        <v>5676</v>
      </c>
    </row>
    <row r="118" spans="3:3" ht="12.75" customHeight="1" x14ac:dyDescent="0.35"/>
    <row r="119" spans="3:3" ht="12.75" customHeight="1" x14ac:dyDescent="0.35">
      <c r="C119" s="97" t="s">
        <v>5905</v>
      </c>
    </row>
    <row r="120" spans="3:3" ht="12.75" customHeight="1" x14ac:dyDescent="0.35">
      <c r="C120" s="97" t="s">
        <v>5905</v>
      </c>
    </row>
  </sheetData>
  <pageMargins left="0.75" right="0.75" top="1" bottom="1" header="0.5" footer="0.5"/>
  <pageSetup paperSize="9"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outlinePr showOutlineSymbols="0"/>
    <pageSetUpPr autoPageBreaks="0"/>
  </sheetPr>
  <dimension ref="A1:O121"/>
  <sheetViews>
    <sheetView showGridLines="0" showRowColHeaders="0" showOutlineSymbols="0" topLeftCell="C3" zoomScaleNormal="100" workbookViewId="0">
      <pane xSplit="6" ySplit="4" topLeftCell="I7" activePane="bottomRight" state="frozen"/>
      <selection activeCell="C3" sqref="C3"/>
      <selection pane="topRight" activeCell="I3" sqref="I3"/>
      <selection pane="bottomLeft" activeCell="C7" sqref="C7"/>
      <selection pane="bottomRight" activeCell="C5" sqref="C5"/>
    </sheetView>
  </sheetViews>
  <sheetFormatPr defaultColWidth="9.1796875" defaultRowHeight="14.5" x14ac:dyDescent="0.35"/>
  <cols>
    <col min="1" max="2" width="9.1796875" style="5" hidden="1" customWidth="1"/>
    <col min="3" max="5" width="2.7265625" style="5" customWidth="1"/>
    <col min="6" max="6" width="56.7265625" style="5" customWidth="1"/>
    <col min="7" max="7" width="1.26953125" style="5" customWidth="1"/>
    <col min="8" max="8" width="9.1796875" style="5" hidden="1" customWidth="1"/>
    <col min="9" max="14" width="12.7265625" style="5" customWidth="1"/>
    <col min="15" max="15" width="0.54296875" style="5" customWidth="1"/>
    <col min="16" max="16384" width="9.1796875" style="5"/>
  </cols>
  <sheetData>
    <row r="1" spans="1:15" ht="15" hidden="1" customHeight="1" x14ac:dyDescent="0.35">
      <c r="A1" s="907" t="s">
        <v>1694</v>
      </c>
      <c r="B1" s="907"/>
      <c r="C1" s="439" t="s">
        <v>1695</v>
      </c>
      <c r="D1" s="235"/>
      <c r="E1" s="235"/>
      <c r="F1" s="235"/>
      <c r="G1" s="235"/>
      <c r="H1" s="235">
        <v>0</v>
      </c>
      <c r="I1" s="235">
        <v>1</v>
      </c>
      <c r="J1" s="235">
        <v>2</v>
      </c>
      <c r="K1" s="235">
        <v>3</v>
      </c>
      <c r="L1" s="235">
        <v>4</v>
      </c>
      <c r="M1" s="235">
        <v>5</v>
      </c>
      <c r="N1" s="235">
        <v>6</v>
      </c>
      <c r="O1" s="908">
        <v>-99</v>
      </c>
    </row>
    <row r="2" spans="1:15" ht="15.5" hidden="1" x14ac:dyDescent="0.35">
      <c r="A2" s="907"/>
      <c r="B2" s="907"/>
      <c r="C2" s="909"/>
      <c r="D2" s="909"/>
      <c r="E2" s="285"/>
      <c r="F2" s="285"/>
      <c r="G2" s="285"/>
      <c r="H2" s="910" t="s">
        <v>6269</v>
      </c>
      <c r="I2" s="910" t="s">
        <v>6271</v>
      </c>
      <c r="J2" s="910" t="s">
        <v>6273</v>
      </c>
      <c r="K2" s="910" t="s">
        <v>6275</v>
      </c>
      <c r="L2" s="910" t="s">
        <v>6277</v>
      </c>
      <c r="M2" s="910" t="s">
        <v>6279</v>
      </c>
      <c r="N2" s="910" t="s">
        <v>6281</v>
      </c>
      <c r="O2" s="285"/>
    </row>
    <row r="3" spans="1:15" ht="6" customHeight="1" x14ac:dyDescent="0.35">
      <c r="A3" s="911"/>
      <c r="B3" s="911"/>
      <c r="C3" s="912"/>
      <c r="D3" s="913"/>
      <c r="E3" s="913"/>
      <c r="F3" s="913"/>
      <c r="G3" s="913"/>
      <c r="H3" s="913"/>
      <c r="I3" s="913"/>
      <c r="J3" s="913"/>
      <c r="K3" s="913"/>
      <c r="L3" s="913"/>
      <c r="M3" s="913"/>
      <c r="N3" s="912"/>
      <c r="O3" s="912"/>
    </row>
    <row r="4" spans="1:15" ht="14.15" customHeight="1" x14ac:dyDescent="0.35">
      <c r="A4" s="911" t="s">
        <v>120</v>
      </c>
      <c r="B4" s="911"/>
      <c r="C4" s="912"/>
      <c r="D4" s="914" t="s">
        <v>1696</v>
      </c>
      <c r="E4" s="913"/>
      <c r="F4" s="913"/>
      <c r="G4" s="913"/>
      <c r="H4" s="913"/>
      <c r="I4" s="913"/>
      <c r="J4" s="913"/>
      <c r="K4" s="913"/>
      <c r="L4" s="913"/>
      <c r="M4" s="913"/>
      <c r="N4" s="912"/>
      <c r="O4" s="912"/>
    </row>
    <row r="5" spans="1:15" ht="20.149999999999999" customHeight="1" x14ac:dyDescent="0.35">
      <c r="A5" s="907" t="s">
        <v>139</v>
      </c>
      <c r="B5" s="907"/>
      <c r="C5" s="915" t="str">
        <f>""&amp;Investment</f>
        <v/>
      </c>
      <c r="D5" s="285"/>
      <c r="E5" s="285"/>
      <c r="F5" s="285"/>
      <c r="G5" s="916" t="str">
        <f>IF(AND(SUM(Figures)&lt;&gt;0,SUM(Figures)&lt;&gt;1),SUM(Figures),"")&amp;IF(Currency&lt;&gt;""," "&amp;Currency,"")</f>
        <v/>
      </c>
      <c r="H5" s="252"/>
      <c r="I5" s="252"/>
      <c r="J5" s="252"/>
      <c r="K5" s="252"/>
      <c r="L5" s="252"/>
      <c r="M5" s="252"/>
      <c r="N5" s="289"/>
      <c r="O5" s="289"/>
    </row>
    <row r="6" spans="1:15" ht="18" customHeight="1" x14ac:dyDescent="0.4">
      <c r="A6" s="917" t="s">
        <v>141</v>
      </c>
      <c r="B6" s="917"/>
      <c r="C6" s="918" t="s">
        <v>554</v>
      </c>
      <c r="D6" s="919"/>
      <c r="E6" s="919"/>
      <c r="F6" s="919"/>
      <c r="G6" s="920"/>
      <c r="H6" s="920" t="str">
        <f>""&amp;OFFSET(Calculations!$G$16,0,H$1)</f>
        <v>1/2019</v>
      </c>
      <c r="I6" s="920" t="str">
        <f>""&amp;OFFSET(Calculations!$G$16,0,I$1)</f>
        <v>12/2019</v>
      </c>
      <c r="J6" s="920" t="str">
        <f>""&amp;OFFSET(Calculations!$G$16,0,J$1)</f>
        <v>12/2019</v>
      </c>
      <c r="K6" s="920" t="str">
        <f>""&amp;OFFSET(Calculations!$G$16,0,K$1)</f>
        <v>12/2020</v>
      </c>
      <c r="L6" s="920" t="str">
        <f>""&amp;OFFSET(Calculations!$G$16,0,L$1)</f>
        <v>12/2021</v>
      </c>
      <c r="M6" s="920" t="str">
        <f>""&amp;OFFSET(Calculations!$G$16,0,M$1)</f>
        <v>12/2022</v>
      </c>
      <c r="N6" s="920" t="str">
        <f>""&amp;OFFSET(Calculations!$G$16,0,N$1)</f>
        <v>12/2023</v>
      </c>
      <c r="O6" s="921"/>
    </row>
    <row r="7" spans="1:15" ht="6" customHeight="1" x14ac:dyDescent="0.35">
      <c r="A7" s="907" t="s">
        <v>150</v>
      </c>
      <c r="B7" s="907"/>
      <c r="C7" s="907"/>
      <c r="D7" s="285"/>
      <c r="E7" s="285"/>
      <c r="F7" s="285"/>
      <c r="G7" s="285"/>
      <c r="H7" s="285"/>
      <c r="I7" s="285"/>
      <c r="J7" s="285"/>
      <c r="K7" s="285"/>
      <c r="L7" s="285"/>
      <c r="M7" s="285"/>
      <c r="N7" s="285"/>
      <c r="O7" s="285"/>
    </row>
    <row r="8" spans="1:15" ht="12.75" customHeight="1" x14ac:dyDescent="0.35">
      <c r="A8" s="917" t="s">
        <v>159</v>
      </c>
      <c r="B8" s="917"/>
      <c r="C8" s="917" t="s">
        <v>1697</v>
      </c>
      <c r="D8" s="285"/>
      <c r="E8" s="285"/>
      <c r="F8" s="285"/>
      <c r="G8" s="285"/>
      <c r="H8" s="285"/>
      <c r="I8" s="285"/>
      <c r="J8" s="285"/>
      <c r="K8" s="285"/>
      <c r="L8" s="285"/>
      <c r="M8" s="285"/>
      <c r="N8" s="285"/>
      <c r="O8" s="285"/>
    </row>
    <row r="9" spans="1:15" ht="12.75" customHeight="1" x14ac:dyDescent="0.35">
      <c r="A9" s="907" t="s">
        <v>161</v>
      </c>
      <c r="B9" s="907"/>
      <c r="C9" s="907" t="s">
        <v>1698</v>
      </c>
      <c r="D9" s="285"/>
      <c r="E9" s="285"/>
      <c r="F9" s="285"/>
      <c r="G9" s="285"/>
      <c r="H9" s="922">
        <v>0</v>
      </c>
      <c r="I9" s="922">
        <f>IF(IFRSCumulative,IF(RIGHT(I$2,4)=RIGHT(OFFSET(I$2,0,-1),4),OFFSET(I9,0,-1),0),0)+IF(Calculations!$O$443&lt;&gt;"  ",OFFSET(Calculations!$G$443,0,I$1),0)+IF(Calculations!$O$444&lt;&gt;"  ",OFFSET(Calculations!$G$444,0,I$1),0)+IF(Calculations!$O$445&lt;&gt;"  ",OFFSET(Calculations!$G$445,0,I$1),0)+IF(Calculations!$O$446&lt;&gt;"  ",OFFSET(Calculations!$G$446,0,I$1),0)+IF(Calculations!$O$447&lt;&gt;"  ",OFFSET(Calculations!$G$447,0,I$1),0)+IF(Calculations!$O$448&lt;&gt;"  ",OFFSET(Calculations!$G$448,0,I$1),0)+IF(Calculations!$O$449&lt;&gt;"  ",OFFSET(Calculations!$G$449,0,I$1),0)+IF(Calculations!$O$450&lt;&gt;"  ",OFFSET(Calculations!$G$450,0,I$1),0)+IF(Calculations!$O$451&lt;&gt;"  ",OFFSET(Calculations!$G$451,0,I$1),0)+IF(Calculations!$O$452&lt;&gt;"  ",OFFSET(Calculations!$G$452,0,I$1),0)</f>
        <v>0</v>
      </c>
      <c r="J9" s="922">
        <f>IF(IFRSCumulative,IF(RIGHT(J$2,4)=RIGHT(OFFSET(J$2,0,-1),4),OFFSET(J9,0,-1),0),0)+IF(Calculations!$O$443&lt;&gt;"  ",OFFSET(Calculations!$G$443,0,J$1),0)+IF(Calculations!$O$444&lt;&gt;"  ",OFFSET(Calculations!$G$444,0,J$1),0)+IF(Calculations!$O$445&lt;&gt;"  ",OFFSET(Calculations!$G$445,0,J$1),0)+IF(Calculations!$O$446&lt;&gt;"  ",OFFSET(Calculations!$G$446,0,J$1),0)+IF(Calculations!$O$447&lt;&gt;"  ",OFFSET(Calculations!$G$447,0,J$1),0)+IF(Calculations!$O$448&lt;&gt;"  ",OFFSET(Calculations!$G$448,0,J$1),0)+IF(Calculations!$O$449&lt;&gt;"  ",OFFSET(Calculations!$G$449,0,J$1),0)+IF(Calculations!$O$450&lt;&gt;"  ",OFFSET(Calculations!$G$450,0,J$1),0)+IF(Calculations!$O$451&lt;&gt;"  ",OFFSET(Calculations!$G$451,0,J$1),0)+IF(Calculations!$O$452&lt;&gt;"  ",OFFSET(Calculations!$G$452,0,J$1),0)</f>
        <v>0</v>
      </c>
      <c r="K9" s="922">
        <f>IF(IFRSCumulative,IF(RIGHT(K$2,4)=RIGHT(OFFSET(K$2,0,-1),4),OFFSET(K9,0,-1),0),0)+IF(Calculations!$O$443&lt;&gt;"  ",OFFSET(Calculations!$G$443,0,K$1),0)+IF(Calculations!$O$444&lt;&gt;"  ",OFFSET(Calculations!$G$444,0,K$1),0)+IF(Calculations!$O$445&lt;&gt;"  ",OFFSET(Calculations!$G$445,0,K$1),0)+IF(Calculations!$O$446&lt;&gt;"  ",OFFSET(Calculations!$G$446,0,K$1),0)+IF(Calculations!$O$447&lt;&gt;"  ",OFFSET(Calculations!$G$447,0,K$1),0)+IF(Calculations!$O$448&lt;&gt;"  ",OFFSET(Calculations!$G$448,0,K$1),0)+IF(Calculations!$O$449&lt;&gt;"  ",OFFSET(Calculations!$G$449,0,K$1),0)+IF(Calculations!$O$450&lt;&gt;"  ",OFFSET(Calculations!$G$450,0,K$1),0)+IF(Calculations!$O$451&lt;&gt;"  ",OFFSET(Calculations!$G$451,0,K$1),0)+IF(Calculations!$O$452&lt;&gt;"  ",OFFSET(Calculations!$G$452,0,K$1),0)</f>
        <v>0</v>
      </c>
      <c r="L9" s="922">
        <f>IF(IFRSCumulative,IF(RIGHT(L$2,4)=RIGHT(OFFSET(L$2,0,-1),4),OFFSET(L9,0,-1),0),0)+IF(Calculations!$O$443&lt;&gt;"  ",OFFSET(Calculations!$G$443,0,L$1),0)+IF(Calculations!$O$444&lt;&gt;"  ",OFFSET(Calculations!$G$444,0,L$1),0)+IF(Calculations!$O$445&lt;&gt;"  ",OFFSET(Calculations!$G$445,0,L$1),0)+IF(Calculations!$O$446&lt;&gt;"  ",OFFSET(Calculations!$G$446,0,L$1),0)+IF(Calculations!$O$447&lt;&gt;"  ",OFFSET(Calculations!$G$447,0,L$1),0)+IF(Calculations!$O$448&lt;&gt;"  ",OFFSET(Calculations!$G$448,0,L$1),0)+IF(Calculations!$O$449&lt;&gt;"  ",OFFSET(Calculations!$G$449,0,L$1),0)+IF(Calculations!$O$450&lt;&gt;"  ",OFFSET(Calculations!$G$450,0,L$1),0)+IF(Calculations!$O$451&lt;&gt;"  ",OFFSET(Calculations!$G$451,0,L$1),0)+IF(Calculations!$O$452&lt;&gt;"  ",OFFSET(Calculations!$G$452,0,L$1),0)</f>
        <v>0</v>
      </c>
      <c r="M9" s="922">
        <f>IF(IFRSCumulative,IF(RIGHT(M$2,4)=RIGHT(OFFSET(M$2,0,-1),4),OFFSET(M9,0,-1),0),0)+IF(Calculations!$O$443&lt;&gt;"  ",OFFSET(Calculations!$G$443,0,M$1),0)+IF(Calculations!$O$444&lt;&gt;"  ",OFFSET(Calculations!$G$444,0,M$1),0)+IF(Calculations!$O$445&lt;&gt;"  ",OFFSET(Calculations!$G$445,0,M$1),0)+IF(Calculations!$O$446&lt;&gt;"  ",OFFSET(Calculations!$G$446,0,M$1),0)+IF(Calculations!$O$447&lt;&gt;"  ",OFFSET(Calculations!$G$447,0,M$1),0)+IF(Calculations!$O$448&lt;&gt;"  ",OFFSET(Calculations!$G$448,0,M$1),0)+IF(Calculations!$O$449&lt;&gt;"  ",OFFSET(Calculations!$G$449,0,M$1),0)+IF(Calculations!$O$450&lt;&gt;"  ",OFFSET(Calculations!$G$450,0,M$1),0)+IF(Calculations!$O$451&lt;&gt;"  ",OFFSET(Calculations!$G$451,0,M$1),0)+IF(Calculations!$O$452&lt;&gt;"  ",OFFSET(Calculations!$G$452,0,M$1),0)</f>
        <v>0</v>
      </c>
      <c r="N9" s="922">
        <f>IF(IFRSCumulative,IF(RIGHT(N$2,4)=RIGHT(OFFSET(N$2,0,-1),4),OFFSET(N9,0,-1),0),0)+IF(Calculations!$O$443&lt;&gt;"  ",OFFSET(Calculations!$G$443,0,N$1),0)+IF(Calculations!$O$444&lt;&gt;"  ",OFFSET(Calculations!$G$444,0,N$1),0)+IF(Calculations!$O$445&lt;&gt;"  ",OFFSET(Calculations!$G$445,0,N$1),0)+IF(Calculations!$O$446&lt;&gt;"  ",OFFSET(Calculations!$G$446,0,N$1),0)+IF(Calculations!$O$447&lt;&gt;"  ",OFFSET(Calculations!$G$447,0,N$1),0)+IF(Calculations!$O$448&lt;&gt;"  ",OFFSET(Calculations!$G$448,0,N$1),0)+IF(Calculations!$O$449&lt;&gt;"  ",OFFSET(Calculations!$G$449,0,N$1),0)+IF(Calculations!$O$450&lt;&gt;"  ",OFFSET(Calculations!$G$450,0,N$1),0)+IF(Calculations!$O$451&lt;&gt;"  ",OFFSET(Calculations!$G$451,0,N$1),0)+IF(Calculations!$O$452&lt;&gt;"  ",OFFSET(Calculations!$G$452,0,N$1),0)</f>
        <v>0</v>
      </c>
      <c r="O9" s="285"/>
    </row>
    <row r="10" spans="1:15" ht="12.75" customHeight="1" x14ac:dyDescent="0.35">
      <c r="A10" s="917" t="s">
        <v>170</v>
      </c>
      <c r="B10" s="917"/>
      <c r="C10" s="907" t="s">
        <v>1699</v>
      </c>
      <c r="D10" s="285"/>
      <c r="E10" s="285"/>
      <c r="F10" s="285"/>
      <c r="G10" s="285"/>
      <c r="H10" s="922">
        <f>Calculations!$G$908+Calculations!$G$918+IF(Calculations!$O$498&lt;&gt;"  ",MAX(0,OFFSET(Calculations!$A$498,0,Calculations!$D$7-1+H$1)),0)</f>
        <v>0</v>
      </c>
      <c r="I10" s="922">
        <f>IF(IFRSCumulative,IF(RIGHT(I$2,4)=RIGHT(OFFSET(I$2,0,-1),4),OFFSET(I10,0,-1),0),0)+IF(Calculations!$O$455&lt;&gt;"  ",OFFSET(Calculations!$G$455,0,I$1),0)+OFFSET(Calculations!$G$908,0,I$1)+OFFSET(Calculations!$G$918,0,I$1)+IF(Calculations!$O$498&lt;&gt;"  ",MAX(0,OFFSET(Calculations!$A$498,0,Calculations!$D$7-1+I$1)),0)</f>
        <v>0</v>
      </c>
      <c r="J10" s="922">
        <f>IF(IFRSCumulative,IF(RIGHT(J$2,4)=RIGHT(OFFSET(J$2,0,-1),4),OFFSET(J10,0,-1),0),0)+IF(Calculations!$O$455&lt;&gt;"  ",OFFSET(Calculations!$G$455,0,J$1),0)+OFFSET(Calculations!$G$908,0,J$1)+OFFSET(Calculations!$G$918,0,J$1)+IF(Calculations!$O$498&lt;&gt;"  ",MAX(0,OFFSET(Calculations!$A$498,0,Calculations!$D$7-1+J$1)),0)</f>
        <v>0</v>
      </c>
      <c r="K10" s="922">
        <f>IF(IFRSCumulative,IF(RIGHT(K$2,4)=RIGHT(OFFSET(K$2,0,-1),4),OFFSET(K10,0,-1),0),0)+IF(Calculations!$O$455&lt;&gt;"  ",OFFSET(Calculations!$G$455,0,K$1),0)+OFFSET(Calculations!$G$908,0,K$1)+OFFSET(Calculations!$G$918,0,K$1)+IF(Calculations!$O$498&lt;&gt;"  ",MAX(0,OFFSET(Calculations!$A$498,0,Calculations!$D$7-1+K$1)),0)</f>
        <v>0</v>
      </c>
      <c r="L10" s="922">
        <f>IF(IFRSCumulative,IF(RIGHT(L$2,4)=RIGHT(OFFSET(L$2,0,-1),4),OFFSET(L10,0,-1),0),0)+IF(Calculations!$O$455&lt;&gt;"  ",OFFSET(Calculations!$G$455,0,L$1),0)+OFFSET(Calculations!$G$908,0,L$1)+OFFSET(Calculations!$G$918,0,L$1)+IF(Calculations!$O$498&lt;&gt;"  ",MAX(0,OFFSET(Calculations!$A$498,0,Calculations!$D$7-1+L$1)),0)</f>
        <v>0</v>
      </c>
      <c r="M10" s="922">
        <f>IF(IFRSCumulative,IF(RIGHT(M$2,4)=RIGHT(OFFSET(M$2,0,-1),4),OFFSET(M10,0,-1),0),0)+IF(Calculations!$O$455&lt;&gt;"  ",OFFSET(Calculations!$G$455,0,M$1),0)+OFFSET(Calculations!$G$908,0,M$1)+OFFSET(Calculations!$G$918,0,M$1)+IF(Calculations!$O$498&lt;&gt;"  ",MAX(0,OFFSET(Calculations!$A$498,0,Calculations!$D$7-1+M$1)),0)</f>
        <v>0</v>
      </c>
      <c r="N10" s="922">
        <f>IF(IFRSCumulative,IF(RIGHT(N$2,4)=RIGHT(OFFSET(N$2,0,-1),4),OFFSET(N10,0,-1),0),0)+IF(Calculations!$O$455&lt;&gt;"  ",OFFSET(Calculations!$G$455,0,N$1),0)+OFFSET(Calculations!$G$908,0,N$1)+OFFSET(Calculations!$G$918,0,N$1)+IF(Calculations!$O$498&lt;&gt;"  ",MAX(0,OFFSET(Calculations!$A$498,0,Calculations!$D$7-1+N$1)),0)</f>
        <v>0</v>
      </c>
      <c r="O10" s="285"/>
    </row>
    <row r="11" spans="1:15" ht="12.75" customHeight="1" x14ac:dyDescent="0.35">
      <c r="A11" s="907" t="s">
        <v>181</v>
      </c>
      <c r="B11" s="907"/>
      <c r="C11" s="907" t="s">
        <v>1700</v>
      </c>
      <c r="D11" s="285"/>
      <c r="E11" s="285"/>
      <c r="F11" s="285"/>
      <c r="G11" s="285"/>
      <c r="H11" s="922">
        <v>0</v>
      </c>
      <c r="I11" s="922">
        <f>IF(IFRSCumulative,IF(RIGHT(I$2,4)=RIGHT(OFFSET(I$2,0,-1),4),OFFSET(I11,0,-1),0),0)+IF(MID(Calculations!$P$457,7,1)&lt;&gt;"D",OFFSET(Calculations!$G$457,0,I$1),0)</f>
        <v>0</v>
      </c>
      <c r="J11" s="922">
        <f>IF(IFRSCumulative,IF(RIGHT(J$2,4)=RIGHT(OFFSET(J$2,0,-1),4),OFFSET(J11,0,-1),0),0)+IF(MID(Calculations!$P$457,7,1)&lt;&gt;"D",OFFSET(Calculations!$G$457,0,J$1),0)</f>
        <v>0</v>
      </c>
      <c r="K11" s="922">
        <f>IF(IFRSCumulative,IF(RIGHT(K$2,4)=RIGHT(OFFSET(K$2,0,-1),4),OFFSET(K11,0,-1),0),0)+IF(MID(Calculations!$P$457,7,1)&lt;&gt;"D",OFFSET(Calculations!$G$457,0,K$1),0)</f>
        <v>0</v>
      </c>
      <c r="L11" s="922">
        <f>IF(IFRSCumulative,IF(RIGHT(L$2,4)=RIGHT(OFFSET(L$2,0,-1),4),OFFSET(L11,0,-1),0),0)+IF(MID(Calculations!$P$457,7,1)&lt;&gt;"D",OFFSET(Calculations!$G$457,0,L$1),0)</f>
        <v>0</v>
      </c>
      <c r="M11" s="922">
        <f>IF(IFRSCumulative,IF(RIGHT(M$2,4)=RIGHT(OFFSET(M$2,0,-1),4),OFFSET(M11,0,-1),0),0)+IF(MID(Calculations!$P$457,7,1)&lt;&gt;"D",OFFSET(Calculations!$G$457,0,M$1),0)</f>
        <v>0</v>
      </c>
      <c r="N11" s="922">
        <f>IF(IFRSCumulative,IF(RIGHT(N$2,4)=RIGHT(OFFSET(N$2,0,-1),4),OFFSET(N11,0,-1),0),0)+IF(MID(Calculations!$P$457,7,1)&lt;&gt;"D",OFFSET(Calculations!$G$457,0,N$1),0)</f>
        <v>0</v>
      </c>
      <c r="O11" s="285"/>
    </row>
    <row r="12" spans="1:15" ht="12.75" customHeight="1" x14ac:dyDescent="0.35">
      <c r="A12" s="917" t="s">
        <v>183</v>
      </c>
      <c r="B12" s="917"/>
      <c r="C12" s="907" t="s">
        <v>1701</v>
      </c>
      <c r="D12" s="285"/>
      <c r="E12" s="285"/>
      <c r="F12" s="285"/>
      <c r="G12" s="285"/>
      <c r="H12" s="922">
        <v>0</v>
      </c>
      <c r="I12" s="922">
        <f>IF(IFRSCumulative,IF(RIGHT(I$2,4)=RIGHT(OFFSET(I$2,0,-1),4),OFFSET(I12,0,-1),0),0)+OFFSET(Calculations!$G$459,0,I$1)+OFFSET(Calculations!$G$471,0,I$1)</f>
        <v>0</v>
      </c>
      <c r="J12" s="922">
        <f>IF(IFRSCumulative,IF(RIGHT(J$2,4)=RIGHT(OFFSET(J$2,0,-1),4),OFFSET(J12,0,-1),0),0)+OFFSET(Calculations!$G$459,0,J$1)+OFFSET(Calculations!$G$471,0,J$1)</f>
        <v>0</v>
      </c>
      <c r="K12" s="922">
        <f>IF(IFRSCumulative,IF(RIGHT(K$2,4)=RIGHT(OFFSET(K$2,0,-1),4),OFFSET(K12,0,-1),0),0)+OFFSET(Calculations!$G$459,0,K$1)+OFFSET(Calculations!$G$471,0,K$1)</f>
        <v>0</v>
      </c>
      <c r="L12" s="922">
        <f>IF(IFRSCumulative,IF(RIGHT(L$2,4)=RIGHT(OFFSET(L$2,0,-1),4),OFFSET(L12,0,-1),0),0)+OFFSET(Calculations!$G$459,0,L$1)+OFFSET(Calculations!$G$471,0,L$1)</f>
        <v>0</v>
      </c>
      <c r="M12" s="922">
        <f>IF(IFRSCumulative,IF(RIGHT(M$2,4)=RIGHT(OFFSET(M$2,0,-1),4),OFFSET(M12,0,-1),0),0)+OFFSET(Calculations!$G$459,0,M$1)+OFFSET(Calculations!$G$471,0,M$1)</f>
        <v>0</v>
      </c>
      <c r="N12" s="922">
        <f>IF(IFRSCumulative,IF(RIGHT(N$2,4)=RIGHT(OFFSET(N$2,0,-1),4),OFFSET(N12,0,-1),0),0)+OFFSET(Calculations!$G$459,0,N$1)+OFFSET(Calculations!$G$471,0,N$1)</f>
        <v>0</v>
      </c>
      <c r="O12" s="285"/>
    </row>
    <row r="13" spans="1:15" ht="12.75" customHeight="1" x14ac:dyDescent="0.35">
      <c r="A13" s="907" t="s">
        <v>396</v>
      </c>
      <c r="B13" s="907"/>
      <c r="C13" s="907" t="s">
        <v>1702</v>
      </c>
      <c r="D13" s="285"/>
      <c r="E13" s="285"/>
      <c r="F13" s="285"/>
      <c r="G13" s="285"/>
      <c r="H13" s="922">
        <f>Calculations!$G$910+Calculations!$G$920+Calculations!$G$1018+Calculations!$G$425+Calculations!$G$1134</f>
        <v>0</v>
      </c>
      <c r="I13" s="922">
        <f>IF(IFRSCumulative,IF(RIGHT(I$2,4)=RIGHT(OFFSET(I$2,0,-1),4),OFFSET(I13,0,-1),0),0)+OFFSET(Calculations!$G$910,0,I$1)+OFFSET(Calculations!$G$920,0,I$1)+OFFSET(Calculations!$G$1018,0,I$1)+OFFSET(Calculations!$G$425,0,I$1)+OFFSET(Calculations!$G$1134,0,I$1)</f>
        <v>0</v>
      </c>
      <c r="J13" s="922">
        <f>IF(IFRSCumulative,IF(RIGHT(J$2,4)=RIGHT(OFFSET(J$2,0,-1),4),OFFSET(J13,0,-1),0),0)+OFFSET(Calculations!$G$910,0,J$1)+OFFSET(Calculations!$G$920,0,J$1)+OFFSET(Calculations!$G$1018,0,J$1)+OFFSET(Calculations!$G$425,0,J$1)+OFFSET(Calculations!$G$1134,0,J$1)</f>
        <v>0</v>
      </c>
      <c r="K13" s="922">
        <f>IF(IFRSCumulative,IF(RIGHT(K$2,4)=RIGHT(OFFSET(K$2,0,-1),4),OFFSET(K13,0,-1),0),0)+OFFSET(Calculations!$G$910,0,K$1)+OFFSET(Calculations!$G$920,0,K$1)+OFFSET(Calculations!$G$1018,0,K$1)+OFFSET(Calculations!$G$425,0,K$1)+OFFSET(Calculations!$G$1134,0,K$1)</f>
        <v>0</v>
      </c>
      <c r="L13" s="922">
        <f>IF(IFRSCumulative,IF(RIGHT(L$2,4)=RIGHT(OFFSET(L$2,0,-1),4),OFFSET(L13,0,-1),0),0)+OFFSET(Calculations!$G$910,0,L$1)+OFFSET(Calculations!$G$920,0,L$1)+OFFSET(Calculations!$G$1018,0,L$1)+OFFSET(Calculations!$G$425,0,L$1)+OFFSET(Calculations!$G$1134,0,L$1)</f>
        <v>0</v>
      </c>
      <c r="M13" s="922">
        <f>IF(IFRSCumulative,IF(RIGHT(M$2,4)=RIGHT(OFFSET(M$2,0,-1),4),OFFSET(M13,0,-1),0),0)+OFFSET(Calculations!$G$910,0,M$1)+OFFSET(Calculations!$G$920,0,M$1)+OFFSET(Calculations!$G$1018,0,M$1)+OFFSET(Calculations!$G$425,0,M$1)+OFFSET(Calculations!$G$1134,0,M$1)</f>
        <v>0</v>
      </c>
      <c r="N13" s="922">
        <f>IF(IFRSCumulative,IF(RIGHT(N$2,4)=RIGHT(OFFSET(N$2,0,-1),4),OFFSET(N13,0,-1),0),0)+OFFSET(Calculations!$G$910,0,N$1)+OFFSET(Calculations!$G$920,0,N$1)+OFFSET(Calculations!$G$1018,0,N$1)+OFFSET(Calculations!$G$425,0,N$1)+OFFSET(Calculations!$G$1134,0,N$1)</f>
        <v>0</v>
      </c>
      <c r="O13" s="285"/>
    </row>
    <row r="14" spans="1:15" ht="12.75" customHeight="1" x14ac:dyDescent="0.35">
      <c r="A14" s="917" t="s">
        <v>399</v>
      </c>
      <c r="B14" s="917"/>
      <c r="C14" s="907" t="s">
        <v>1703</v>
      </c>
      <c r="D14" s="285"/>
      <c r="E14" s="285"/>
      <c r="F14" s="285"/>
      <c r="G14" s="285"/>
      <c r="H14" s="922">
        <f>Calculations!$G$1136</f>
        <v>0</v>
      </c>
      <c r="I14" s="922">
        <f>IF(IFRSCumulative,IF(RIGHT(I$2,4)=RIGHT(OFFSET(I$2,0,-1),4),OFFSET(I14,0,-1),0),0)+OFFSET(Calculations!$G$1136,0,I$1)</f>
        <v>0</v>
      </c>
      <c r="J14" s="922">
        <f>IF(IFRSCumulative,IF(RIGHT(J$2,4)=RIGHT(OFFSET(J$2,0,-1),4),OFFSET(J14,0,-1),0),0)+OFFSET(Calculations!$G$1136,0,J$1)</f>
        <v>0</v>
      </c>
      <c r="K14" s="922">
        <f>IF(IFRSCumulative,IF(RIGHT(K$2,4)=RIGHT(OFFSET(K$2,0,-1),4),OFFSET(K14,0,-1),0),0)+OFFSET(Calculations!$G$1136,0,K$1)</f>
        <v>0</v>
      </c>
      <c r="L14" s="922">
        <f>IF(IFRSCumulative,IF(RIGHT(L$2,4)=RIGHT(OFFSET(L$2,0,-1),4),OFFSET(L14,0,-1),0),0)+OFFSET(Calculations!$G$1136,0,L$1)</f>
        <v>0</v>
      </c>
      <c r="M14" s="922">
        <f>IF(IFRSCumulative,IF(RIGHT(M$2,4)=RIGHT(OFFSET(M$2,0,-1),4),OFFSET(M14,0,-1),0),0)+OFFSET(Calculations!$G$1136,0,M$1)</f>
        <v>0</v>
      </c>
      <c r="N14" s="922">
        <f>IF(IFRSCumulative,IF(RIGHT(N$2,4)=RIGHT(OFFSET(N$2,0,-1),4),OFFSET(N14,0,-1),0),0)+OFFSET(Calculations!$G$1136,0,N$1)</f>
        <v>0</v>
      </c>
      <c r="O14" s="285"/>
    </row>
    <row r="15" spans="1:15" ht="12.75" customHeight="1" x14ac:dyDescent="0.35">
      <c r="A15" s="907" t="s">
        <v>1704</v>
      </c>
      <c r="B15" s="907"/>
      <c r="C15" s="923" t="s">
        <v>649</v>
      </c>
      <c r="D15" s="923"/>
      <c r="E15" s="923"/>
      <c r="F15" s="923"/>
      <c r="G15" s="923"/>
      <c r="H15" s="924">
        <f t="shared" ref="H15:N15" si="0">H9+H10+H11+H12+H13+H14</f>
        <v>0</v>
      </c>
      <c r="I15" s="924">
        <f t="shared" si="0"/>
        <v>0</v>
      </c>
      <c r="J15" s="924">
        <f t="shared" ref="J15" si="1">J9+J10+J11+J12+J13+J14</f>
        <v>0</v>
      </c>
      <c r="K15" s="924">
        <f t="shared" si="0"/>
        <v>0</v>
      </c>
      <c r="L15" s="924">
        <f t="shared" si="0"/>
        <v>0</v>
      </c>
      <c r="M15" s="924">
        <f t="shared" si="0"/>
        <v>0</v>
      </c>
      <c r="N15" s="924">
        <f t="shared" si="0"/>
        <v>0</v>
      </c>
      <c r="O15" s="921"/>
    </row>
    <row r="16" spans="1:15" hidden="1" x14ac:dyDescent="0.35">
      <c r="A16" s="917" t="s">
        <v>1705</v>
      </c>
      <c r="B16" s="917"/>
      <c r="C16" s="925" t="str">
        <f>C15&amp;", %"</f>
        <v>Operating profit, %</v>
      </c>
      <c r="D16" s="925"/>
      <c r="E16" s="925"/>
      <c r="F16" s="925"/>
      <c r="G16" s="925"/>
      <c r="H16" s="926"/>
      <c r="I16" s="927" t="str">
        <f t="shared" ref="I16:N16" si="2">IF(I$9&lt;&gt;0,I15/I$9,"")</f>
        <v/>
      </c>
      <c r="J16" s="927" t="str">
        <f t="shared" si="2"/>
        <v/>
      </c>
      <c r="K16" s="927" t="str">
        <f t="shared" si="2"/>
        <v/>
      </c>
      <c r="L16" s="927" t="str">
        <f t="shared" si="2"/>
        <v/>
      </c>
      <c r="M16" s="927" t="str">
        <f t="shared" si="2"/>
        <v/>
      </c>
      <c r="N16" s="927" t="str">
        <f t="shared" si="2"/>
        <v/>
      </c>
      <c r="O16" s="921"/>
    </row>
    <row r="17" spans="1:15" ht="6" hidden="1" customHeight="1" x14ac:dyDescent="0.35">
      <c r="A17" s="907" t="s">
        <v>1706</v>
      </c>
      <c r="B17" s="907"/>
      <c r="C17" s="917"/>
      <c r="D17" s="917"/>
      <c r="E17" s="917"/>
      <c r="F17" s="917"/>
      <c r="G17" s="917"/>
      <c r="H17" s="928"/>
      <c r="I17" s="928"/>
      <c r="J17" s="928"/>
      <c r="K17" s="928"/>
      <c r="L17" s="928"/>
      <c r="M17" s="928"/>
      <c r="N17" s="928"/>
      <c r="O17" s="921"/>
    </row>
    <row r="18" spans="1:15" ht="12.75" customHeight="1" x14ac:dyDescent="0.35">
      <c r="A18" s="917" t="s">
        <v>1190</v>
      </c>
      <c r="B18" s="917"/>
      <c r="C18" s="907" t="s">
        <v>1707</v>
      </c>
      <c r="D18" s="285"/>
      <c r="E18" s="285"/>
      <c r="F18" s="285"/>
      <c r="G18" s="285"/>
      <c r="H18" s="285">
        <f>IF(MID(Calculations!$P$482,7,1)&lt;&gt;"D",Calculations!$G$482,0)</f>
        <v>0</v>
      </c>
      <c r="I18" s="285">
        <f>IF(IFRSCumulative,IF(RIGHT(I$2,4)=RIGHT(OFFSET(I$2,0,-1),4),OFFSET(I18,0,-1),0),0)+IF(MID(Calculations!$P$482,7,1)&lt;&gt;"D",OFFSET(Calculations!$G$482,0,I$1),0)</f>
        <v>0</v>
      </c>
      <c r="J18" s="285">
        <f>IF(IFRSCumulative,IF(RIGHT(J$2,4)=RIGHT(OFFSET(J$2,0,-1),4),OFFSET(J18,0,-1),0),0)+IF(MID(Calculations!$P$482,7,1)&lt;&gt;"D",OFFSET(Calculations!$G$482,0,J$1),0)</f>
        <v>0</v>
      </c>
      <c r="K18" s="285">
        <f>IF(IFRSCumulative,IF(RIGHT(K$2,4)=RIGHT(OFFSET(K$2,0,-1),4),OFFSET(K18,0,-1),0),0)+IF(MID(Calculations!$P$482,7,1)&lt;&gt;"D",OFFSET(Calculations!$G$482,0,K$1),0)</f>
        <v>0</v>
      </c>
      <c r="L18" s="285">
        <f>IF(IFRSCumulative,IF(RIGHT(L$2,4)=RIGHT(OFFSET(L$2,0,-1),4),OFFSET(L18,0,-1),0),0)+IF(MID(Calculations!$P$482,7,1)&lt;&gt;"D",OFFSET(Calculations!$G$482,0,L$1),0)</f>
        <v>0</v>
      </c>
      <c r="M18" s="285">
        <f>IF(IFRSCumulative,IF(RIGHT(M$2,4)=RIGHT(OFFSET(M$2,0,-1),4),OFFSET(M18,0,-1),0),0)+IF(MID(Calculations!$P$482,7,1)&lt;&gt;"D",OFFSET(Calculations!$G$482,0,M$1),0)</f>
        <v>0</v>
      </c>
      <c r="N18" s="285">
        <f>IF(IFRSCumulative,IF(RIGHT(N$2,4)=RIGHT(OFFSET(N$2,0,-1),4),OFFSET(N18,0,-1),0),0)+IF(MID(Calculations!$P$482,7,1)&lt;&gt;"D",OFFSET(Calculations!$G$482,0,N$1),0)</f>
        <v>0</v>
      </c>
      <c r="O18" s="285"/>
    </row>
    <row r="19" spans="1:15" ht="12.75" customHeight="1" x14ac:dyDescent="0.35">
      <c r="A19" s="907" t="s">
        <v>1708</v>
      </c>
      <c r="B19" s="907"/>
      <c r="C19" s="907" t="s">
        <v>1709</v>
      </c>
      <c r="D19" s="285"/>
      <c r="E19" s="285"/>
      <c r="F19" s="285"/>
      <c r="G19" s="285"/>
      <c r="H19" s="922">
        <f>IF(MID(Calculations!$P$493,7,1)&lt;&gt;"D",Calculations!$G$493,0)+IF(MID(Calculations!$P$494,7,1)&lt;&gt;"D",Calculations!$G$494,0)+IF(MID(Calculations!$P$432,7,1)&lt;&gt;"D",Calculations!$G$432,0)</f>
        <v>0</v>
      </c>
      <c r="I19" s="922">
        <f>IF(IFRSCumulative,IF(RIGHT(I$2,4)=RIGHT(OFFSET(I$2,0,-1),4),OFFSET(I19,0,-1),0),0)+IF(MID(Calculations!$P$493,7,1)&lt;&gt;"D",OFFSET(Calculations!$G$493,0,I$1),0)+IF(MID(Calculations!$P$494,7,1)&lt;&gt;"D",OFFSET(Calculations!$G$494,0,I$1),0)+IF(MID(Calculations!$P$432,7,1)&lt;&gt;"D",OFFSET(Calculations!$G$432,0,I$1),0)</f>
        <v>0</v>
      </c>
      <c r="J19" s="922">
        <f>IF(IFRSCumulative,IF(RIGHT(J$2,4)=RIGHT(OFFSET(J$2,0,-1),4),OFFSET(J19,0,-1),0),0)+IF(MID(Calculations!$P$493,7,1)&lt;&gt;"D",OFFSET(Calculations!$G$493,0,J$1),0)+IF(MID(Calculations!$P$494,7,1)&lt;&gt;"D",OFFSET(Calculations!$G$494,0,J$1),0)+IF(MID(Calculations!$P$432,7,1)&lt;&gt;"D",OFFSET(Calculations!$G$432,0,J$1),0)</f>
        <v>0</v>
      </c>
      <c r="K19" s="922">
        <f>IF(IFRSCumulative,IF(RIGHT(K$2,4)=RIGHT(OFFSET(K$2,0,-1),4),OFFSET(K19,0,-1),0),0)+IF(MID(Calculations!$P$493,7,1)&lt;&gt;"D",OFFSET(Calculations!$G$493,0,K$1),0)+IF(MID(Calculations!$P$494,7,1)&lt;&gt;"D",OFFSET(Calculations!$G$494,0,K$1),0)+IF(MID(Calculations!$P$432,7,1)&lt;&gt;"D",OFFSET(Calculations!$G$432,0,K$1),0)</f>
        <v>0</v>
      </c>
      <c r="L19" s="922">
        <f>IF(IFRSCumulative,IF(RIGHT(L$2,4)=RIGHT(OFFSET(L$2,0,-1),4),OFFSET(L19,0,-1),0),0)+IF(MID(Calculations!$P$493,7,1)&lt;&gt;"D",OFFSET(Calculations!$G$493,0,L$1),0)+IF(MID(Calculations!$P$494,7,1)&lt;&gt;"D",OFFSET(Calculations!$G$494,0,L$1),0)+IF(MID(Calculations!$P$432,7,1)&lt;&gt;"D",OFFSET(Calculations!$G$432,0,L$1),0)</f>
        <v>0</v>
      </c>
      <c r="M19" s="922">
        <f>IF(IFRSCumulative,IF(RIGHT(M$2,4)=RIGHT(OFFSET(M$2,0,-1),4),OFFSET(M19,0,-1),0),0)+IF(MID(Calculations!$P$493,7,1)&lt;&gt;"D",OFFSET(Calculations!$G$493,0,M$1),0)+IF(MID(Calculations!$P$494,7,1)&lt;&gt;"D",OFFSET(Calculations!$G$494,0,M$1),0)+IF(MID(Calculations!$P$432,7,1)&lt;&gt;"D",OFFSET(Calculations!$G$432,0,M$1),0)</f>
        <v>0</v>
      </c>
      <c r="N19" s="922">
        <f>IF(IFRSCumulative,IF(RIGHT(N$2,4)=RIGHT(OFFSET(N$2,0,-1),4),OFFSET(N19,0,-1),0),0)+IF(MID(Calculations!$P$493,7,1)&lt;&gt;"D",OFFSET(Calculations!$G$493,0,N$1),0)+IF(MID(Calculations!$P$494,7,1)&lt;&gt;"D",OFFSET(Calculations!$G$494,0,N$1),0)+IF(MID(Calculations!$P$432,7,1)&lt;&gt;"D",OFFSET(Calculations!$G$432,0,N$1),0)</f>
        <v>0</v>
      </c>
      <c r="O19" s="285"/>
    </row>
    <row r="20" spans="1:15" ht="12.75" customHeight="1" x14ac:dyDescent="0.35">
      <c r="A20" s="917" t="s">
        <v>1710</v>
      </c>
      <c r="B20" s="917"/>
      <c r="C20" s="923" t="s">
        <v>1711</v>
      </c>
      <c r="D20" s="923"/>
      <c r="E20" s="923"/>
      <c r="F20" s="923"/>
      <c r="G20" s="923"/>
      <c r="H20" s="924">
        <f t="shared" ref="H20:N20" si="3">H15+H18+H19</f>
        <v>0</v>
      </c>
      <c r="I20" s="924">
        <f t="shared" si="3"/>
        <v>0</v>
      </c>
      <c r="J20" s="924">
        <f t="shared" ref="J20" si="4">J15+J18+J19</f>
        <v>0</v>
      </c>
      <c r="K20" s="924">
        <f t="shared" si="3"/>
        <v>0</v>
      </c>
      <c r="L20" s="924">
        <f t="shared" si="3"/>
        <v>0</v>
      </c>
      <c r="M20" s="924">
        <f t="shared" si="3"/>
        <v>0</v>
      </c>
      <c r="N20" s="924">
        <f t="shared" si="3"/>
        <v>0</v>
      </c>
      <c r="O20" s="921"/>
    </row>
    <row r="21" spans="1:15" ht="15.5" hidden="1" x14ac:dyDescent="0.35">
      <c r="A21" s="907" t="s">
        <v>1075</v>
      </c>
      <c r="B21" s="907"/>
      <c r="C21" s="925" t="str">
        <f>C20&amp;", %"</f>
        <v>Profit before income tax, %</v>
      </c>
      <c r="D21" s="925"/>
      <c r="E21" s="925"/>
      <c r="F21" s="925"/>
      <c r="G21" s="925"/>
      <c r="H21" s="926"/>
      <c r="I21" s="927" t="str">
        <f t="shared" ref="I21:N21" si="5">IF(I$9&lt;&gt;0,I20/I$9,"")</f>
        <v/>
      </c>
      <c r="J21" s="927" t="str">
        <f t="shared" si="5"/>
        <v/>
      </c>
      <c r="K21" s="927" t="str">
        <f t="shared" si="5"/>
        <v/>
      </c>
      <c r="L21" s="927" t="str">
        <f t="shared" si="5"/>
        <v/>
      </c>
      <c r="M21" s="927" t="str">
        <f t="shared" si="5"/>
        <v/>
      </c>
      <c r="N21" s="927" t="str">
        <f t="shared" si="5"/>
        <v/>
      </c>
      <c r="O21" s="921"/>
    </row>
    <row r="22" spans="1:15" ht="6" hidden="1" customHeight="1" x14ac:dyDescent="0.35">
      <c r="A22" s="917" t="s">
        <v>1090</v>
      </c>
      <c r="B22" s="917"/>
      <c r="C22" s="917"/>
      <c r="D22" s="917"/>
      <c r="E22" s="917"/>
      <c r="F22" s="917"/>
      <c r="G22" s="917"/>
      <c r="H22" s="928"/>
      <c r="I22" s="928"/>
      <c r="J22" s="928"/>
      <c r="K22" s="928"/>
      <c r="L22" s="928"/>
      <c r="M22" s="928"/>
      <c r="N22" s="928"/>
      <c r="O22" s="921"/>
    </row>
    <row r="23" spans="1:15" ht="12.75" customHeight="1" x14ac:dyDescent="0.35">
      <c r="A23" s="907" t="s">
        <v>429</v>
      </c>
      <c r="B23" s="907"/>
      <c r="C23" s="907" t="s">
        <v>1712</v>
      </c>
      <c r="D23" s="285"/>
      <c r="E23" s="285"/>
      <c r="F23" s="285"/>
      <c r="G23" s="285"/>
      <c r="H23" s="922">
        <f>IF(MID(Calculations!$P$503,7,1)&lt;&gt;"D",Calculations!$G$503,0)+(IF(MID(Calculations!$P$522,7,1)&lt;&gt;"D",Calculations!$G$522-Calculations!$G$503,0))</f>
        <v>0</v>
      </c>
      <c r="I23" s="922">
        <f>IF(IFRSCumulative,IF(RIGHT(I$2,4)=RIGHT(OFFSET(I$2,0,-1),4),OFFSET(I23,0,-1),0),0)+IF(MID(Calculations!$P$503,7,1)&lt;&gt;"D",OFFSET(Calculations!$G$503,0,I$1),0)+(IF(MID(Calculations!$P$522,7,1)&lt;&gt;"D",OFFSET(Calculations!$G$522,0,I$1)-OFFSET(Calculations!$G$503,0,I$1),0))</f>
        <v>0</v>
      </c>
      <c r="J23" s="922">
        <f>IF(IFRSCumulative,IF(RIGHT(J$2,4)=RIGHT(OFFSET(J$2,0,-1),4),OFFSET(J23,0,-1),0),0)+IF(MID(Calculations!$P$503,7,1)&lt;&gt;"D",OFFSET(Calculations!$G$503,0,J$1),0)+(IF(MID(Calculations!$P$522,7,1)&lt;&gt;"D",OFFSET(Calculations!$G$522,0,J$1)-OFFSET(Calculations!$G$503,0,J$1),0))</f>
        <v>0</v>
      </c>
      <c r="K23" s="922">
        <f>IF(IFRSCumulative,IF(RIGHT(K$2,4)=RIGHT(OFFSET(K$2,0,-1),4),OFFSET(K23,0,-1),0),0)+IF(MID(Calculations!$P$503,7,1)&lt;&gt;"D",OFFSET(Calculations!$G$503,0,K$1),0)+(IF(MID(Calculations!$P$522,7,1)&lt;&gt;"D",OFFSET(Calculations!$G$522,0,K$1)-OFFSET(Calculations!$G$503,0,K$1),0))</f>
        <v>0</v>
      </c>
      <c r="L23" s="922">
        <f>IF(IFRSCumulative,IF(RIGHT(L$2,4)=RIGHT(OFFSET(L$2,0,-1),4),OFFSET(L23,0,-1),0),0)+IF(MID(Calculations!$P$503,7,1)&lt;&gt;"D",OFFSET(Calculations!$G$503,0,L$1),0)+(IF(MID(Calculations!$P$522,7,1)&lt;&gt;"D",OFFSET(Calculations!$G$522,0,L$1)-OFFSET(Calculations!$G$503,0,L$1),0))</f>
        <v>0</v>
      </c>
      <c r="M23" s="922">
        <f>IF(IFRSCumulative,IF(RIGHT(M$2,4)=RIGHT(OFFSET(M$2,0,-1),4),OFFSET(M23,0,-1),0),0)+IF(MID(Calculations!$P$503,7,1)&lt;&gt;"D",OFFSET(Calculations!$G$503,0,M$1),0)+(IF(MID(Calculations!$P$522,7,1)&lt;&gt;"D",OFFSET(Calculations!$G$522,0,M$1)-OFFSET(Calculations!$G$503,0,M$1),0))</f>
        <v>0</v>
      </c>
      <c r="N23" s="922">
        <f>IF(IFRSCumulative,IF(RIGHT(N$2,4)=RIGHT(OFFSET(N$2,0,-1),4),OFFSET(N23,0,-1),0),0)+IF(MID(Calculations!$P$503,7,1)&lt;&gt;"D",OFFSET(Calculations!$G$503,0,N$1),0)+(IF(MID(Calculations!$P$522,7,1)&lt;&gt;"D",OFFSET(Calculations!$G$522,0,N$1)-OFFSET(Calculations!$G$503,0,N$1),0))</f>
        <v>0</v>
      </c>
      <c r="O23" s="285"/>
    </row>
    <row r="24" spans="1:15" ht="12.75" customHeight="1" x14ac:dyDescent="0.35">
      <c r="A24" s="917" t="s">
        <v>437</v>
      </c>
      <c r="B24" s="917"/>
      <c r="C24" s="923" t="s">
        <v>1713</v>
      </c>
      <c r="D24" s="923"/>
      <c r="E24" s="923"/>
      <c r="F24" s="923"/>
      <c r="G24" s="923"/>
      <c r="H24" s="924">
        <f t="shared" ref="H24:N24" si="6">H20+H23</f>
        <v>0</v>
      </c>
      <c r="I24" s="924">
        <f t="shared" si="6"/>
        <v>0</v>
      </c>
      <c r="J24" s="924">
        <f t="shared" ref="J24" si="7">J20+J23</f>
        <v>0</v>
      </c>
      <c r="K24" s="924">
        <f t="shared" si="6"/>
        <v>0</v>
      </c>
      <c r="L24" s="924">
        <f t="shared" si="6"/>
        <v>0</v>
      </c>
      <c r="M24" s="924">
        <f t="shared" si="6"/>
        <v>0</v>
      </c>
      <c r="N24" s="924">
        <f t="shared" si="6"/>
        <v>0</v>
      </c>
      <c r="O24" s="921"/>
    </row>
    <row r="25" spans="1:15" ht="15.5" hidden="1" x14ac:dyDescent="0.35">
      <c r="A25" s="907" t="s">
        <v>537</v>
      </c>
      <c r="B25" s="907"/>
      <c r="C25" s="925" t="str">
        <f>C24&amp;", %"</f>
        <v>Profit for the period from continuing operations, %</v>
      </c>
      <c r="D25" s="925"/>
      <c r="E25" s="925"/>
      <c r="F25" s="925"/>
      <c r="G25" s="925"/>
      <c r="H25" s="926"/>
      <c r="I25" s="927" t="str">
        <f t="shared" ref="I25:N25" si="8">IF(I$9&lt;&gt;0,I24/I$9,"")</f>
        <v/>
      </c>
      <c r="J25" s="927" t="str">
        <f t="shared" si="8"/>
        <v/>
      </c>
      <c r="K25" s="927" t="str">
        <f t="shared" si="8"/>
        <v/>
      </c>
      <c r="L25" s="927" t="str">
        <f t="shared" si="8"/>
        <v/>
      </c>
      <c r="M25" s="927" t="str">
        <f t="shared" si="8"/>
        <v/>
      </c>
      <c r="N25" s="927" t="str">
        <f t="shared" si="8"/>
        <v/>
      </c>
      <c r="O25" s="921"/>
    </row>
    <row r="26" spans="1:15" ht="6" customHeight="1" x14ac:dyDescent="0.35">
      <c r="A26" s="917" t="s">
        <v>545</v>
      </c>
      <c r="B26" s="917"/>
      <c r="C26" s="907"/>
      <c r="D26" s="285"/>
      <c r="E26" s="285"/>
      <c r="F26" s="285"/>
      <c r="G26" s="285"/>
      <c r="H26" s="285"/>
      <c r="I26" s="285"/>
      <c r="J26" s="285"/>
      <c r="K26" s="285"/>
      <c r="L26" s="285"/>
      <c r="M26" s="285"/>
      <c r="N26" s="285"/>
      <c r="O26" s="285"/>
    </row>
    <row r="27" spans="1:15" ht="12.75" customHeight="1" x14ac:dyDescent="0.35">
      <c r="A27" s="907" t="s">
        <v>548</v>
      </c>
      <c r="B27" s="907"/>
      <c r="C27" s="917" t="s">
        <v>1714</v>
      </c>
      <c r="D27" s="285"/>
      <c r="E27" s="285"/>
      <c r="F27" s="285"/>
      <c r="G27" s="285"/>
      <c r="H27" s="285"/>
      <c r="I27" s="285"/>
      <c r="J27" s="285"/>
      <c r="K27" s="285"/>
      <c r="L27" s="285"/>
      <c r="M27" s="285"/>
      <c r="N27" s="285"/>
      <c r="O27" s="285"/>
    </row>
    <row r="28" spans="1:15" ht="12.75" customHeight="1" x14ac:dyDescent="0.35">
      <c r="A28" s="917" t="s">
        <v>550</v>
      </c>
      <c r="B28" s="917"/>
      <c r="C28" s="289" t="s">
        <v>1715</v>
      </c>
      <c r="D28" s="252"/>
      <c r="E28" s="252"/>
      <c r="F28" s="252"/>
      <c r="G28" s="252"/>
      <c r="H28" s="929">
        <f>IF(AnyDisc,Calculations!$G$523-H24,0)</f>
        <v>0</v>
      </c>
      <c r="I28" s="929">
        <f>IF(AnyDisc,OFFSET(Calculations!$G$523,0,I$1)-I24,0)</f>
        <v>0</v>
      </c>
      <c r="J28" s="929">
        <f>IF(AnyDisc,OFFSET(Calculations!$G$523,0,J$1)-J24,0)</f>
        <v>0</v>
      </c>
      <c r="K28" s="929">
        <f>IF(AnyDisc,OFFSET(Calculations!$G$523,0,K$1)-K24,0)</f>
        <v>0</v>
      </c>
      <c r="L28" s="929">
        <f>IF(AnyDisc,OFFSET(Calculations!$G$523,0,L$1)-L24,0)</f>
        <v>0</v>
      </c>
      <c r="M28" s="929">
        <f>IF(AnyDisc,OFFSET(Calculations!$G$523,0,M$1)-M24,0)</f>
        <v>0</v>
      </c>
      <c r="N28" s="929">
        <f>IF(AnyDisc,OFFSET(Calculations!$G$523,0,N$1)-N24,0)</f>
        <v>0</v>
      </c>
      <c r="O28" s="252"/>
    </row>
    <row r="29" spans="1:15" ht="12.75" customHeight="1" x14ac:dyDescent="0.35">
      <c r="A29" s="907" t="s">
        <v>525</v>
      </c>
      <c r="B29" s="907"/>
      <c r="C29" s="923" t="s">
        <v>1716</v>
      </c>
      <c r="D29" s="923"/>
      <c r="E29" s="923"/>
      <c r="F29" s="923"/>
      <c r="G29" s="923"/>
      <c r="H29" s="924">
        <f t="shared" ref="H29:N29" si="9">H24+H28</f>
        <v>0</v>
      </c>
      <c r="I29" s="924">
        <f t="shared" si="9"/>
        <v>0</v>
      </c>
      <c r="J29" s="924">
        <f t="shared" ref="J29" si="10">J24+J28</f>
        <v>0</v>
      </c>
      <c r="K29" s="924">
        <f t="shared" si="9"/>
        <v>0</v>
      </c>
      <c r="L29" s="924">
        <f t="shared" si="9"/>
        <v>0</v>
      </c>
      <c r="M29" s="924">
        <f t="shared" si="9"/>
        <v>0</v>
      </c>
      <c r="N29" s="924">
        <f t="shared" si="9"/>
        <v>0</v>
      </c>
      <c r="O29" s="921"/>
    </row>
    <row r="30" spans="1:15" hidden="1" x14ac:dyDescent="0.35">
      <c r="A30" s="917" t="s">
        <v>1717</v>
      </c>
      <c r="B30" s="917"/>
      <c r="C30" s="925" t="str">
        <f>C29&amp;", %"</f>
        <v>Profit for the period, %</v>
      </c>
      <c r="D30" s="925"/>
      <c r="E30" s="925"/>
      <c r="F30" s="925"/>
      <c r="G30" s="925"/>
      <c r="H30" s="926"/>
      <c r="I30" s="927" t="str">
        <f t="shared" ref="I30:N30" si="11">IF(I$9&lt;&gt;0,I29/I$9,"")</f>
        <v/>
      </c>
      <c r="J30" s="927" t="str">
        <f t="shared" si="11"/>
        <v/>
      </c>
      <c r="K30" s="927" t="str">
        <f t="shared" si="11"/>
        <v/>
      </c>
      <c r="L30" s="927" t="str">
        <f t="shared" si="11"/>
        <v/>
      </c>
      <c r="M30" s="927" t="str">
        <f t="shared" si="11"/>
        <v/>
      </c>
      <c r="N30" s="927" t="str">
        <f t="shared" si="11"/>
        <v/>
      </c>
      <c r="O30" s="921"/>
    </row>
    <row r="31" spans="1:15" ht="6" customHeight="1" x14ac:dyDescent="0.35">
      <c r="A31" s="907" t="s">
        <v>1718</v>
      </c>
      <c r="B31" s="907"/>
      <c r="C31" s="907"/>
      <c r="D31" s="285"/>
      <c r="E31" s="285"/>
      <c r="F31" s="285"/>
      <c r="G31" s="285"/>
      <c r="H31" s="285"/>
      <c r="I31" s="285"/>
      <c r="J31" s="285"/>
      <c r="K31" s="285"/>
      <c r="L31" s="285"/>
      <c r="M31" s="285"/>
      <c r="N31" s="285"/>
      <c r="O31" s="285"/>
    </row>
    <row r="32" spans="1:15" ht="12.75" customHeight="1" x14ac:dyDescent="0.35">
      <c r="A32" s="917" t="s">
        <v>1719</v>
      </c>
      <c r="B32" s="917"/>
      <c r="C32" s="917" t="s">
        <v>1720</v>
      </c>
      <c r="D32" s="921"/>
      <c r="E32" s="921"/>
      <c r="F32" s="921"/>
      <c r="G32" s="921"/>
      <c r="H32" s="921"/>
      <c r="I32" s="921"/>
      <c r="J32" s="921"/>
      <c r="K32" s="921"/>
      <c r="L32" s="921"/>
      <c r="M32" s="921"/>
      <c r="N32" s="921"/>
      <c r="O32" s="921"/>
    </row>
    <row r="33" spans="1:15" ht="12.75" customHeight="1" x14ac:dyDescent="0.35">
      <c r="A33" s="907" t="s">
        <v>1721</v>
      </c>
      <c r="B33" s="907"/>
      <c r="C33" s="289" t="s">
        <v>1722</v>
      </c>
      <c r="D33" s="285"/>
      <c r="E33" s="285"/>
      <c r="F33" s="285"/>
      <c r="G33" s="285"/>
      <c r="H33" s="922">
        <f t="shared" ref="H33:N33" si="12">H29-H34</f>
        <v>0</v>
      </c>
      <c r="I33" s="922">
        <f t="shared" si="12"/>
        <v>0</v>
      </c>
      <c r="J33" s="922">
        <f t="shared" ref="J33" si="13">J29-J34</f>
        <v>0</v>
      </c>
      <c r="K33" s="922">
        <f t="shared" si="12"/>
        <v>0</v>
      </c>
      <c r="L33" s="922">
        <f t="shared" si="12"/>
        <v>0</v>
      </c>
      <c r="M33" s="922">
        <f t="shared" si="12"/>
        <v>0</v>
      </c>
      <c r="N33" s="922">
        <f t="shared" si="12"/>
        <v>0</v>
      </c>
      <c r="O33" s="285"/>
    </row>
    <row r="34" spans="1:15" ht="12.75" customHeight="1" x14ac:dyDescent="0.35">
      <c r="A34" s="917" t="s">
        <v>1723</v>
      </c>
      <c r="B34" s="917"/>
      <c r="C34" s="289" t="s">
        <v>633</v>
      </c>
      <c r="D34" s="285"/>
      <c r="E34" s="285"/>
      <c r="F34" s="285"/>
      <c r="G34" s="285"/>
      <c r="H34" s="922">
        <f>Calculations!$G$524</f>
        <v>0</v>
      </c>
      <c r="I34" s="922">
        <f>-OFFSET(Calculations!$G$524,0,I$1)</f>
        <v>0</v>
      </c>
      <c r="J34" s="922">
        <f>-OFFSET(Calculations!$G$524,0,J$1)</f>
        <v>0</v>
      </c>
      <c r="K34" s="922">
        <f>-OFFSET(Calculations!$G$524,0,K$1)</f>
        <v>0</v>
      </c>
      <c r="L34" s="922">
        <f>-OFFSET(Calculations!$G$524,0,L$1)</f>
        <v>0</v>
      </c>
      <c r="M34" s="922">
        <f>-OFFSET(Calculations!$G$524,0,M$1)</f>
        <v>0</v>
      </c>
      <c r="N34" s="922">
        <f>-OFFSET(Calculations!$G$524,0,N$1)</f>
        <v>0</v>
      </c>
      <c r="O34" s="285"/>
    </row>
    <row r="35" spans="1:15" ht="6" hidden="1" customHeight="1" x14ac:dyDescent="0.35">
      <c r="A35" s="907" t="s">
        <v>1724</v>
      </c>
      <c r="B35" s="907"/>
      <c r="C35" s="289"/>
      <c r="D35" s="285"/>
      <c r="E35" s="285"/>
      <c r="F35" s="285"/>
      <c r="G35" s="285"/>
      <c r="H35" s="922"/>
      <c r="I35" s="922"/>
      <c r="J35" s="922"/>
      <c r="K35" s="922"/>
      <c r="L35" s="922"/>
      <c r="M35" s="922"/>
      <c r="N35" s="922"/>
      <c r="O35" s="285"/>
    </row>
    <row r="36" spans="1:15" ht="15.5" hidden="1" x14ac:dyDescent="0.35">
      <c r="A36" s="917" t="s">
        <v>1725</v>
      </c>
      <c r="B36" s="917"/>
      <c r="C36" s="930" t="str">
        <f>Calculations!$B$510</f>
        <v>Return on net assets (RONA), %</v>
      </c>
      <c r="D36" s="930"/>
      <c r="E36" s="930"/>
      <c r="F36" s="930"/>
      <c r="G36" s="930"/>
      <c r="H36" s="930"/>
      <c r="I36" s="931" t="str">
        <f>OFFSET(Calculations!$H$526,0,I$1)</f>
        <v>-</v>
      </c>
      <c r="J36" s="931" t="str">
        <f>OFFSET(Calculations!$H$526,0,J$1)</f>
        <v>-</v>
      </c>
      <c r="K36" s="931" t="str">
        <f>OFFSET(Calculations!$H$526,0,K$1)</f>
        <v>-</v>
      </c>
      <c r="L36" s="931" t="str">
        <f>OFFSET(Calculations!$H$526,0,L$1)</f>
        <v>-</v>
      </c>
      <c r="M36" s="931" t="str">
        <f>OFFSET(Calculations!$H$526,0,M$1)</f>
        <v>-</v>
      </c>
      <c r="N36" s="931" t="str">
        <f>OFFSET(Calculations!$H$526,0,N$1)</f>
        <v>-</v>
      </c>
      <c r="O36" s="285"/>
    </row>
    <row r="37" spans="1:15" ht="15.5" hidden="1" x14ac:dyDescent="0.35">
      <c r="A37" s="907" t="s">
        <v>1726</v>
      </c>
      <c r="B37" s="907"/>
      <c r="C37" s="932" t="str">
        <f>Calculations!$B$511</f>
        <v>Economic Value Added (EVA)</v>
      </c>
      <c r="D37" s="932"/>
      <c r="E37" s="932"/>
      <c r="F37" s="932"/>
      <c r="G37" s="932"/>
      <c r="H37" s="932"/>
      <c r="I37" s="933">
        <f>OFFSET(Calculations!$H$527,0,I$1)</f>
        <v>0</v>
      </c>
      <c r="J37" s="933">
        <f>OFFSET(Calculations!$H$527,0,J$1)</f>
        <v>0</v>
      </c>
      <c r="K37" s="933">
        <f>OFFSET(Calculations!$H$527,0,K$1)</f>
        <v>0</v>
      </c>
      <c r="L37" s="933">
        <f>OFFSET(Calculations!$H$527,0,L$1)</f>
        <v>0</v>
      </c>
      <c r="M37" s="933">
        <f>OFFSET(Calculations!$H$527,0,M$1)</f>
        <v>0</v>
      </c>
      <c r="N37" s="933">
        <f>OFFSET(Calculations!$H$527,0,N$1)</f>
        <v>0</v>
      </c>
      <c r="O37" s="285"/>
    </row>
    <row r="38" spans="1:15" ht="20.149999999999999" customHeight="1" x14ac:dyDescent="0.35">
      <c r="A38" s="917" t="s">
        <v>1727</v>
      </c>
      <c r="B38" s="917"/>
      <c r="C38" s="915" t="str">
        <f>$C$5</f>
        <v/>
      </c>
      <c r="D38" s="285"/>
      <c r="E38" s="285"/>
      <c r="F38" s="285"/>
      <c r="G38" s="916" t="str">
        <f>$G$5</f>
        <v/>
      </c>
      <c r="H38" s="285"/>
      <c r="I38" s="285"/>
      <c r="J38" s="285"/>
      <c r="K38" s="285"/>
      <c r="L38" s="285"/>
      <c r="M38" s="285"/>
      <c r="N38" s="285"/>
      <c r="O38" s="285"/>
    </row>
    <row r="39" spans="1:15" ht="18" customHeight="1" x14ac:dyDescent="0.4">
      <c r="A39" s="907" t="s">
        <v>1728</v>
      </c>
      <c r="B39" s="907"/>
      <c r="C39" s="918" t="s">
        <v>835</v>
      </c>
      <c r="D39" s="919"/>
      <c r="E39" s="919"/>
      <c r="F39" s="919"/>
      <c r="G39" s="920"/>
      <c r="H39" s="920" t="str">
        <f t="shared" ref="H39:N39" si="14">H$6</f>
        <v>1/2019</v>
      </c>
      <c r="I39" s="920" t="str">
        <f t="shared" si="14"/>
        <v>12/2019</v>
      </c>
      <c r="J39" s="920" t="str">
        <f t="shared" si="14"/>
        <v>12/2019</v>
      </c>
      <c r="K39" s="920" t="str">
        <f t="shared" si="14"/>
        <v>12/2020</v>
      </c>
      <c r="L39" s="920" t="str">
        <f t="shared" si="14"/>
        <v>12/2021</v>
      </c>
      <c r="M39" s="920" t="str">
        <f t="shared" si="14"/>
        <v>12/2022</v>
      </c>
      <c r="N39" s="920" t="str">
        <f t="shared" si="14"/>
        <v>12/2023</v>
      </c>
      <c r="O39" s="921"/>
    </row>
    <row r="40" spans="1:15" ht="6" customHeight="1" x14ac:dyDescent="0.35">
      <c r="A40" s="917" t="s">
        <v>1407</v>
      </c>
      <c r="B40" s="917"/>
      <c r="C40" s="907"/>
      <c r="D40" s="285"/>
      <c r="E40" s="285"/>
      <c r="F40" s="285"/>
      <c r="G40" s="285"/>
      <c r="H40" s="285"/>
      <c r="I40" s="285"/>
      <c r="J40" s="285"/>
      <c r="K40" s="285"/>
      <c r="L40" s="285"/>
      <c r="M40" s="285"/>
      <c r="N40" s="285"/>
      <c r="O40" s="285"/>
    </row>
    <row r="41" spans="1:15" ht="12.75" customHeight="1" x14ac:dyDescent="0.35">
      <c r="A41" s="907" t="s">
        <v>1429</v>
      </c>
      <c r="B41" s="907"/>
      <c r="C41" s="917" t="s">
        <v>839</v>
      </c>
      <c r="D41" s="285"/>
      <c r="E41" s="285"/>
      <c r="F41" s="285"/>
      <c r="G41" s="285"/>
      <c r="H41" s="285"/>
      <c r="I41" s="285"/>
      <c r="J41" s="285"/>
      <c r="K41" s="285"/>
      <c r="L41" s="285"/>
      <c r="M41" s="285"/>
      <c r="N41" s="285"/>
      <c r="O41" s="285"/>
    </row>
    <row r="42" spans="1:15" ht="12.75" customHeight="1" x14ac:dyDescent="0.35">
      <c r="A42" s="917" t="s">
        <v>1729</v>
      </c>
      <c r="B42" s="917"/>
      <c r="C42" s="917" t="s">
        <v>1730</v>
      </c>
      <c r="D42" s="285"/>
      <c r="E42" s="285"/>
      <c r="F42" s="285"/>
      <c r="G42" s="285"/>
      <c r="H42" s="285"/>
      <c r="I42" s="285"/>
      <c r="J42" s="285"/>
      <c r="K42" s="285"/>
      <c r="L42" s="285"/>
      <c r="M42" s="285"/>
      <c r="N42" s="285"/>
      <c r="O42" s="285"/>
    </row>
    <row r="43" spans="1:15" ht="12.75" customHeight="1" x14ac:dyDescent="0.35">
      <c r="A43" s="907" t="s">
        <v>1454</v>
      </c>
      <c r="B43" s="907"/>
      <c r="C43" s="907" t="s">
        <v>844</v>
      </c>
      <c r="D43" s="285"/>
      <c r="E43" s="285"/>
      <c r="F43" s="285"/>
      <c r="G43" s="285"/>
      <c r="H43" s="922">
        <f>Calculations!$G$721+Calculations!$G$789+Calculations!$G$713+Calculations!$G$717+Calculations!$G$725+Calculations!$G$1022+Calculations!$G$1023+Calculations!$G$1024+Calculations!$G$1025</f>
        <v>0</v>
      </c>
      <c r="I43" s="922">
        <f>OFFSET(Calculations!$G$721,0,I$1)+OFFSET(Calculations!$G$789,0,I$1)+OFFSET(Calculations!$G$713,0,I$1)+OFFSET(Calculations!$G$717,0,I$1)+OFFSET(Calculations!$G$725,0,I$1)+OFFSET(Calculations!$G$1022,0,I$1)+OFFSET(Calculations!$G$1023,0,I$1)+OFFSET(Calculations!$G$1024,0,I$1)+OFFSET(Calculations!$G$1025,0,I$1)</f>
        <v>0</v>
      </c>
      <c r="J43" s="922">
        <f>OFFSET(Calculations!$G$721,0,J$1)+OFFSET(Calculations!$G$789,0,J$1)+OFFSET(Calculations!$G$713,0,J$1)+OFFSET(Calculations!$G$717,0,J$1)+OFFSET(Calculations!$G$725,0,J$1)+OFFSET(Calculations!$G$1022,0,J$1)+OFFSET(Calculations!$G$1023,0,J$1)+OFFSET(Calculations!$G$1024,0,J$1)+OFFSET(Calculations!$G$1025,0,J$1)</f>
        <v>0</v>
      </c>
      <c r="K43" s="922">
        <f>OFFSET(Calculations!$G$721,0,K$1)+OFFSET(Calculations!$G$789,0,K$1)+OFFSET(Calculations!$G$713,0,K$1)+OFFSET(Calculations!$G$717,0,K$1)+OFFSET(Calculations!$G$725,0,K$1)+OFFSET(Calculations!$G$1022,0,K$1)+OFFSET(Calculations!$G$1023,0,K$1)+OFFSET(Calculations!$G$1024,0,K$1)+OFFSET(Calculations!$G$1025,0,K$1)</f>
        <v>0</v>
      </c>
      <c r="L43" s="922">
        <f>OFFSET(Calculations!$G$721,0,L$1)+OFFSET(Calculations!$G$789,0,L$1)+OFFSET(Calculations!$G$713,0,L$1)+OFFSET(Calculations!$G$717,0,L$1)+OFFSET(Calculations!$G$725,0,L$1)+OFFSET(Calculations!$G$1022,0,L$1)+OFFSET(Calculations!$G$1023,0,L$1)+OFFSET(Calculations!$G$1024,0,L$1)+OFFSET(Calculations!$G$1025,0,L$1)</f>
        <v>0</v>
      </c>
      <c r="M43" s="922">
        <f>OFFSET(Calculations!$G$721,0,M$1)+OFFSET(Calculations!$G$789,0,M$1)+OFFSET(Calculations!$G$713,0,M$1)+OFFSET(Calculations!$G$717,0,M$1)+OFFSET(Calculations!$G$725,0,M$1)+OFFSET(Calculations!$G$1022,0,M$1)+OFFSET(Calculations!$G$1023,0,M$1)+OFFSET(Calculations!$G$1024,0,M$1)+OFFSET(Calculations!$G$1025,0,M$1)</f>
        <v>0</v>
      </c>
      <c r="N43" s="922">
        <f>OFFSET(Calculations!$G$721,0,N$1)+OFFSET(Calculations!$G$789,0,N$1)+OFFSET(Calculations!$G$713,0,N$1)+OFFSET(Calculations!$G$717,0,N$1)+OFFSET(Calculations!$G$725,0,N$1)+OFFSET(Calculations!$G$1022,0,N$1)+OFFSET(Calculations!$G$1023,0,N$1)+OFFSET(Calculations!$G$1024,0,N$1)+OFFSET(Calculations!$G$1025,0,N$1)</f>
        <v>0</v>
      </c>
      <c r="O43" s="285"/>
    </row>
    <row r="44" spans="1:15" ht="12.75" customHeight="1" x14ac:dyDescent="0.35">
      <c r="A44" s="917" t="s">
        <v>1474</v>
      </c>
      <c r="B44" s="917"/>
      <c r="C44" s="907" t="s">
        <v>1731</v>
      </c>
      <c r="D44" s="285"/>
      <c r="E44" s="285"/>
      <c r="F44" s="285"/>
      <c r="G44" s="285"/>
      <c r="H44" s="922">
        <f>Calculations!$G$729+Calculations!$G$1026+Calculations!$G$1027+Calculations!$G$1028+Calculations!$G$1029</f>
        <v>0</v>
      </c>
      <c r="I44" s="922">
        <f>OFFSET(Calculations!$G$729,0,I$1)+OFFSET(Calculations!$G$1026,0,I$1)+OFFSET(Calculations!$G$1027,0,I$1)+OFFSET(Calculations!$G$1028,0,I$1)+OFFSET(Calculations!$G$1029,0,I$1)</f>
        <v>0</v>
      </c>
      <c r="J44" s="922">
        <f>OFFSET(Calculations!$G$729,0,J$1)+OFFSET(Calculations!$G$1026,0,J$1)+OFFSET(Calculations!$G$1027,0,J$1)+OFFSET(Calculations!$G$1028,0,J$1)+OFFSET(Calculations!$G$1029,0,J$1)</f>
        <v>0</v>
      </c>
      <c r="K44" s="922">
        <f>OFFSET(Calculations!$G$729,0,K$1)+OFFSET(Calculations!$G$1026,0,K$1)+OFFSET(Calculations!$G$1027,0,K$1)+OFFSET(Calculations!$G$1028,0,K$1)+OFFSET(Calculations!$G$1029,0,K$1)</f>
        <v>0</v>
      </c>
      <c r="L44" s="922">
        <f>OFFSET(Calculations!$G$729,0,L$1)+OFFSET(Calculations!$G$1026,0,L$1)+OFFSET(Calculations!$G$1027,0,L$1)+OFFSET(Calculations!$G$1028,0,L$1)+OFFSET(Calculations!$G$1029,0,L$1)</f>
        <v>0</v>
      </c>
      <c r="M44" s="922">
        <f>OFFSET(Calculations!$G$729,0,M$1)+OFFSET(Calculations!$G$1026,0,M$1)+OFFSET(Calculations!$G$1027,0,M$1)+OFFSET(Calculations!$G$1028,0,M$1)+OFFSET(Calculations!$G$1029,0,M$1)</f>
        <v>0</v>
      </c>
      <c r="N44" s="922">
        <f>OFFSET(Calculations!$G$729,0,N$1)+OFFSET(Calculations!$G$1026,0,N$1)+OFFSET(Calculations!$G$1027,0,N$1)+OFFSET(Calculations!$G$1028,0,N$1)+OFFSET(Calculations!$G$1029,0,N$1)</f>
        <v>0</v>
      </c>
      <c r="O44" s="285"/>
    </row>
    <row r="45" spans="1:15" ht="12.75" customHeight="1" x14ac:dyDescent="0.35">
      <c r="A45" s="907" t="s">
        <v>1732</v>
      </c>
      <c r="B45" s="907"/>
      <c r="C45" s="907" t="s">
        <v>1733</v>
      </c>
      <c r="D45" s="285"/>
      <c r="E45" s="285"/>
      <c r="F45" s="285"/>
      <c r="G45" s="285"/>
      <c r="H45" s="922">
        <f>Calculations!$G$751+Calculations!$G$1030</f>
        <v>0</v>
      </c>
      <c r="I45" s="922">
        <f>OFFSET(Calculations!$G$751,0,I$1)+OFFSET(Calculations!$G$1030,0,I$1)</f>
        <v>0</v>
      </c>
      <c r="J45" s="922">
        <f>OFFSET(Calculations!$G$751,0,J$1)+OFFSET(Calculations!$G$1030,0,J$1)</f>
        <v>0</v>
      </c>
      <c r="K45" s="922">
        <f>OFFSET(Calculations!$G$751,0,K$1)+OFFSET(Calculations!$G$1030,0,K$1)</f>
        <v>0</v>
      </c>
      <c r="L45" s="922">
        <f>OFFSET(Calculations!$G$751,0,L$1)+OFFSET(Calculations!$G$1030,0,L$1)</f>
        <v>0</v>
      </c>
      <c r="M45" s="922">
        <f>OFFSET(Calculations!$G$751,0,M$1)+OFFSET(Calculations!$G$1030,0,M$1)</f>
        <v>0</v>
      </c>
      <c r="N45" s="922">
        <f>OFFSET(Calculations!$G$751,0,N$1)+OFFSET(Calculations!$G$1030,0,N$1)</f>
        <v>0</v>
      </c>
      <c r="O45" s="285"/>
    </row>
    <row r="46" spans="1:15" ht="12.75" customHeight="1" x14ac:dyDescent="0.35">
      <c r="A46" s="917" t="s">
        <v>1734</v>
      </c>
      <c r="B46" s="917"/>
      <c r="C46" s="907" t="s">
        <v>1735</v>
      </c>
      <c r="D46" s="285"/>
      <c r="E46" s="285"/>
      <c r="F46" s="285"/>
      <c r="G46" s="285"/>
      <c r="H46" s="922">
        <f>Calculations!$G$763+Calculations!$G$1031</f>
        <v>0</v>
      </c>
      <c r="I46" s="922">
        <f>OFFSET(Calculations!$G$763,0,I$1)+OFFSET(Calculations!$G$1031,0,I$1)</f>
        <v>0</v>
      </c>
      <c r="J46" s="922">
        <f>OFFSET(Calculations!$G$763,0,J$1)+OFFSET(Calculations!$G$1031,0,J$1)</f>
        <v>0</v>
      </c>
      <c r="K46" s="922">
        <f>OFFSET(Calculations!$G$763,0,K$1)+OFFSET(Calculations!$G$1031,0,K$1)</f>
        <v>0</v>
      </c>
      <c r="L46" s="922">
        <f>OFFSET(Calculations!$G$763,0,L$1)+OFFSET(Calculations!$G$1031,0,L$1)</f>
        <v>0</v>
      </c>
      <c r="M46" s="922">
        <f>OFFSET(Calculations!$G$763,0,M$1)+OFFSET(Calculations!$G$1031,0,M$1)</f>
        <v>0</v>
      </c>
      <c r="N46" s="922">
        <f>OFFSET(Calculations!$G$763,0,N$1)+OFFSET(Calculations!$G$1031,0,N$1)</f>
        <v>0</v>
      </c>
      <c r="O46" s="285"/>
    </row>
    <row r="47" spans="1:15" ht="12.75" customHeight="1" x14ac:dyDescent="0.35">
      <c r="A47" s="907" t="s">
        <v>1736</v>
      </c>
      <c r="B47" s="907"/>
      <c r="C47" s="907" t="s">
        <v>909</v>
      </c>
      <c r="D47" s="285"/>
      <c r="E47" s="285"/>
      <c r="F47" s="285"/>
      <c r="G47" s="285"/>
      <c r="H47" s="922">
        <f>Calculations!$G$755+Calculations!$G$1032</f>
        <v>0</v>
      </c>
      <c r="I47" s="922">
        <f>OFFSET(Calculations!$G$755,0,I$1)+OFFSET(Calculations!$G$1032,0,I$1)</f>
        <v>0</v>
      </c>
      <c r="J47" s="922">
        <f>OFFSET(Calculations!$G$755,0,J$1)+OFFSET(Calculations!$G$1032,0,J$1)</f>
        <v>0</v>
      </c>
      <c r="K47" s="922">
        <f>OFFSET(Calculations!$G$755,0,K$1)+OFFSET(Calculations!$G$1032,0,K$1)</f>
        <v>0</v>
      </c>
      <c r="L47" s="922">
        <f>OFFSET(Calculations!$G$755,0,L$1)+OFFSET(Calculations!$G$1032,0,L$1)</f>
        <v>0</v>
      </c>
      <c r="M47" s="922">
        <f>OFFSET(Calculations!$G$755,0,M$1)+OFFSET(Calculations!$G$1032,0,M$1)</f>
        <v>0</v>
      </c>
      <c r="N47" s="922">
        <f>OFFSET(Calculations!$G$755,0,N$1)+OFFSET(Calculations!$G$1032,0,N$1)</f>
        <v>0</v>
      </c>
      <c r="O47" s="285"/>
    </row>
    <row r="48" spans="1:15" ht="12.75" customHeight="1" x14ac:dyDescent="0.35">
      <c r="A48" s="917" t="s">
        <v>1737</v>
      </c>
      <c r="B48" s="917"/>
      <c r="C48" s="907" t="s">
        <v>1738</v>
      </c>
      <c r="D48" s="285"/>
      <c r="E48" s="285"/>
      <c r="F48" s="285"/>
      <c r="G48" s="285"/>
      <c r="H48" s="922">
        <f>Calculations!$G$759+Calculations!$G$1033</f>
        <v>0</v>
      </c>
      <c r="I48" s="922">
        <f>OFFSET(Calculations!$G$759,0,I$1)+OFFSET(Calculations!$G$1033,0,I$1)</f>
        <v>0</v>
      </c>
      <c r="J48" s="922">
        <f>OFFSET(Calculations!$G$759,0,J$1)+OFFSET(Calculations!$G$1033,0,J$1)</f>
        <v>0</v>
      </c>
      <c r="K48" s="922">
        <f>OFFSET(Calculations!$G$759,0,K$1)+OFFSET(Calculations!$G$1033,0,K$1)</f>
        <v>0</v>
      </c>
      <c r="L48" s="922">
        <f>OFFSET(Calculations!$G$759,0,L$1)+OFFSET(Calculations!$G$1033,0,L$1)</f>
        <v>0</v>
      </c>
      <c r="M48" s="922">
        <f>OFFSET(Calculations!$G$759,0,M$1)+OFFSET(Calculations!$G$1033,0,M$1)</f>
        <v>0</v>
      </c>
      <c r="N48" s="922">
        <f>OFFSET(Calculations!$G$759,0,N$1)+OFFSET(Calculations!$G$1033,0,N$1)</f>
        <v>0</v>
      </c>
      <c r="O48" s="285"/>
    </row>
    <row r="49" spans="1:15" ht="12.75" customHeight="1" x14ac:dyDescent="0.35">
      <c r="A49" s="907" t="s">
        <v>1739</v>
      </c>
      <c r="B49" s="907"/>
      <c r="C49" s="923" t="s">
        <v>1740</v>
      </c>
      <c r="D49" s="923"/>
      <c r="E49" s="923"/>
      <c r="F49" s="923"/>
      <c r="G49" s="923"/>
      <c r="H49" s="924">
        <f t="shared" ref="H49:N49" si="15">SUM(H43:H48)</f>
        <v>0</v>
      </c>
      <c r="I49" s="924">
        <f t="shared" si="15"/>
        <v>0</v>
      </c>
      <c r="J49" s="924">
        <f t="shared" ref="J49" si="16">SUM(J43:J48)</f>
        <v>0</v>
      </c>
      <c r="K49" s="924">
        <f t="shared" si="15"/>
        <v>0</v>
      </c>
      <c r="L49" s="924">
        <f t="shared" si="15"/>
        <v>0</v>
      </c>
      <c r="M49" s="924">
        <f t="shared" si="15"/>
        <v>0</v>
      </c>
      <c r="N49" s="924">
        <f t="shared" si="15"/>
        <v>0</v>
      </c>
      <c r="O49" s="921"/>
    </row>
    <row r="50" spans="1:15" ht="6" customHeight="1" x14ac:dyDescent="0.35">
      <c r="A50" s="917" t="s">
        <v>1741</v>
      </c>
      <c r="B50" s="917"/>
      <c r="C50" s="907"/>
      <c r="D50" s="285"/>
      <c r="E50" s="285"/>
      <c r="F50" s="285"/>
      <c r="G50" s="285"/>
      <c r="H50" s="285"/>
      <c r="I50" s="285"/>
      <c r="J50" s="285"/>
      <c r="K50" s="285"/>
      <c r="L50" s="285"/>
      <c r="M50" s="285"/>
      <c r="N50" s="285"/>
      <c r="O50" s="285"/>
    </row>
    <row r="51" spans="1:15" ht="12.75" customHeight="1" x14ac:dyDescent="0.35">
      <c r="A51" s="907" t="s">
        <v>1742</v>
      </c>
      <c r="B51" s="907"/>
      <c r="C51" s="917" t="s">
        <v>1743</v>
      </c>
      <c r="D51" s="285"/>
      <c r="E51" s="285"/>
      <c r="F51" s="285"/>
      <c r="G51" s="285"/>
      <c r="H51" s="285"/>
      <c r="I51" s="285"/>
      <c r="J51" s="285"/>
      <c r="K51" s="285"/>
      <c r="L51" s="285"/>
      <c r="M51" s="285"/>
      <c r="N51" s="285"/>
      <c r="O51" s="285"/>
    </row>
    <row r="52" spans="1:15" ht="12.75" customHeight="1" x14ac:dyDescent="0.35">
      <c r="A52" s="917" t="s">
        <v>1744</v>
      </c>
      <c r="B52" s="917"/>
      <c r="C52" s="907" t="s">
        <v>709</v>
      </c>
      <c r="D52" s="285"/>
      <c r="E52" s="285"/>
      <c r="F52" s="285"/>
      <c r="G52" s="285"/>
      <c r="H52" s="922">
        <f>Calculations!$G$769</f>
        <v>0</v>
      </c>
      <c r="I52" s="922">
        <f>OFFSET(Calculations!$G$769,0,I$1)</f>
        <v>0</v>
      </c>
      <c r="J52" s="922">
        <f>OFFSET(Calculations!$G$769,0,J$1)</f>
        <v>0</v>
      </c>
      <c r="K52" s="922">
        <f>OFFSET(Calculations!$G$769,0,K$1)</f>
        <v>0</v>
      </c>
      <c r="L52" s="922">
        <f>OFFSET(Calculations!$G$769,0,L$1)</f>
        <v>0</v>
      </c>
      <c r="M52" s="922">
        <f>OFFSET(Calculations!$G$769,0,M$1)</f>
        <v>0</v>
      </c>
      <c r="N52" s="922">
        <f>OFFSET(Calculations!$G$769,0,N$1)</f>
        <v>0</v>
      </c>
      <c r="O52" s="285"/>
    </row>
    <row r="53" spans="1:15" ht="12.75" customHeight="1" x14ac:dyDescent="0.35">
      <c r="A53" s="907" t="s">
        <v>1745</v>
      </c>
      <c r="B53" s="907"/>
      <c r="C53" s="907" t="s">
        <v>1746</v>
      </c>
      <c r="D53" s="285"/>
      <c r="E53" s="285"/>
      <c r="F53" s="285"/>
      <c r="G53" s="285"/>
      <c r="H53" s="922">
        <f>Calculations!$G$770+Calculations!$G$771+Calculations!$G$772+Calculations!$G$773</f>
        <v>0</v>
      </c>
      <c r="I53" s="922">
        <f>OFFSET(Calculations!$G$770,0,I$1)+OFFSET(Calculations!$G$771,0,I$1)+OFFSET(Calculations!$G$772,0,I$1)+OFFSET(Calculations!$G$773,0,I$1)</f>
        <v>0</v>
      </c>
      <c r="J53" s="922">
        <f>OFFSET(Calculations!$G$770,0,J$1)+OFFSET(Calculations!$G$771,0,J$1)+OFFSET(Calculations!$G$772,0,J$1)+OFFSET(Calculations!$G$773,0,J$1)</f>
        <v>0</v>
      </c>
      <c r="K53" s="922">
        <f>OFFSET(Calculations!$G$770,0,K$1)+OFFSET(Calculations!$G$771,0,K$1)+OFFSET(Calculations!$G$772,0,K$1)+OFFSET(Calculations!$G$773,0,K$1)</f>
        <v>0</v>
      </c>
      <c r="L53" s="922">
        <f>OFFSET(Calculations!$G$770,0,L$1)+OFFSET(Calculations!$G$771,0,L$1)+OFFSET(Calculations!$G$772,0,L$1)+OFFSET(Calculations!$G$773,0,L$1)</f>
        <v>0</v>
      </c>
      <c r="M53" s="922">
        <f>OFFSET(Calculations!$G$770,0,M$1)+OFFSET(Calculations!$G$771,0,M$1)+OFFSET(Calculations!$G$772,0,M$1)+OFFSET(Calculations!$G$773,0,M$1)</f>
        <v>0</v>
      </c>
      <c r="N53" s="922">
        <f>OFFSET(Calculations!$G$770,0,N$1)+OFFSET(Calculations!$G$771,0,N$1)+OFFSET(Calculations!$G$772,0,N$1)+OFFSET(Calculations!$G$773,0,N$1)</f>
        <v>0</v>
      </c>
      <c r="O53" s="285"/>
    </row>
    <row r="54" spans="1:15" ht="12.75" customHeight="1" x14ac:dyDescent="0.35">
      <c r="A54" s="917" t="s">
        <v>1747</v>
      </c>
      <c r="B54" s="917"/>
      <c r="C54" s="907" t="s">
        <v>1748</v>
      </c>
      <c r="D54" s="285"/>
      <c r="E54" s="285"/>
      <c r="F54" s="285"/>
      <c r="G54" s="285"/>
      <c r="H54" s="922">
        <f>Calculations!$G$774+Calculations!$G$790</f>
        <v>0</v>
      </c>
      <c r="I54" s="922">
        <f>OFFSET(Calculations!$G$774,0,I$1)+OFFSET(Calculations!$G$790,0,I$1)</f>
        <v>0</v>
      </c>
      <c r="J54" s="922">
        <f>OFFSET(Calculations!$G$774,0,J$1)+OFFSET(Calculations!$G$790,0,J$1)</f>
        <v>0</v>
      </c>
      <c r="K54" s="922">
        <f>OFFSET(Calculations!$G$774,0,K$1)+OFFSET(Calculations!$G$790,0,K$1)</f>
        <v>0</v>
      </c>
      <c r="L54" s="922">
        <f>OFFSET(Calculations!$G$774,0,L$1)+OFFSET(Calculations!$G$790,0,L$1)</f>
        <v>0</v>
      </c>
      <c r="M54" s="922">
        <f>OFFSET(Calculations!$G$774,0,M$1)+OFFSET(Calculations!$G$790,0,M$1)</f>
        <v>0</v>
      </c>
      <c r="N54" s="922">
        <f>OFFSET(Calculations!$G$774,0,N$1)+OFFSET(Calculations!$G$790,0,N$1)</f>
        <v>0</v>
      </c>
      <c r="O54" s="285"/>
    </row>
    <row r="55" spans="1:15" ht="12.75" customHeight="1" x14ac:dyDescent="0.35">
      <c r="A55" s="907" t="s">
        <v>566</v>
      </c>
      <c r="B55" s="907"/>
      <c r="C55" s="923" t="s">
        <v>1749</v>
      </c>
      <c r="D55" s="923"/>
      <c r="E55" s="923"/>
      <c r="F55" s="923"/>
      <c r="G55" s="923"/>
      <c r="H55" s="924">
        <f t="shared" ref="H55:N55" si="17">SUM(H52:H54)</f>
        <v>0</v>
      </c>
      <c r="I55" s="924">
        <f t="shared" si="17"/>
        <v>0</v>
      </c>
      <c r="J55" s="924">
        <f t="shared" ref="J55" si="18">SUM(J52:J54)</f>
        <v>0</v>
      </c>
      <c r="K55" s="924">
        <f t="shared" si="17"/>
        <v>0</v>
      </c>
      <c r="L55" s="924">
        <f t="shared" si="17"/>
        <v>0</v>
      </c>
      <c r="M55" s="924">
        <f t="shared" si="17"/>
        <v>0</v>
      </c>
      <c r="N55" s="924">
        <f t="shared" si="17"/>
        <v>0</v>
      </c>
      <c r="O55" s="921"/>
    </row>
    <row r="56" spans="1:15" ht="6" customHeight="1" x14ac:dyDescent="0.35">
      <c r="A56" s="917" t="s">
        <v>1750</v>
      </c>
      <c r="B56" s="917"/>
      <c r="C56" s="907"/>
      <c r="D56" s="285"/>
      <c r="E56" s="285"/>
      <c r="F56" s="285"/>
      <c r="G56" s="285"/>
      <c r="H56" s="285"/>
      <c r="I56" s="285"/>
      <c r="J56" s="285"/>
      <c r="K56" s="285"/>
      <c r="L56" s="285"/>
      <c r="M56" s="285"/>
      <c r="N56" s="285"/>
      <c r="O56" s="285"/>
    </row>
    <row r="57" spans="1:15" ht="13.5" customHeight="1" thickBot="1" x14ac:dyDescent="0.4">
      <c r="A57" s="907" t="s">
        <v>568</v>
      </c>
      <c r="B57" s="907"/>
      <c r="C57" s="934" t="s">
        <v>1751</v>
      </c>
      <c r="D57" s="934"/>
      <c r="E57" s="934"/>
      <c r="F57" s="934"/>
      <c r="G57" s="934"/>
      <c r="H57" s="935">
        <f t="shared" ref="H57:N57" si="19">H49+H55</f>
        <v>0</v>
      </c>
      <c r="I57" s="935">
        <f t="shared" si="19"/>
        <v>0</v>
      </c>
      <c r="J57" s="935">
        <f t="shared" ref="J57" si="20">J49+J55</f>
        <v>0</v>
      </c>
      <c r="K57" s="935">
        <f t="shared" si="19"/>
        <v>0</v>
      </c>
      <c r="L57" s="935">
        <f t="shared" si="19"/>
        <v>0</v>
      </c>
      <c r="M57" s="935">
        <f t="shared" si="19"/>
        <v>0</v>
      </c>
      <c r="N57" s="935">
        <f t="shared" si="19"/>
        <v>0</v>
      </c>
      <c r="O57" s="921"/>
    </row>
    <row r="58" spans="1:15" ht="6" customHeight="1" thickTop="1" x14ac:dyDescent="0.35">
      <c r="A58" s="917" t="s">
        <v>572</v>
      </c>
      <c r="B58" s="917"/>
      <c r="C58" s="917"/>
      <c r="D58" s="285"/>
      <c r="E58" s="285"/>
      <c r="F58" s="285"/>
      <c r="G58" s="285"/>
      <c r="H58" s="285"/>
      <c r="I58" s="285"/>
      <c r="J58" s="285"/>
      <c r="K58" s="285"/>
      <c r="L58" s="285"/>
      <c r="M58" s="285"/>
      <c r="N58" s="285"/>
      <c r="O58" s="285"/>
    </row>
    <row r="59" spans="1:15" ht="12.75" customHeight="1" x14ac:dyDescent="0.35">
      <c r="A59" s="907" t="s">
        <v>711</v>
      </c>
      <c r="B59" s="907"/>
      <c r="C59" s="917" t="s">
        <v>1752</v>
      </c>
      <c r="D59" s="252"/>
      <c r="E59" s="252"/>
      <c r="F59" s="252"/>
      <c r="G59" s="252"/>
      <c r="H59" s="252"/>
      <c r="I59" s="252"/>
      <c r="J59" s="252"/>
      <c r="K59" s="252"/>
      <c r="L59" s="252"/>
      <c r="M59" s="252"/>
      <c r="N59" s="252"/>
      <c r="O59" s="252"/>
    </row>
    <row r="60" spans="1:15" ht="12.75" customHeight="1" x14ac:dyDescent="0.35">
      <c r="A60" s="917" t="s">
        <v>576</v>
      </c>
      <c r="B60" s="917"/>
      <c r="C60" s="917" t="s">
        <v>1753</v>
      </c>
      <c r="D60" s="285"/>
      <c r="E60" s="285"/>
      <c r="F60" s="285"/>
      <c r="G60" s="285"/>
      <c r="H60" s="285"/>
      <c r="I60" s="285"/>
      <c r="J60" s="285"/>
      <c r="K60" s="285"/>
      <c r="L60" s="285"/>
      <c r="M60" s="285"/>
      <c r="N60" s="285"/>
      <c r="O60" s="285"/>
    </row>
    <row r="61" spans="1:15" ht="12.75" customHeight="1" x14ac:dyDescent="0.35">
      <c r="A61" s="907" t="s">
        <v>582</v>
      </c>
      <c r="B61" s="907"/>
      <c r="C61" s="289" t="s">
        <v>425</v>
      </c>
      <c r="D61" s="285"/>
      <c r="E61" s="285"/>
      <c r="F61" s="285"/>
      <c r="G61" s="285"/>
      <c r="H61" s="922">
        <f>Calculations!$G$795+IF(InvFileType&lt;&gt;2,Calculations!$G$927,0)</f>
        <v>0</v>
      </c>
      <c r="I61" s="922">
        <f>OFFSET(Calculations!$G$795,0,I$1)+IF(InvFileType&lt;&gt;2,OFFSET(Calculations!$G$927,0,I$1),0)</f>
        <v>0</v>
      </c>
      <c r="J61" s="922">
        <f>OFFSET(Calculations!$G$795,0,J$1)+IF(InvFileType&lt;&gt;2,OFFSET(Calculations!$G$927,0,J$1),0)</f>
        <v>0</v>
      </c>
      <c r="K61" s="922">
        <f>OFFSET(Calculations!$G$795,0,K$1)+IF(InvFileType&lt;&gt;2,OFFSET(Calculations!$G$927,0,K$1),0)</f>
        <v>0</v>
      </c>
      <c r="L61" s="922">
        <f>OFFSET(Calculations!$G$795,0,L$1)+IF(InvFileType&lt;&gt;2,OFFSET(Calculations!$G$927,0,L$1),0)</f>
        <v>0</v>
      </c>
      <c r="M61" s="922">
        <f>OFFSET(Calculations!$G$795,0,M$1)+IF(InvFileType&lt;&gt;2,OFFSET(Calculations!$G$927,0,M$1),0)</f>
        <v>0</v>
      </c>
      <c r="N61" s="922">
        <f>OFFSET(Calculations!$G$795,0,N$1)+IF(InvFileType&lt;&gt;2,OFFSET(Calculations!$G$927,0,N$1),0)</f>
        <v>0</v>
      </c>
      <c r="O61" s="285"/>
    </row>
    <row r="62" spans="1:15" ht="12.75" customHeight="1" x14ac:dyDescent="0.35">
      <c r="A62" s="917" t="s">
        <v>584</v>
      </c>
      <c r="B62" s="917"/>
      <c r="C62" s="289" t="s">
        <v>1754</v>
      </c>
      <c r="D62" s="285"/>
      <c r="E62" s="285"/>
      <c r="F62" s="285"/>
      <c r="G62" s="285"/>
      <c r="H62" s="922">
        <f>Calculations!$G$800-H61</f>
        <v>0</v>
      </c>
      <c r="I62" s="922">
        <f>OFFSET(Calculations!$G$800,0,I$1)-I61</f>
        <v>0</v>
      </c>
      <c r="J62" s="922">
        <f>OFFSET(Calculations!$G$800,0,J$1)-J61</f>
        <v>0</v>
      </c>
      <c r="K62" s="922">
        <f>OFFSET(Calculations!$G$800,0,K$1)-K61</f>
        <v>0</v>
      </c>
      <c r="L62" s="922">
        <f>OFFSET(Calculations!$G$800,0,L$1)-L61</f>
        <v>0</v>
      </c>
      <c r="M62" s="922">
        <f>OFFSET(Calculations!$G$800,0,M$1)-M61</f>
        <v>0</v>
      </c>
      <c r="N62" s="922">
        <f>OFFSET(Calculations!$G$800,0,N$1)-N61</f>
        <v>0</v>
      </c>
      <c r="O62" s="285"/>
    </row>
    <row r="63" spans="1:15" ht="12.75" customHeight="1" x14ac:dyDescent="0.35">
      <c r="A63" s="907" t="s">
        <v>587</v>
      </c>
      <c r="B63" s="907"/>
      <c r="C63" s="923" t="s">
        <v>1755</v>
      </c>
      <c r="D63" s="923"/>
      <c r="E63" s="923"/>
      <c r="F63" s="923"/>
      <c r="G63" s="923"/>
      <c r="H63" s="924">
        <f t="shared" ref="H63:N63" si="21">H61+H62</f>
        <v>0</v>
      </c>
      <c r="I63" s="924">
        <f t="shared" si="21"/>
        <v>0</v>
      </c>
      <c r="J63" s="924">
        <f t="shared" ref="J63" si="22">J61+J62</f>
        <v>0</v>
      </c>
      <c r="K63" s="924">
        <f t="shared" si="21"/>
        <v>0</v>
      </c>
      <c r="L63" s="924">
        <f t="shared" si="21"/>
        <v>0</v>
      </c>
      <c r="M63" s="924">
        <f t="shared" si="21"/>
        <v>0</v>
      </c>
      <c r="N63" s="924">
        <f t="shared" si="21"/>
        <v>0</v>
      </c>
      <c r="O63" s="921"/>
    </row>
    <row r="64" spans="1:15" ht="12.75" customHeight="1" x14ac:dyDescent="0.35">
      <c r="A64" s="917" t="s">
        <v>594</v>
      </c>
      <c r="B64" s="917"/>
      <c r="C64" s="289" t="s">
        <v>633</v>
      </c>
      <c r="D64" s="285"/>
      <c r="E64" s="285"/>
      <c r="F64" s="285"/>
      <c r="G64" s="285"/>
      <c r="H64" s="922">
        <f>Calculations!$G$803+Calculations!$G$826</f>
        <v>0</v>
      </c>
      <c r="I64" s="922">
        <f>OFFSET(Calculations!$G$803,0,I$1)+OFFSET(Calculations!$G$826,0,I$1)</f>
        <v>0</v>
      </c>
      <c r="J64" s="922">
        <f>OFFSET(Calculations!$G$803,0,J$1)+OFFSET(Calculations!$G$826,0,J$1)</f>
        <v>0</v>
      </c>
      <c r="K64" s="922">
        <f>OFFSET(Calculations!$G$803,0,K$1)+OFFSET(Calculations!$G$826,0,K$1)</f>
        <v>0</v>
      </c>
      <c r="L64" s="922">
        <f>OFFSET(Calculations!$G$803,0,L$1)+OFFSET(Calculations!$G$826,0,L$1)</f>
        <v>0</v>
      </c>
      <c r="M64" s="922">
        <f>OFFSET(Calculations!$G$803,0,M$1)+OFFSET(Calculations!$G$826,0,M$1)</f>
        <v>0</v>
      </c>
      <c r="N64" s="922">
        <f>OFFSET(Calculations!$G$803,0,N$1)+OFFSET(Calculations!$G$826,0,N$1)</f>
        <v>0</v>
      </c>
      <c r="O64" s="285"/>
    </row>
    <row r="65" spans="1:15" ht="12.75" customHeight="1" x14ac:dyDescent="0.35">
      <c r="A65" s="907" t="s">
        <v>599</v>
      </c>
      <c r="B65" s="907"/>
      <c r="C65" s="923" t="s">
        <v>1756</v>
      </c>
      <c r="D65" s="936"/>
      <c r="E65" s="936"/>
      <c r="F65" s="936"/>
      <c r="G65" s="936"/>
      <c r="H65" s="924">
        <f t="shared" ref="H65:N65" si="23">H63+H64</f>
        <v>0</v>
      </c>
      <c r="I65" s="924">
        <f t="shared" si="23"/>
        <v>0</v>
      </c>
      <c r="J65" s="924">
        <f t="shared" ref="J65" si="24">J63+J64</f>
        <v>0</v>
      </c>
      <c r="K65" s="924">
        <f t="shared" si="23"/>
        <v>0</v>
      </c>
      <c r="L65" s="924">
        <f t="shared" si="23"/>
        <v>0</v>
      </c>
      <c r="M65" s="924">
        <f t="shared" si="23"/>
        <v>0</v>
      </c>
      <c r="N65" s="924">
        <f t="shared" si="23"/>
        <v>0</v>
      </c>
      <c r="O65" s="285"/>
    </row>
    <row r="66" spans="1:15" ht="6" customHeight="1" x14ac:dyDescent="0.35">
      <c r="A66" s="917" t="s">
        <v>1757</v>
      </c>
      <c r="B66" s="917"/>
      <c r="C66" s="917"/>
      <c r="D66" s="285"/>
      <c r="E66" s="285"/>
      <c r="F66" s="285"/>
      <c r="G66" s="285"/>
      <c r="H66" s="937"/>
      <c r="I66" s="937"/>
      <c r="J66" s="937"/>
      <c r="K66" s="937"/>
      <c r="L66" s="937"/>
      <c r="M66" s="937"/>
      <c r="N66" s="937"/>
      <c r="O66" s="285"/>
    </row>
    <row r="67" spans="1:15" ht="12.75" customHeight="1" x14ac:dyDescent="0.35">
      <c r="A67" s="907" t="s">
        <v>607</v>
      </c>
      <c r="B67" s="907"/>
      <c r="C67" s="917" t="s">
        <v>1758</v>
      </c>
      <c r="D67" s="921"/>
      <c r="E67" s="921"/>
      <c r="F67" s="921"/>
      <c r="G67" s="921"/>
      <c r="H67" s="921"/>
      <c r="I67" s="921"/>
      <c r="J67" s="921"/>
      <c r="K67" s="921"/>
      <c r="L67" s="921"/>
      <c r="M67" s="921"/>
      <c r="N67" s="921"/>
      <c r="O67" s="921"/>
    </row>
    <row r="68" spans="1:15" ht="12.75" customHeight="1" x14ac:dyDescent="0.35">
      <c r="A68" s="917" t="s">
        <v>616</v>
      </c>
      <c r="B68" s="917"/>
      <c r="C68" s="917" t="s">
        <v>1759</v>
      </c>
      <c r="D68" s="285"/>
      <c r="E68" s="285"/>
      <c r="F68" s="285"/>
      <c r="G68" s="285"/>
      <c r="H68" s="285"/>
      <c r="I68" s="285"/>
      <c r="J68" s="285"/>
      <c r="K68" s="285"/>
      <c r="L68" s="285"/>
      <c r="M68" s="285"/>
      <c r="N68" s="285"/>
      <c r="O68" s="285"/>
    </row>
    <row r="69" spans="1:15" ht="12.75" customHeight="1" x14ac:dyDescent="0.35">
      <c r="A69" s="907" t="s">
        <v>620</v>
      </c>
      <c r="B69" s="907"/>
      <c r="C69" s="289" t="s">
        <v>1760</v>
      </c>
      <c r="D69" s="285"/>
      <c r="E69" s="285"/>
      <c r="F69" s="285"/>
      <c r="G69" s="285"/>
      <c r="H69" s="922">
        <f>Calculations!$G$806+Calculations!$G$807+Calculations!$G$828</f>
        <v>0</v>
      </c>
      <c r="I69" s="922">
        <f>OFFSET(Calculations!$G$806,0,I$1)+OFFSET(Calculations!$G$807,0,I$1)+OFFSET(Calculations!$G$828,0,I$1)</f>
        <v>0</v>
      </c>
      <c r="J69" s="922">
        <f>OFFSET(Calculations!$G$806,0,J$1)+OFFSET(Calculations!$G$807,0,J$1)+OFFSET(Calculations!$G$828,0,J$1)</f>
        <v>0</v>
      </c>
      <c r="K69" s="922">
        <f>OFFSET(Calculations!$G$806,0,K$1)+OFFSET(Calculations!$G$807,0,K$1)+OFFSET(Calculations!$G$828,0,K$1)</f>
        <v>0</v>
      </c>
      <c r="L69" s="922">
        <f>OFFSET(Calculations!$G$806,0,L$1)+OFFSET(Calculations!$G$807,0,L$1)+OFFSET(Calculations!$G$828,0,L$1)</f>
        <v>0</v>
      </c>
      <c r="M69" s="922">
        <f>OFFSET(Calculations!$G$806,0,M$1)+OFFSET(Calculations!$G$807,0,M$1)+OFFSET(Calculations!$G$828,0,M$1)</f>
        <v>0</v>
      </c>
      <c r="N69" s="922">
        <f>OFFSET(Calculations!$G$806,0,N$1)+OFFSET(Calculations!$G$807,0,N$1)+OFFSET(Calculations!$G$828,0,N$1)</f>
        <v>0</v>
      </c>
      <c r="O69" s="285"/>
    </row>
    <row r="70" spans="1:15" ht="12.75" customHeight="1" x14ac:dyDescent="0.35">
      <c r="A70" s="917" t="s">
        <v>1761</v>
      </c>
      <c r="B70" s="917"/>
      <c r="C70" s="289" t="s">
        <v>981</v>
      </c>
      <c r="D70" s="285"/>
      <c r="E70" s="285"/>
      <c r="F70" s="285"/>
      <c r="G70" s="285"/>
      <c r="H70" s="922">
        <f>Calculations!$G$809+Calculations!$G$827</f>
        <v>0</v>
      </c>
      <c r="I70" s="922">
        <f>OFFSET(Calculations!$G$809,0,I$1)+OFFSET(Calculations!$G$827,0,I$1)</f>
        <v>0</v>
      </c>
      <c r="J70" s="922">
        <f>OFFSET(Calculations!$G$809,0,J$1)+OFFSET(Calculations!$G$827,0,J$1)</f>
        <v>0</v>
      </c>
      <c r="K70" s="922">
        <f>OFFSET(Calculations!$G$809,0,K$1)+OFFSET(Calculations!$G$827,0,K$1)</f>
        <v>0</v>
      </c>
      <c r="L70" s="922">
        <f>OFFSET(Calculations!$G$809,0,L$1)+OFFSET(Calculations!$G$827,0,L$1)</f>
        <v>0</v>
      </c>
      <c r="M70" s="922">
        <f>OFFSET(Calculations!$G$809,0,M$1)+OFFSET(Calculations!$G$827,0,M$1)</f>
        <v>0</v>
      </c>
      <c r="N70" s="922">
        <f>OFFSET(Calculations!$G$809,0,N$1)+OFFSET(Calculations!$G$827,0,N$1)</f>
        <v>0</v>
      </c>
      <c r="O70" s="285"/>
    </row>
    <row r="71" spans="1:15" ht="12.75" customHeight="1" x14ac:dyDescent="0.35">
      <c r="A71" s="907" t="s">
        <v>1762</v>
      </c>
      <c r="B71" s="907"/>
      <c r="C71" s="289" t="s">
        <v>970</v>
      </c>
      <c r="D71" s="285"/>
      <c r="E71" s="285"/>
      <c r="F71" s="285"/>
      <c r="G71" s="285"/>
      <c r="H71" s="922">
        <f>Calculations!$G$801+Calculations!$G$802</f>
        <v>0</v>
      </c>
      <c r="I71" s="922">
        <f>OFFSET(Calculations!$G$801,0,I$1)+OFFSET(Calculations!$G$802,0,I$1)</f>
        <v>0</v>
      </c>
      <c r="J71" s="922">
        <f>OFFSET(Calculations!$G$801,0,J$1)+OFFSET(Calculations!$G$802,0,J$1)</f>
        <v>0</v>
      </c>
      <c r="K71" s="922">
        <f>OFFSET(Calculations!$G$801,0,K$1)+OFFSET(Calculations!$G$802,0,K$1)</f>
        <v>0</v>
      </c>
      <c r="L71" s="922">
        <f>OFFSET(Calculations!$G$801,0,L$1)+OFFSET(Calculations!$G$802,0,L$1)</f>
        <v>0</v>
      </c>
      <c r="M71" s="922">
        <f>OFFSET(Calculations!$G$801,0,M$1)+OFFSET(Calculations!$G$802,0,M$1)</f>
        <v>0</v>
      </c>
      <c r="N71" s="922">
        <f>OFFSET(Calculations!$G$801,0,N$1)+OFFSET(Calculations!$G$802,0,N$1)</f>
        <v>0</v>
      </c>
      <c r="O71" s="285"/>
    </row>
    <row r="72" spans="1:15" ht="12.75" customHeight="1" x14ac:dyDescent="0.35">
      <c r="A72" s="917" t="s">
        <v>630</v>
      </c>
      <c r="B72" s="917"/>
      <c r="C72" s="289" t="s">
        <v>1763</v>
      </c>
      <c r="D72" s="285"/>
      <c r="E72" s="285"/>
      <c r="F72" s="285"/>
      <c r="G72" s="285"/>
      <c r="H72" s="922">
        <f>Calculations!$G$808+Calculations!$G$810</f>
        <v>0</v>
      </c>
      <c r="I72" s="922">
        <f>OFFSET(Calculations!$G$808,0,I$1)+OFFSET(Calculations!$G$810,0,I$1)</f>
        <v>0</v>
      </c>
      <c r="J72" s="922">
        <f>OFFSET(Calculations!$G$808,0,J$1)+OFFSET(Calculations!$G$810,0,J$1)</f>
        <v>0</v>
      </c>
      <c r="K72" s="922">
        <f>OFFSET(Calculations!$G$808,0,K$1)+OFFSET(Calculations!$G$810,0,K$1)</f>
        <v>0</v>
      </c>
      <c r="L72" s="922">
        <f>OFFSET(Calculations!$G$808,0,L$1)+OFFSET(Calculations!$G$810,0,L$1)</f>
        <v>0</v>
      </c>
      <c r="M72" s="922">
        <f>OFFSET(Calculations!$G$808,0,M$1)+OFFSET(Calculations!$G$810,0,M$1)</f>
        <v>0</v>
      </c>
      <c r="N72" s="922">
        <f>OFFSET(Calculations!$G$808,0,N$1)+OFFSET(Calculations!$G$810,0,N$1)</f>
        <v>0</v>
      </c>
      <c r="O72" s="285"/>
    </row>
    <row r="73" spans="1:15" ht="12.75" customHeight="1" x14ac:dyDescent="0.35">
      <c r="A73" s="907" t="s">
        <v>637</v>
      </c>
      <c r="B73" s="907"/>
      <c r="C73" s="923" t="s">
        <v>1764</v>
      </c>
      <c r="D73" s="923"/>
      <c r="E73" s="923"/>
      <c r="F73" s="923"/>
      <c r="G73" s="923"/>
      <c r="H73" s="924">
        <f t="shared" ref="H73:N73" si="25">SUM(H69:H72)</f>
        <v>0</v>
      </c>
      <c r="I73" s="924">
        <f t="shared" si="25"/>
        <v>0</v>
      </c>
      <c r="J73" s="924">
        <f t="shared" ref="J73" si="26">SUM(J69:J72)</f>
        <v>0</v>
      </c>
      <c r="K73" s="924">
        <f t="shared" si="25"/>
        <v>0</v>
      </c>
      <c r="L73" s="924">
        <f t="shared" si="25"/>
        <v>0</v>
      </c>
      <c r="M73" s="924">
        <f t="shared" si="25"/>
        <v>0</v>
      </c>
      <c r="N73" s="924">
        <f t="shared" si="25"/>
        <v>0</v>
      </c>
      <c r="O73" s="285"/>
    </row>
    <row r="74" spans="1:15" ht="6" customHeight="1" x14ac:dyDescent="0.35">
      <c r="A74" s="917" t="s">
        <v>1212</v>
      </c>
      <c r="B74" s="917"/>
      <c r="C74" s="907"/>
      <c r="D74" s="285"/>
      <c r="E74" s="285"/>
      <c r="F74" s="285"/>
      <c r="G74" s="285"/>
      <c r="H74" s="285"/>
      <c r="I74" s="285"/>
      <c r="J74" s="285"/>
      <c r="K74" s="285"/>
      <c r="L74" s="285"/>
      <c r="M74" s="285"/>
      <c r="N74" s="285"/>
      <c r="O74" s="285"/>
    </row>
    <row r="75" spans="1:15" ht="12.75" customHeight="1" x14ac:dyDescent="0.35">
      <c r="A75" s="907" t="s">
        <v>1214</v>
      </c>
      <c r="B75" s="907"/>
      <c r="C75" s="917" t="s">
        <v>716</v>
      </c>
      <c r="D75" s="285"/>
      <c r="E75" s="285"/>
      <c r="F75" s="285"/>
      <c r="G75" s="285"/>
      <c r="H75" s="285"/>
      <c r="I75" s="285"/>
      <c r="J75" s="285"/>
      <c r="K75" s="285"/>
      <c r="L75" s="285"/>
      <c r="M75" s="285"/>
      <c r="N75" s="285"/>
      <c r="O75" s="285"/>
    </row>
    <row r="76" spans="1:15" ht="12.75" customHeight="1" x14ac:dyDescent="0.35">
      <c r="A76" s="917" t="s">
        <v>1765</v>
      </c>
      <c r="B76" s="917"/>
      <c r="C76" s="907" t="s">
        <v>1760</v>
      </c>
      <c r="D76" s="285"/>
      <c r="E76" s="285"/>
      <c r="F76" s="285"/>
      <c r="G76" s="285"/>
      <c r="H76" s="922">
        <f>Calculations!$G$812+Calculations!$G$829</f>
        <v>0</v>
      </c>
      <c r="I76" s="922">
        <f>OFFSET(Calculations!$G$812,0,I$1)+OFFSET(Calculations!$G$829,0,I$1)</f>
        <v>0</v>
      </c>
      <c r="J76" s="922">
        <f>OFFSET(Calculations!$G$812,0,J$1)+OFFSET(Calculations!$G$829,0,J$1)</f>
        <v>0</v>
      </c>
      <c r="K76" s="922">
        <f>OFFSET(Calculations!$G$812,0,K$1)+OFFSET(Calculations!$G$829,0,K$1)</f>
        <v>0</v>
      </c>
      <c r="L76" s="922">
        <f>OFFSET(Calculations!$G$812,0,L$1)+OFFSET(Calculations!$G$829,0,L$1)</f>
        <v>0</v>
      </c>
      <c r="M76" s="922">
        <f>OFFSET(Calculations!$G$812,0,M$1)+OFFSET(Calculations!$G$829,0,M$1)</f>
        <v>0</v>
      </c>
      <c r="N76" s="922">
        <f>OFFSET(Calculations!$G$812,0,N$1)+OFFSET(Calculations!$G$829,0,N$1)</f>
        <v>0</v>
      </c>
      <c r="O76" s="285"/>
    </row>
    <row r="77" spans="1:15" ht="12.75" customHeight="1" x14ac:dyDescent="0.35">
      <c r="A77" s="907" t="s">
        <v>1766</v>
      </c>
      <c r="B77" s="907"/>
      <c r="C77" s="907" t="s">
        <v>1767</v>
      </c>
      <c r="D77" s="285"/>
      <c r="E77" s="285"/>
      <c r="F77" s="285"/>
      <c r="G77" s="285"/>
      <c r="H77" s="922">
        <f>Calculations!$G$821</f>
        <v>0</v>
      </c>
      <c r="I77" s="922">
        <f>OFFSET(Calculations!$G$821,0,I$1)</f>
        <v>0</v>
      </c>
      <c r="J77" s="922">
        <f>OFFSET(Calculations!$G$821,0,J$1)</f>
        <v>0</v>
      </c>
      <c r="K77" s="922">
        <f>OFFSET(Calculations!$G$821,0,K$1)</f>
        <v>0</v>
      </c>
      <c r="L77" s="922">
        <f>OFFSET(Calculations!$G$821,0,L$1)</f>
        <v>0</v>
      </c>
      <c r="M77" s="922">
        <f>OFFSET(Calculations!$G$821,0,M$1)</f>
        <v>0</v>
      </c>
      <c r="N77" s="922">
        <f>OFFSET(Calculations!$G$821,0,N$1)</f>
        <v>0</v>
      </c>
      <c r="O77" s="285"/>
    </row>
    <row r="78" spans="1:15" ht="12.75" customHeight="1" x14ac:dyDescent="0.35">
      <c r="A78" s="917" t="s">
        <v>1768</v>
      </c>
      <c r="B78" s="917"/>
      <c r="C78" s="907" t="s">
        <v>1769</v>
      </c>
      <c r="D78" s="285"/>
      <c r="E78" s="285"/>
      <c r="F78" s="285"/>
      <c r="G78" s="285"/>
      <c r="H78" s="922">
        <f>Calculations!$G$816+Calculations!$G$817+Calculations!$G$818+Calculations!$G$819+Calculations!$G$820</f>
        <v>0</v>
      </c>
      <c r="I78" s="922">
        <f>OFFSET(Calculations!$G$816,0,I$1)+OFFSET(Calculations!$G$817,0,I$1)+OFFSET(Calculations!$G$818,0,I$1)+OFFSET(Calculations!$G$819,0,I$1)+OFFSET(Calculations!$G$820,0,I$1)</f>
        <v>0</v>
      </c>
      <c r="J78" s="922">
        <f>OFFSET(Calculations!$G$816,0,J$1)+OFFSET(Calculations!$G$817,0,J$1)+OFFSET(Calculations!$G$818,0,J$1)+OFFSET(Calculations!$G$819,0,J$1)+OFFSET(Calculations!$G$820,0,J$1)</f>
        <v>0</v>
      </c>
      <c r="K78" s="922">
        <f>OFFSET(Calculations!$G$816,0,K$1)+OFFSET(Calculations!$G$817,0,K$1)+OFFSET(Calculations!$G$818,0,K$1)+OFFSET(Calculations!$G$819,0,K$1)+OFFSET(Calculations!$G$820,0,K$1)</f>
        <v>0</v>
      </c>
      <c r="L78" s="922">
        <f>OFFSET(Calculations!$G$816,0,L$1)+OFFSET(Calculations!$G$817,0,L$1)+OFFSET(Calculations!$G$818,0,L$1)+OFFSET(Calculations!$G$819,0,L$1)+OFFSET(Calculations!$G$820,0,L$1)</f>
        <v>0</v>
      </c>
      <c r="M78" s="922">
        <f>OFFSET(Calculations!$G$816,0,M$1)+OFFSET(Calculations!$G$817,0,M$1)+OFFSET(Calculations!$G$818,0,M$1)+OFFSET(Calculations!$G$819,0,M$1)+OFFSET(Calculations!$G$820,0,M$1)</f>
        <v>0</v>
      </c>
      <c r="N78" s="922">
        <f>OFFSET(Calculations!$G$816,0,N$1)+OFFSET(Calculations!$G$817,0,N$1)+OFFSET(Calculations!$G$818,0,N$1)+OFFSET(Calculations!$G$819,0,N$1)+OFFSET(Calculations!$G$820,0,N$1)</f>
        <v>0</v>
      </c>
      <c r="O78" s="285"/>
    </row>
    <row r="79" spans="1:15" ht="12.75" customHeight="1" x14ac:dyDescent="0.35">
      <c r="A79" s="907" t="s">
        <v>1770</v>
      </c>
      <c r="B79" s="907"/>
      <c r="C79" s="923" t="s">
        <v>1771</v>
      </c>
      <c r="D79" s="923"/>
      <c r="E79" s="923"/>
      <c r="F79" s="923"/>
      <c r="G79" s="923"/>
      <c r="H79" s="924">
        <f t="shared" ref="H79:N79" si="27">SUM(H76:H78)</f>
        <v>0</v>
      </c>
      <c r="I79" s="924">
        <f t="shared" si="27"/>
        <v>0</v>
      </c>
      <c r="J79" s="924">
        <f t="shared" ref="J79" si="28">SUM(J76:J78)</f>
        <v>0</v>
      </c>
      <c r="K79" s="924">
        <f t="shared" si="27"/>
        <v>0</v>
      </c>
      <c r="L79" s="924">
        <f t="shared" si="27"/>
        <v>0</v>
      </c>
      <c r="M79" s="924">
        <f t="shared" si="27"/>
        <v>0</v>
      </c>
      <c r="N79" s="924">
        <f t="shared" si="27"/>
        <v>0</v>
      </c>
      <c r="O79" s="921"/>
    </row>
    <row r="80" spans="1:15" ht="6" customHeight="1" x14ac:dyDescent="0.35">
      <c r="A80" s="917" t="s">
        <v>1772</v>
      </c>
      <c r="B80" s="917"/>
      <c r="C80" s="907"/>
      <c r="D80" s="285"/>
      <c r="E80" s="285"/>
      <c r="F80" s="285"/>
      <c r="G80" s="285"/>
      <c r="H80" s="285"/>
      <c r="I80" s="285"/>
      <c r="J80" s="285"/>
      <c r="K80" s="285"/>
      <c r="L80" s="285"/>
      <c r="M80" s="285"/>
      <c r="N80" s="285"/>
      <c r="O80" s="285"/>
    </row>
    <row r="81" spans="1:15" ht="12.75" customHeight="1" x14ac:dyDescent="0.35">
      <c r="A81" s="907" t="s">
        <v>1773</v>
      </c>
      <c r="B81" s="907"/>
      <c r="C81" s="923" t="s">
        <v>1002</v>
      </c>
      <c r="D81" s="923"/>
      <c r="E81" s="923"/>
      <c r="F81" s="923"/>
      <c r="G81" s="923"/>
      <c r="H81" s="924">
        <f t="shared" ref="H81:N81" si="29">H73+H79</f>
        <v>0</v>
      </c>
      <c r="I81" s="924">
        <f t="shared" si="29"/>
        <v>0</v>
      </c>
      <c r="J81" s="924">
        <f t="shared" ref="J81" si="30">J73+J79</f>
        <v>0</v>
      </c>
      <c r="K81" s="924">
        <f t="shared" si="29"/>
        <v>0</v>
      </c>
      <c r="L81" s="924">
        <f t="shared" si="29"/>
        <v>0</v>
      </c>
      <c r="M81" s="924">
        <f t="shared" si="29"/>
        <v>0</v>
      </c>
      <c r="N81" s="924">
        <f t="shared" si="29"/>
        <v>0</v>
      </c>
      <c r="O81" s="921"/>
    </row>
    <row r="82" spans="1:15" ht="6" customHeight="1" x14ac:dyDescent="0.35">
      <c r="A82" s="917" t="s">
        <v>1774</v>
      </c>
      <c r="B82" s="917"/>
      <c r="C82" s="917"/>
      <c r="D82" s="285"/>
      <c r="E82" s="285"/>
      <c r="F82" s="285"/>
      <c r="G82" s="285"/>
      <c r="H82" s="285"/>
      <c r="I82" s="285"/>
      <c r="J82" s="285"/>
      <c r="K82" s="285"/>
      <c r="L82" s="285"/>
      <c r="M82" s="285"/>
      <c r="N82" s="285"/>
      <c r="O82" s="285"/>
    </row>
    <row r="83" spans="1:15" ht="13.5" customHeight="1" thickBot="1" x14ac:dyDescent="0.4">
      <c r="A83" s="907" t="s">
        <v>1775</v>
      </c>
      <c r="B83" s="907"/>
      <c r="C83" s="934" t="s">
        <v>1776</v>
      </c>
      <c r="D83" s="934"/>
      <c r="E83" s="934"/>
      <c r="F83" s="934"/>
      <c r="G83" s="934"/>
      <c r="H83" s="935">
        <f t="shared" ref="H83:N83" si="31">H65+H81</f>
        <v>0</v>
      </c>
      <c r="I83" s="935">
        <f t="shared" si="31"/>
        <v>0</v>
      </c>
      <c r="J83" s="935">
        <f t="shared" ref="J83" si="32">J65+J81</f>
        <v>0</v>
      </c>
      <c r="K83" s="935">
        <f t="shared" si="31"/>
        <v>0</v>
      </c>
      <c r="L83" s="935">
        <f t="shared" si="31"/>
        <v>0</v>
      </c>
      <c r="M83" s="935">
        <f t="shared" si="31"/>
        <v>0</v>
      </c>
      <c r="N83" s="935">
        <f t="shared" si="31"/>
        <v>0</v>
      </c>
      <c r="O83" s="921"/>
    </row>
    <row r="84" spans="1:15" ht="20.149999999999999" customHeight="1" thickTop="1" x14ac:dyDescent="0.35">
      <c r="A84" s="917" t="s">
        <v>1777</v>
      </c>
      <c r="B84" s="917"/>
      <c r="C84" s="915" t="str">
        <f>$C$5</f>
        <v/>
      </c>
      <c r="D84" s="285"/>
      <c r="E84" s="285"/>
      <c r="F84" s="285"/>
      <c r="G84" s="916" t="str">
        <f>$G$5</f>
        <v/>
      </c>
      <c r="H84" s="285"/>
      <c r="I84" s="285"/>
      <c r="J84" s="285"/>
      <c r="K84" s="285"/>
      <c r="L84" s="285"/>
      <c r="M84" s="285"/>
      <c r="N84" s="285"/>
      <c r="O84" s="285"/>
    </row>
    <row r="85" spans="1:15" ht="18" customHeight="1" x14ac:dyDescent="0.4">
      <c r="A85" s="907" t="s">
        <v>1778</v>
      </c>
      <c r="B85" s="907"/>
      <c r="C85" s="918" t="s">
        <v>4913</v>
      </c>
      <c r="D85" s="919"/>
      <c r="E85" s="919"/>
      <c r="F85" s="919"/>
      <c r="G85" s="920"/>
      <c r="H85" s="920" t="str">
        <f t="shared" ref="H85:N85" si="33">H$6</f>
        <v>1/2019</v>
      </c>
      <c r="I85" s="920" t="str">
        <f t="shared" si="33"/>
        <v>12/2019</v>
      </c>
      <c r="J85" s="920" t="str">
        <f t="shared" si="33"/>
        <v>12/2019</v>
      </c>
      <c r="K85" s="920" t="str">
        <f t="shared" si="33"/>
        <v>12/2020</v>
      </c>
      <c r="L85" s="920" t="str">
        <f t="shared" si="33"/>
        <v>12/2021</v>
      </c>
      <c r="M85" s="920" t="str">
        <f t="shared" si="33"/>
        <v>12/2022</v>
      </c>
      <c r="N85" s="920" t="str">
        <f t="shared" si="33"/>
        <v>12/2023</v>
      </c>
      <c r="O85" s="921"/>
    </row>
    <row r="86" spans="1:15" ht="6" customHeight="1" x14ac:dyDescent="0.35">
      <c r="A86" s="917" t="s">
        <v>1779</v>
      </c>
      <c r="B86" s="917"/>
      <c r="C86" s="907"/>
      <c r="D86" s="285"/>
      <c r="E86" s="285"/>
      <c r="F86" s="285"/>
      <c r="G86" s="285"/>
      <c r="H86" s="285"/>
      <c r="I86" s="285"/>
      <c r="J86" s="285"/>
      <c r="K86" s="285"/>
      <c r="L86" s="285"/>
      <c r="M86" s="285"/>
      <c r="N86" s="285"/>
      <c r="O86" s="285"/>
    </row>
    <row r="87" spans="1:15" ht="12.75" customHeight="1" x14ac:dyDescent="0.35">
      <c r="A87" s="907" t="s">
        <v>1780</v>
      </c>
      <c r="B87" s="907"/>
      <c r="C87" s="938" t="s">
        <v>1781</v>
      </c>
      <c r="D87" s="921"/>
      <c r="E87" s="921"/>
      <c r="F87" s="921"/>
      <c r="G87" s="921"/>
      <c r="H87" s="921"/>
      <c r="I87" s="921"/>
      <c r="J87" s="921"/>
      <c r="K87" s="921"/>
      <c r="L87" s="921"/>
      <c r="M87" s="921"/>
      <c r="N87" s="921"/>
      <c r="O87" s="921"/>
    </row>
    <row r="88" spans="1:15" ht="12.75" customHeight="1" x14ac:dyDescent="0.35">
      <c r="A88" s="917" t="s">
        <v>1782</v>
      </c>
      <c r="B88" s="917"/>
      <c r="C88" s="917" t="s">
        <v>1783</v>
      </c>
      <c r="D88" s="921"/>
      <c r="E88" s="921"/>
      <c r="F88" s="921"/>
      <c r="G88" s="921"/>
      <c r="H88" s="937">
        <f t="shared" ref="H88:N88" si="34">H15-H13</f>
        <v>0</v>
      </c>
      <c r="I88" s="937">
        <f t="shared" si="34"/>
        <v>0</v>
      </c>
      <c r="J88" s="937">
        <f t="shared" ref="J88" si="35">J15-J13</f>
        <v>0</v>
      </c>
      <c r="K88" s="937">
        <f t="shared" si="34"/>
        <v>0</v>
      </c>
      <c r="L88" s="937">
        <f t="shared" si="34"/>
        <v>0</v>
      </c>
      <c r="M88" s="937">
        <f t="shared" si="34"/>
        <v>0</v>
      </c>
      <c r="N88" s="937">
        <f t="shared" si="34"/>
        <v>0</v>
      </c>
      <c r="O88" s="921"/>
    </row>
    <row r="89" spans="1:15" ht="12.75" customHeight="1" x14ac:dyDescent="0.35">
      <c r="A89" s="907" t="s">
        <v>1784</v>
      </c>
      <c r="B89" s="907"/>
      <c r="C89" s="289" t="s">
        <v>1785</v>
      </c>
      <c r="D89" s="285"/>
      <c r="E89" s="285"/>
      <c r="F89" s="285"/>
      <c r="G89" s="285"/>
      <c r="H89" s="285">
        <v>0</v>
      </c>
      <c r="I89" s="285">
        <v>0</v>
      </c>
      <c r="J89" s="285">
        <v>0</v>
      </c>
      <c r="K89" s="285">
        <v>0</v>
      </c>
      <c r="L89" s="285">
        <v>0</v>
      </c>
      <c r="M89" s="285">
        <v>0</v>
      </c>
      <c r="N89" s="285">
        <v>0</v>
      </c>
      <c r="O89" s="285"/>
    </row>
    <row r="90" spans="1:15" ht="12.75" customHeight="1" x14ac:dyDescent="0.35">
      <c r="A90" s="917" t="s">
        <v>1786</v>
      </c>
      <c r="B90" s="917"/>
      <c r="C90" s="907" t="s">
        <v>1709</v>
      </c>
      <c r="D90" s="285"/>
      <c r="E90" s="285"/>
      <c r="F90" s="285"/>
      <c r="G90" s="285"/>
      <c r="H90" s="922">
        <f>Calculations!$G$682</f>
        <v>0</v>
      </c>
      <c r="I90" s="922">
        <f>IF(IFRSCumulative,IF(RIGHT(I$2,4)=RIGHT(OFFSET(I$2,0,-1),4),OFFSET(I90,0,-1),0),0)+OFFSET(Calculations!$G$682,0,I$1)</f>
        <v>0</v>
      </c>
      <c r="J90" s="922">
        <f>IF(IFRSCumulative,IF(RIGHT(J$2,4)=RIGHT(OFFSET(J$2,0,-1),4),OFFSET(J90,0,-1),0),0)+OFFSET(Calculations!$G$682,0,J$1)</f>
        <v>0</v>
      </c>
      <c r="K90" s="922">
        <f>IF(IFRSCumulative,IF(RIGHT(K$2,4)=RIGHT(OFFSET(K$2,0,-1),4),OFFSET(K90,0,-1),0),0)+OFFSET(Calculations!$G$682,0,K$1)</f>
        <v>0</v>
      </c>
      <c r="L90" s="922">
        <f>IF(IFRSCumulative,IF(RIGHT(L$2,4)=RIGHT(OFFSET(L$2,0,-1),4),OFFSET(L90,0,-1),0),0)+OFFSET(Calculations!$G$682,0,L$1)</f>
        <v>0</v>
      </c>
      <c r="M90" s="922">
        <f>IF(IFRSCumulative,IF(RIGHT(M$2,4)=RIGHT(OFFSET(M$2,0,-1),4),OFFSET(M90,0,-1),0),0)+OFFSET(Calculations!$G$682,0,M$1)</f>
        <v>0</v>
      </c>
      <c r="N90" s="922">
        <f>IF(IFRSCumulative,IF(RIGHT(N$2,4)=RIGHT(OFFSET(N$2,0,-1),4),OFFSET(N90,0,-1),0),0)+OFFSET(Calculations!$G$682,0,N$1)</f>
        <v>0</v>
      </c>
      <c r="O90" s="285"/>
    </row>
    <row r="91" spans="1:15" ht="12.75" customHeight="1" x14ac:dyDescent="0.35">
      <c r="A91" s="907" t="s">
        <v>1787</v>
      </c>
      <c r="B91" s="907"/>
      <c r="C91" s="289" t="s">
        <v>1788</v>
      </c>
      <c r="D91" s="285"/>
      <c r="E91" s="285"/>
      <c r="F91" s="285"/>
      <c r="G91" s="285"/>
      <c r="H91" s="285">
        <v>0</v>
      </c>
      <c r="I91" s="285">
        <v>0</v>
      </c>
      <c r="J91" s="285">
        <v>0</v>
      </c>
      <c r="K91" s="285">
        <v>0</v>
      </c>
      <c r="L91" s="285">
        <v>0</v>
      </c>
      <c r="M91" s="285">
        <v>0</v>
      </c>
      <c r="N91" s="285">
        <v>0</v>
      </c>
      <c r="O91" s="285"/>
    </row>
    <row r="92" spans="1:15" ht="12.75" customHeight="1" x14ac:dyDescent="0.35">
      <c r="A92" s="917" t="s">
        <v>1789</v>
      </c>
      <c r="B92" s="917"/>
      <c r="C92" s="289" t="s">
        <v>1790</v>
      </c>
      <c r="D92" s="285"/>
      <c r="E92" s="285"/>
      <c r="F92" s="285"/>
      <c r="G92" s="285"/>
      <c r="H92" s="922">
        <f t="shared" ref="H92:N92" si="36">H23</f>
        <v>0</v>
      </c>
      <c r="I92" s="922">
        <f t="shared" si="36"/>
        <v>0</v>
      </c>
      <c r="J92" s="922">
        <f t="shared" ref="J92" si="37">J23</f>
        <v>0</v>
      </c>
      <c r="K92" s="922">
        <f t="shared" si="36"/>
        <v>0</v>
      </c>
      <c r="L92" s="922">
        <f t="shared" si="36"/>
        <v>0</v>
      </c>
      <c r="M92" s="922">
        <f t="shared" si="36"/>
        <v>0</v>
      </c>
      <c r="N92" s="922">
        <f t="shared" si="36"/>
        <v>0</v>
      </c>
      <c r="O92" s="285"/>
    </row>
    <row r="93" spans="1:15" ht="12.75" customHeight="1" x14ac:dyDescent="0.35">
      <c r="A93" s="907" t="s">
        <v>1791</v>
      </c>
      <c r="B93" s="907"/>
      <c r="C93" s="923" t="s">
        <v>1792</v>
      </c>
      <c r="D93" s="923"/>
      <c r="E93" s="923"/>
      <c r="F93" s="923"/>
      <c r="G93" s="923"/>
      <c r="H93" s="924">
        <f t="shared" ref="H93:N93" si="38">SUM(H88:H92)</f>
        <v>0</v>
      </c>
      <c r="I93" s="924">
        <f t="shared" si="38"/>
        <v>0</v>
      </c>
      <c r="J93" s="924">
        <f t="shared" ref="J93" si="39">SUM(J88:J92)</f>
        <v>0</v>
      </c>
      <c r="K93" s="924">
        <f t="shared" si="38"/>
        <v>0</v>
      </c>
      <c r="L93" s="924">
        <f t="shared" si="38"/>
        <v>0</v>
      </c>
      <c r="M93" s="924">
        <f t="shared" si="38"/>
        <v>0</v>
      </c>
      <c r="N93" s="924">
        <f t="shared" si="38"/>
        <v>0</v>
      </c>
      <c r="O93" s="921"/>
    </row>
    <row r="94" spans="1:15" ht="12.75" customHeight="1" x14ac:dyDescent="0.35">
      <c r="A94" s="917" t="s">
        <v>1793</v>
      </c>
      <c r="B94" s="917"/>
      <c r="C94" s="295" t="s">
        <v>728</v>
      </c>
      <c r="D94" s="939"/>
      <c r="E94" s="939"/>
      <c r="F94" s="939"/>
      <c r="G94" s="939"/>
      <c r="H94" s="940">
        <f>Calculations!$G$620</f>
        <v>0</v>
      </c>
      <c r="I94" s="940">
        <f>IF(IFRSCumulative,IF(RIGHT(I$2,4)=RIGHT(OFFSET(I$2,0,-1),4),OFFSET(I94,0,-1),0),0)+OFFSET(Calculations!$G$620,0,I$1)</f>
        <v>0</v>
      </c>
      <c r="J94" s="940">
        <f>IF(IFRSCumulative,IF(RIGHT(J$2,4)=RIGHT(OFFSET(J$2,0,-1),4),OFFSET(J94,0,-1),0),0)+OFFSET(Calculations!$G$620,0,J$1)</f>
        <v>0</v>
      </c>
      <c r="K94" s="940">
        <f>IF(IFRSCumulative,IF(RIGHT(K$2,4)=RIGHT(OFFSET(K$2,0,-1),4),OFFSET(K94,0,-1),0),0)+OFFSET(Calculations!$G$620,0,K$1)</f>
        <v>0</v>
      </c>
      <c r="L94" s="940">
        <f>IF(IFRSCumulative,IF(RIGHT(L$2,4)=RIGHT(OFFSET(L$2,0,-1),4),OFFSET(L94,0,-1),0),0)+OFFSET(Calculations!$G$620,0,L$1)</f>
        <v>0</v>
      </c>
      <c r="M94" s="940">
        <f>IF(IFRSCumulative,IF(RIGHT(M$2,4)=RIGHT(OFFSET(M$2,0,-1),4),OFFSET(M94,0,-1),0),0)+OFFSET(Calculations!$G$620,0,M$1)</f>
        <v>0</v>
      </c>
      <c r="N94" s="940">
        <f>IF(IFRSCumulative,IF(RIGHT(N$2,4)=RIGHT(OFFSET(N$2,0,-1),4),OFFSET(N94,0,-1),0),0)+OFFSET(Calculations!$G$620,0,N$1)</f>
        <v>0</v>
      </c>
      <c r="O94" s="285"/>
    </row>
    <row r="95" spans="1:15" ht="12.75" customHeight="1" x14ac:dyDescent="0.35">
      <c r="A95" s="907" t="s">
        <v>1794</v>
      </c>
      <c r="B95" s="907"/>
      <c r="C95" s="917" t="s">
        <v>1795</v>
      </c>
      <c r="D95" s="921"/>
      <c r="E95" s="921"/>
      <c r="F95" s="921"/>
      <c r="G95" s="921"/>
      <c r="H95" s="937">
        <f t="shared" ref="H95:N95" si="40">SUM(H93:H94)</f>
        <v>0</v>
      </c>
      <c r="I95" s="937">
        <f t="shared" si="40"/>
        <v>0</v>
      </c>
      <c r="J95" s="937">
        <f t="shared" ref="J95" si="41">SUM(J93:J94)</f>
        <v>0</v>
      </c>
      <c r="K95" s="937">
        <f t="shared" si="40"/>
        <v>0</v>
      </c>
      <c r="L95" s="937">
        <f t="shared" si="40"/>
        <v>0</v>
      </c>
      <c r="M95" s="937">
        <f t="shared" si="40"/>
        <v>0</v>
      </c>
      <c r="N95" s="937">
        <f t="shared" si="40"/>
        <v>0</v>
      </c>
      <c r="O95" s="921"/>
    </row>
    <row r="96" spans="1:15" ht="12.75" customHeight="1" x14ac:dyDescent="0.35">
      <c r="A96" s="917" t="s">
        <v>1796</v>
      </c>
      <c r="B96" s="917"/>
      <c r="C96" s="289" t="s">
        <v>1797</v>
      </c>
      <c r="D96" s="252"/>
      <c r="E96" s="252"/>
      <c r="F96" s="252"/>
      <c r="G96" s="252"/>
      <c r="H96" s="929">
        <f>IF(AnyDisc,H28-SUM(Calculations!$G$913:$G$915)-SUM(Calculations!$G$923:$G$925),0)</f>
        <v>0</v>
      </c>
      <c r="I96" s="929">
        <f>IF(AnyDisc,I28-IF(IFRSCumulative,IF(RIGHT(I$2,4)=RIGHT(OFFSET(I$2,0,-1),4),OFFSET(I96,0,-1),0),0)-SUM(OFFSET(Calculations!$G$913,0,I$1):OFFSET(Calculations!$G$915,0,I$1))-SUM(OFFSET(Calculations!$G$923,0,I$1):OFFSET(Calculations!$G$925,0,I$1)),0)</f>
        <v>0</v>
      </c>
      <c r="J96" s="929">
        <f>IF(AnyDisc,J28-IF(IFRSCumulative,IF(RIGHT(J$2,4)=RIGHT(OFFSET(J$2,0,-1),4),OFFSET(J96,0,-1),0),0)-SUM(OFFSET(Calculations!$G$913,0,J$1):OFFSET(Calculations!$G$915,0,J$1))-SUM(OFFSET(Calculations!$G$923,0,J$1):OFFSET(Calculations!$G$925,0,J$1)),0)</f>
        <v>0</v>
      </c>
      <c r="K96" s="929">
        <f>IF(AnyDisc,K28-IF(IFRSCumulative,IF(RIGHT(K$2,4)=RIGHT(OFFSET(K$2,0,-1),4),OFFSET(K96,0,-1),0),0)-SUM(OFFSET(Calculations!$G$913,0,K$1):OFFSET(Calculations!$G$915,0,K$1))-SUM(OFFSET(Calculations!$G$923,0,K$1):OFFSET(Calculations!$G$925,0,K$1)),0)</f>
        <v>0</v>
      </c>
      <c r="L96" s="929">
        <f>IF(AnyDisc,L28-IF(IFRSCumulative,IF(RIGHT(L$2,4)=RIGHT(OFFSET(L$2,0,-1),4),OFFSET(L96,0,-1),0),0)-SUM(OFFSET(Calculations!$G$913,0,L$1):OFFSET(Calculations!$G$915,0,L$1))-SUM(OFFSET(Calculations!$G$923,0,L$1):OFFSET(Calculations!$G$925,0,L$1)),0)</f>
        <v>0</v>
      </c>
      <c r="M96" s="929">
        <f>IF(AnyDisc,M28-IF(IFRSCumulative,IF(RIGHT(M$2,4)=RIGHT(OFFSET(M$2,0,-1),4),OFFSET(M96,0,-1),0),0)-SUM(OFFSET(Calculations!$G$913,0,M$1):OFFSET(Calculations!$G$915,0,M$1))-SUM(OFFSET(Calculations!$G$923,0,M$1):OFFSET(Calculations!$G$925,0,M$1)),0)</f>
        <v>0</v>
      </c>
      <c r="N96" s="929">
        <f>IF(AnyDisc,N28-IF(IFRSCumulative,IF(RIGHT(N$2,4)=RIGHT(OFFSET(N$2,0,-1),4),OFFSET(N96,0,-1),0),0)-SUM(OFFSET(Calculations!$G$913,0,N$1):OFFSET(Calculations!$G$915,0,N$1))-SUM(OFFSET(Calculations!$G$923,0,N$1):OFFSET(Calculations!$G$925,0,N$1)),0)</f>
        <v>0</v>
      </c>
      <c r="O96" s="252"/>
    </row>
    <row r="97" spans="1:15" ht="12.75" customHeight="1" x14ac:dyDescent="0.35">
      <c r="A97" s="907" t="s">
        <v>1798</v>
      </c>
      <c r="B97" s="907"/>
      <c r="C97" s="923" t="s">
        <v>1799</v>
      </c>
      <c r="D97" s="923"/>
      <c r="E97" s="923"/>
      <c r="F97" s="923"/>
      <c r="G97" s="923"/>
      <c r="H97" s="924">
        <f t="shared" ref="H97:N97" si="42">SUM(H95:H96)</f>
        <v>0</v>
      </c>
      <c r="I97" s="924">
        <f t="shared" si="42"/>
        <v>0</v>
      </c>
      <c r="J97" s="924">
        <f t="shared" ref="J97" si="43">SUM(J95:J96)</f>
        <v>0</v>
      </c>
      <c r="K97" s="924">
        <f t="shared" si="42"/>
        <v>0</v>
      </c>
      <c r="L97" s="924">
        <f t="shared" si="42"/>
        <v>0</v>
      </c>
      <c r="M97" s="924">
        <f t="shared" si="42"/>
        <v>0</v>
      </c>
      <c r="N97" s="924">
        <f t="shared" si="42"/>
        <v>0</v>
      </c>
      <c r="O97" s="921"/>
    </row>
    <row r="98" spans="1:15" ht="6" customHeight="1" x14ac:dyDescent="0.35">
      <c r="A98" s="917" t="s">
        <v>1800</v>
      </c>
      <c r="B98" s="917"/>
      <c r="C98" s="907"/>
      <c r="D98" s="285"/>
      <c r="E98" s="285"/>
      <c r="F98" s="285"/>
      <c r="G98" s="285"/>
      <c r="H98" s="285"/>
      <c r="I98" s="285"/>
      <c r="J98" s="285"/>
      <c r="K98" s="285"/>
      <c r="L98" s="285"/>
      <c r="M98" s="285"/>
      <c r="N98" s="285"/>
      <c r="O98" s="285"/>
    </row>
    <row r="99" spans="1:15" ht="12.75" customHeight="1" x14ac:dyDescent="0.35">
      <c r="A99" s="907" t="s">
        <v>1801</v>
      </c>
      <c r="B99" s="907"/>
      <c r="C99" s="938" t="s">
        <v>1802</v>
      </c>
      <c r="D99" s="285"/>
      <c r="E99" s="285"/>
      <c r="F99" s="285"/>
      <c r="G99" s="285"/>
      <c r="H99" s="285"/>
      <c r="I99" s="285"/>
      <c r="J99" s="285"/>
      <c r="K99" s="285"/>
      <c r="L99" s="285"/>
      <c r="M99" s="285"/>
      <c r="N99" s="285"/>
      <c r="O99" s="285"/>
    </row>
    <row r="100" spans="1:15" ht="12.75" customHeight="1" x14ac:dyDescent="0.35">
      <c r="A100" s="917" t="s">
        <v>650</v>
      </c>
      <c r="B100" s="917"/>
      <c r="C100" s="907" t="s">
        <v>1803</v>
      </c>
      <c r="D100" s="285"/>
      <c r="E100" s="285"/>
      <c r="F100" s="285"/>
      <c r="G100" s="285"/>
      <c r="H100" s="922">
        <f>Calculations!$G$906</f>
        <v>0</v>
      </c>
      <c r="I100" s="922">
        <f>IF(IFRSCumulative,IF(RIGHT(I$2,4)=RIGHT(OFFSET(I$2,0,-1),4),OFFSET(I100,0,-1),0),0)+OFFSET(Calculations!$G$906,0,I$1)</f>
        <v>0</v>
      </c>
      <c r="J100" s="922">
        <f>IF(IFRSCumulative,IF(RIGHT(J$2,4)=RIGHT(OFFSET(J$2,0,-1),4),OFFSET(J100,0,-1),0),0)+OFFSET(Calculations!$G$906,0,J$1)</f>
        <v>0</v>
      </c>
      <c r="K100" s="922">
        <f>IF(IFRSCumulative,IF(RIGHT(K$2,4)=RIGHT(OFFSET(K$2,0,-1),4),OFFSET(K100,0,-1),0),0)+OFFSET(Calculations!$G$906,0,K$1)</f>
        <v>0</v>
      </c>
      <c r="L100" s="922">
        <f>IF(IFRSCumulative,IF(RIGHT(L$2,4)=RIGHT(OFFSET(L$2,0,-1),4),OFFSET(L100,0,-1),0),0)+OFFSET(Calculations!$G$906,0,L$1)</f>
        <v>0</v>
      </c>
      <c r="M100" s="922">
        <f>IF(IFRSCumulative,IF(RIGHT(M$2,4)=RIGHT(OFFSET(M$2,0,-1),4),OFFSET(M100,0,-1),0),0)+OFFSET(Calculations!$G$906,0,M$1)</f>
        <v>0</v>
      </c>
      <c r="N100" s="922">
        <f>IF(IFRSCumulative,IF(RIGHT(N$2,4)=RIGHT(OFFSET(N$2,0,-1),4),OFFSET(N100,0,-1),0),0)+OFFSET(Calculations!$G$906,0,N$1)</f>
        <v>0</v>
      </c>
      <c r="O100" s="285"/>
    </row>
    <row r="101" spans="1:15" ht="12.75" customHeight="1" x14ac:dyDescent="0.35">
      <c r="A101" s="907" t="s">
        <v>655</v>
      </c>
      <c r="B101" s="907"/>
      <c r="C101" s="289" t="s">
        <v>1804</v>
      </c>
      <c r="D101" s="285"/>
      <c r="E101" s="285"/>
      <c r="F101" s="285"/>
      <c r="G101" s="285"/>
      <c r="H101" s="922">
        <f>Calculations!$G$916</f>
        <v>0</v>
      </c>
      <c r="I101" s="922">
        <f>IF(IFRSCumulative,IF(RIGHT(I$2,4)=RIGHT(OFFSET(I$2,0,-1),4),OFFSET(I101,0,-1),0),0)+OFFSET(Calculations!$G$916,0,I$1)</f>
        <v>0</v>
      </c>
      <c r="J101" s="922">
        <f>IF(IFRSCumulative,IF(RIGHT(J$2,4)=RIGHT(OFFSET(J$2,0,-1),4),OFFSET(J101,0,-1),0),0)+OFFSET(Calculations!$G$916,0,J$1)</f>
        <v>0</v>
      </c>
      <c r="K101" s="922">
        <f>IF(IFRSCumulative,IF(RIGHT(K$2,4)=RIGHT(OFFSET(K$2,0,-1),4),OFFSET(K101,0,-1),0),0)+OFFSET(Calculations!$G$916,0,K$1)</f>
        <v>0</v>
      </c>
      <c r="L101" s="922">
        <f>IF(IFRSCumulative,IF(RIGHT(L$2,4)=RIGHT(OFFSET(L$2,0,-1),4),OFFSET(L101,0,-1),0),0)+OFFSET(Calculations!$G$916,0,L$1)</f>
        <v>0</v>
      </c>
      <c r="M101" s="922">
        <f>IF(IFRSCumulative,IF(RIGHT(M$2,4)=RIGHT(OFFSET(M$2,0,-1),4),OFFSET(M101,0,-1),0),0)+OFFSET(Calculations!$G$916,0,M$1)</f>
        <v>0</v>
      </c>
      <c r="N101" s="922">
        <f>IF(IFRSCumulative,IF(RIGHT(N$2,4)=RIGHT(OFFSET(N$2,0,-1),4),OFFSET(N101,0,-1),0),0)+OFFSET(Calculations!$G$916,0,N$1)</f>
        <v>0</v>
      </c>
      <c r="O101" s="285"/>
    </row>
    <row r="102" spans="1:15" ht="12.75" customHeight="1" x14ac:dyDescent="0.35">
      <c r="A102" s="917" t="s">
        <v>660</v>
      </c>
      <c r="B102" s="917"/>
      <c r="C102" s="289" t="s">
        <v>1805</v>
      </c>
      <c r="D102" s="285"/>
      <c r="E102" s="285"/>
      <c r="F102" s="285"/>
      <c r="G102" s="285"/>
      <c r="H102" s="922">
        <f>Calculations!$G$907</f>
        <v>0</v>
      </c>
      <c r="I102" s="922">
        <f>IF(IFRSCumulative,IF(RIGHT(I$2,4)=RIGHT(OFFSET(I$2,0,-1),4),OFFSET(I102,0,-1),0),0)+OFFSET(Calculations!$G$907,0,I$1)</f>
        <v>0</v>
      </c>
      <c r="J102" s="922">
        <f>IF(IFRSCumulative,IF(RIGHT(J$2,4)=RIGHT(OFFSET(J$2,0,-1),4),OFFSET(J102,0,-1),0),0)+OFFSET(Calculations!$G$907,0,J$1)</f>
        <v>0</v>
      </c>
      <c r="K102" s="922">
        <f>IF(IFRSCumulative,IF(RIGHT(K$2,4)=RIGHT(OFFSET(K$2,0,-1),4),OFFSET(K102,0,-1),0),0)+OFFSET(Calculations!$G$907,0,K$1)</f>
        <v>0</v>
      </c>
      <c r="L102" s="922">
        <f>IF(IFRSCumulative,IF(RIGHT(L$2,4)=RIGHT(OFFSET(L$2,0,-1),4),OFFSET(L102,0,-1),0),0)+OFFSET(Calculations!$G$907,0,L$1)</f>
        <v>0</v>
      </c>
      <c r="M102" s="922">
        <f>IF(IFRSCumulative,IF(RIGHT(M$2,4)=RIGHT(OFFSET(M$2,0,-1),4),OFFSET(M102,0,-1),0),0)+OFFSET(Calculations!$G$907,0,M$1)</f>
        <v>0</v>
      </c>
      <c r="N102" s="922">
        <f>IF(IFRSCumulative,IF(RIGHT(N$2,4)=RIGHT(OFFSET(N$2,0,-1),4),OFFSET(N102,0,-1),0),0)+OFFSET(Calculations!$G$907,0,N$1)</f>
        <v>0</v>
      </c>
      <c r="O102" s="285"/>
    </row>
    <row r="103" spans="1:15" ht="12.75" customHeight="1" x14ac:dyDescent="0.35">
      <c r="A103" s="907" t="s">
        <v>669</v>
      </c>
      <c r="B103" s="907"/>
      <c r="C103" s="289" t="s">
        <v>1806</v>
      </c>
      <c r="D103" s="285"/>
      <c r="E103" s="285"/>
      <c r="F103" s="285"/>
      <c r="G103" s="285"/>
      <c r="H103" s="922">
        <f>Calculations!$G$917</f>
        <v>0</v>
      </c>
      <c r="I103" s="922">
        <f>IF(IFRSCumulative,IF(RIGHT(I$2,4)=RIGHT(OFFSET(I$2,0,-1),4),OFFSET(I103,0,-1),0),0)+OFFSET(Calculations!$G$917,0,I$1)</f>
        <v>0</v>
      </c>
      <c r="J103" s="922">
        <f>IF(IFRSCumulative,IF(RIGHT(J$2,4)=RIGHT(OFFSET(J$2,0,-1),4),OFFSET(J103,0,-1),0),0)+OFFSET(Calculations!$G$917,0,J$1)</f>
        <v>0</v>
      </c>
      <c r="K103" s="922">
        <f>IF(IFRSCumulative,IF(RIGHT(K$2,4)=RIGHT(OFFSET(K$2,0,-1),4),OFFSET(K103,0,-1),0),0)+OFFSET(Calculations!$G$917,0,K$1)</f>
        <v>0</v>
      </c>
      <c r="L103" s="922">
        <f>IF(IFRSCumulative,IF(RIGHT(L$2,4)=RIGHT(OFFSET(L$2,0,-1),4),OFFSET(L103,0,-1),0),0)+OFFSET(Calculations!$G$917,0,L$1)</f>
        <v>0</v>
      </c>
      <c r="M103" s="922">
        <f>IF(IFRSCumulative,IF(RIGHT(M$2,4)=RIGHT(OFFSET(M$2,0,-1),4),OFFSET(M103,0,-1),0),0)+OFFSET(Calculations!$G$917,0,M$1)</f>
        <v>0</v>
      </c>
      <c r="N103" s="922">
        <f>IF(IFRSCumulative,IF(RIGHT(N$2,4)=RIGHT(OFFSET(N$2,0,-1),4),OFFSET(N103,0,-1),0),0)+OFFSET(Calculations!$G$917,0,N$1)</f>
        <v>0</v>
      </c>
      <c r="O103" s="285"/>
    </row>
    <row r="104" spans="1:15" ht="12.75" customHeight="1" x14ac:dyDescent="0.35">
      <c r="A104" s="917" t="s">
        <v>680</v>
      </c>
      <c r="B104" s="917"/>
      <c r="C104" s="289" t="s">
        <v>1807</v>
      </c>
      <c r="D104" s="285"/>
      <c r="E104" s="285"/>
      <c r="F104" s="285"/>
      <c r="G104" s="285"/>
      <c r="H104" s="285">
        <v>0</v>
      </c>
      <c r="I104" s="285">
        <v>0</v>
      </c>
      <c r="J104" s="285">
        <v>0</v>
      </c>
      <c r="K104" s="285">
        <v>0</v>
      </c>
      <c r="L104" s="285">
        <v>0</v>
      </c>
      <c r="M104" s="285">
        <v>0</v>
      </c>
      <c r="N104" s="285">
        <v>0</v>
      </c>
      <c r="O104" s="285"/>
    </row>
    <row r="105" spans="1:15" ht="12.75" customHeight="1" x14ac:dyDescent="0.35">
      <c r="A105" s="907" t="s">
        <v>694</v>
      </c>
      <c r="B105" s="907"/>
      <c r="C105" s="923" t="s">
        <v>1808</v>
      </c>
      <c r="D105" s="936"/>
      <c r="E105" s="936"/>
      <c r="F105" s="936"/>
      <c r="G105" s="936"/>
      <c r="H105" s="924">
        <f t="shared" ref="H105:N105" si="44">SUM(H100:H104)</f>
        <v>0</v>
      </c>
      <c r="I105" s="924">
        <f t="shared" si="44"/>
        <v>0</v>
      </c>
      <c r="J105" s="924">
        <f t="shared" ref="J105" si="45">SUM(J100:J104)</f>
        <v>0</v>
      </c>
      <c r="K105" s="924">
        <f t="shared" si="44"/>
        <v>0</v>
      </c>
      <c r="L105" s="924">
        <f t="shared" si="44"/>
        <v>0</v>
      </c>
      <c r="M105" s="924">
        <f t="shared" si="44"/>
        <v>0</v>
      </c>
      <c r="N105" s="924">
        <f t="shared" si="44"/>
        <v>0</v>
      </c>
      <c r="O105" s="285"/>
    </row>
    <row r="106" spans="1:15" ht="12.75" customHeight="1" x14ac:dyDescent="0.35">
      <c r="A106" s="917" t="s">
        <v>697</v>
      </c>
      <c r="B106" s="917"/>
      <c r="C106" s="295" t="s">
        <v>1809</v>
      </c>
      <c r="D106" s="295"/>
      <c r="E106" s="295"/>
      <c r="F106" s="295"/>
      <c r="G106" s="295"/>
      <c r="H106" s="941">
        <f>IF(AnyDisc,SUM(Calculations!$G$911:$G$914)+SUM(Calculations!$G$921:$G$924),0)</f>
        <v>0</v>
      </c>
      <c r="I106" s="941">
        <f>IF(AnyDisc,IF(IFRSCumulative,IF(RIGHT(I$2,4)=RIGHT(OFFSET(I$2,0,-1),4),OFFSET(I106,0,-1),0),0)+SUM(OFFSET(Calculations!$G$911,0,I$1):OFFSET(Calculations!$G$914,0,I$1))+SUM(OFFSET(Calculations!$G$921,0,I$1):OFFSET(Calculations!$G$924,0,I$1)),0)</f>
        <v>0</v>
      </c>
      <c r="J106" s="941">
        <f>IF(AnyDisc,IF(IFRSCumulative,IF(RIGHT(J$2,4)=RIGHT(OFFSET(J$2,0,-1),4),OFFSET(J106,0,-1),0),0)+SUM(OFFSET(Calculations!$G$911,0,J$1):OFFSET(Calculations!$G$914,0,J$1))+SUM(OFFSET(Calculations!$G$921,0,J$1):OFFSET(Calculations!$G$924,0,J$1)),0)</f>
        <v>0</v>
      </c>
      <c r="K106" s="941">
        <f>IF(AnyDisc,IF(IFRSCumulative,IF(RIGHT(K$2,4)=RIGHT(OFFSET(K$2,0,-1),4),OFFSET(K106,0,-1),0),0)+SUM(OFFSET(Calculations!$G$911,0,K$1):OFFSET(Calculations!$G$914,0,K$1))+SUM(OFFSET(Calculations!$G$921,0,K$1):OFFSET(Calculations!$G$924,0,K$1)),0)</f>
        <v>0</v>
      </c>
      <c r="L106" s="941">
        <f>IF(AnyDisc,IF(IFRSCumulative,IF(RIGHT(L$2,4)=RIGHT(OFFSET(L$2,0,-1),4),OFFSET(L106,0,-1),0),0)+SUM(OFFSET(Calculations!$G$911,0,L$1):OFFSET(Calculations!$G$914,0,L$1))+SUM(OFFSET(Calculations!$G$921,0,L$1):OFFSET(Calculations!$G$924,0,L$1)),0)</f>
        <v>0</v>
      </c>
      <c r="M106" s="941">
        <f>IF(AnyDisc,IF(IFRSCumulative,IF(RIGHT(M$2,4)=RIGHT(OFFSET(M$2,0,-1),4),OFFSET(M106,0,-1),0),0)+SUM(OFFSET(Calculations!$G$911,0,M$1):OFFSET(Calculations!$G$914,0,M$1))+SUM(OFFSET(Calculations!$G$921,0,M$1):OFFSET(Calculations!$G$924,0,M$1)),0)</f>
        <v>0</v>
      </c>
      <c r="N106" s="941">
        <f>IF(AnyDisc,IF(IFRSCumulative,IF(RIGHT(N$2,4)=RIGHT(OFFSET(N$2,0,-1),4),OFFSET(N106,0,-1),0),0)+SUM(OFFSET(Calculations!$G$911,0,N$1):OFFSET(Calculations!$G$914,0,N$1))+SUM(OFFSET(Calculations!$G$921,0,N$1):OFFSET(Calculations!$G$924,0,N$1)),0)</f>
        <v>0</v>
      </c>
      <c r="O106" s="252"/>
    </row>
    <row r="107" spans="1:15" ht="12.75" customHeight="1" x14ac:dyDescent="0.35">
      <c r="A107" s="907" t="s">
        <v>704</v>
      </c>
      <c r="B107" s="907"/>
      <c r="C107" s="917" t="s">
        <v>1810</v>
      </c>
      <c r="D107" s="921"/>
      <c r="E107" s="921"/>
      <c r="F107" s="921"/>
      <c r="G107" s="921"/>
      <c r="H107" s="937">
        <f t="shared" ref="H107:N107" si="46">SUM(H105:H106)</f>
        <v>0</v>
      </c>
      <c r="I107" s="937">
        <f t="shared" si="46"/>
        <v>0</v>
      </c>
      <c r="J107" s="937">
        <f t="shared" ref="J107" si="47">SUM(J105:J106)</f>
        <v>0</v>
      </c>
      <c r="K107" s="937">
        <f t="shared" si="46"/>
        <v>0</v>
      </c>
      <c r="L107" s="937">
        <f t="shared" si="46"/>
        <v>0</v>
      </c>
      <c r="M107" s="937">
        <f t="shared" si="46"/>
        <v>0</v>
      </c>
      <c r="N107" s="937">
        <f t="shared" si="46"/>
        <v>0</v>
      </c>
      <c r="O107" s="285"/>
    </row>
    <row r="108" spans="1:15" ht="6" customHeight="1" x14ac:dyDescent="0.35">
      <c r="A108" s="917" t="s">
        <v>710</v>
      </c>
      <c r="B108" s="917"/>
      <c r="C108" s="907"/>
      <c r="D108" s="285"/>
      <c r="E108" s="285"/>
      <c r="F108" s="285"/>
      <c r="G108" s="285"/>
      <c r="H108" s="285"/>
      <c r="I108" s="285"/>
      <c r="J108" s="285"/>
      <c r="K108" s="285"/>
      <c r="L108" s="285"/>
      <c r="M108" s="285"/>
      <c r="N108" s="285"/>
      <c r="O108" s="285"/>
    </row>
    <row r="109" spans="1:15" ht="12.75" customHeight="1" x14ac:dyDescent="0.35">
      <c r="A109" s="907" t="s">
        <v>712</v>
      </c>
      <c r="B109" s="907"/>
      <c r="C109" s="917" t="s">
        <v>1811</v>
      </c>
      <c r="D109" s="921"/>
      <c r="E109" s="921"/>
      <c r="F109" s="921"/>
      <c r="G109" s="921"/>
      <c r="H109" s="937">
        <f t="shared" ref="H109:N109" si="48">H97+H107</f>
        <v>0</v>
      </c>
      <c r="I109" s="937">
        <f t="shared" si="48"/>
        <v>0</v>
      </c>
      <c r="J109" s="937">
        <f t="shared" ref="J109" si="49">J97+J107</f>
        <v>0</v>
      </c>
      <c r="K109" s="937">
        <f t="shared" si="48"/>
        <v>0</v>
      </c>
      <c r="L109" s="937">
        <f t="shared" si="48"/>
        <v>0</v>
      </c>
      <c r="M109" s="937">
        <f t="shared" si="48"/>
        <v>0</v>
      </c>
      <c r="N109" s="937">
        <f t="shared" si="48"/>
        <v>0</v>
      </c>
      <c r="O109" s="921"/>
    </row>
    <row r="110" spans="1:15" ht="6" customHeight="1" x14ac:dyDescent="0.35">
      <c r="A110" s="917" t="s">
        <v>715</v>
      </c>
      <c r="B110" s="917"/>
      <c r="C110" s="907"/>
      <c r="D110" s="285"/>
      <c r="E110" s="285"/>
      <c r="F110" s="285"/>
      <c r="G110" s="285"/>
      <c r="H110" s="285"/>
      <c r="I110" s="285"/>
      <c r="J110" s="285"/>
      <c r="K110" s="285"/>
      <c r="L110" s="285"/>
      <c r="M110" s="285"/>
      <c r="N110" s="285"/>
      <c r="O110" s="285"/>
    </row>
    <row r="111" spans="1:15" ht="12.75" customHeight="1" x14ac:dyDescent="0.35">
      <c r="A111" s="907" t="s">
        <v>718</v>
      </c>
      <c r="B111" s="907"/>
      <c r="C111" s="938" t="s">
        <v>1812</v>
      </c>
      <c r="D111" s="285"/>
      <c r="E111" s="285"/>
      <c r="F111" s="285"/>
      <c r="G111" s="285"/>
      <c r="H111" s="285"/>
      <c r="I111" s="285"/>
      <c r="J111" s="285"/>
      <c r="K111" s="285"/>
      <c r="L111" s="285"/>
      <c r="M111" s="285"/>
      <c r="N111" s="285"/>
      <c r="O111" s="285"/>
    </row>
    <row r="112" spans="1:15" ht="12.75" customHeight="1" x14ac:dyDescent="0.35">
      <c r="A112" s="917" t="s">
        <v>721</v>
      </c>
      <c r="B112" s="917"/>
      <c r="C112" s="289" t="s">
        <v>1813</v>
      </c>
      <c r="D112" s="285"/>
      <c r="E112" s="285"/>
      <c r="F112" s="285"/>
      <c r="G112" s="285"/>
      <c r="H112" s="922">
        <f>Calculations!$G$684+Calculations!$G$691</f>
        <v>0</v>
      </c>
      <c r="I112" s="922">
        <f>IF(IFRSCumulative,IF(RIGHT(I$2,4)=RIGHT(OFFSET(I$2,0,-1),4),OFFSET(I112,0,-1),0),0)+OFFSET(Calculations!$G$684,0,I$1)+OFFSET(Calculations!$G$691,0,I$1-1)</f>
        <v>0</v>
      </c>
      <c r="J112" s="922">
        <f>IF(IFRSCumulative,IF(RIGHT(J$2,4)=RIGHT(OFFSET(J$2,0,-1),4),OFFSET(J112,0,-1),0),0)+OFFSET(Calculations!$G$684,0,J$1)+OFFSET(Calculations!$G$691,0,J$1-1)</f>
        <v>0</v>
      </c>
      <c r="K112" s="922">
        <f>IF(IFRSCumulative,IF(RIGHT(K$2,4)=RIGHT(OFFSET(K$2,0,-1),4),OFFSET(K112,0,-1),0),0)+OFFSET(Calculations!$G$684,0,K$1)+OFFSET(Calculations!$G$691,0,K$1-1)</f>
        <v>0</v>
      </c>
      <c r="L112" s="922">
        <f>IF(IFRSCumulative,IF(RIGHT(L$2,4)=RIGHT(OFFSET(L$2,0,-1),4),OFFSET(L112,0,-1),0),0)+OFFSET(Calculations!$G$684,0,L$1)+OFFSET(Calculations!$G$691,0,L$1-1)</f>
        <v>0</v>
      </c>
      <c r="M112" s="922">
        <f>IF(IFRSCumulative,IF(RIGHT(M$2,4)=RIGHT(OFFSET(M$2,0,-1),4),OFFSET(M112,0,-1),0),0)+OFFSET(Calculations!$G$684,0,M$1)+OFFSET(Calculations!$G$691,0,M$1-1)</f>
        <v>0</v>
      </c>
      <c r="N112" s="922">
        <f>IF(IFRSCumulative,IF(RIGHT(N$2,4)=RIGHT(OFFSET(N$2,0,-1),4),OFFSET(N112,0,-1),0),0)+OFFSET(Calculations!$G$684,0,N$1)+OFFSET(Calculations!$G$691,0,N$1-1)</f>
        <v>0</v>
      </c>
      <c r="O112" s="285"/>
    </row>
    <row r="113" spans="1:15" ht="12.75" customHeight="1" x14ac:dyDescent="0.35">
      <c r="A113" s="907" t="s">
        <v>729</v>
      </c>
      <c r="B113" s="907"/>
      <c r="C113" s="289" t="s">
        <v>1814</v>
      </c>
      <c r="D113" s="285"/>
      <c r="E113" s="285"/>
      <c r="F113" s="285"/>
      <c r="G113" s="285"/>
      <c r="H113" s="922">
        <f>OFFSET(Calculations!$E$701,0,H$1+Calculations!$D$7-5)</f>
        <v>0</v>
      </c>
      <c r="I113" s="922">
        <f>IF(IFRSCumulative,IF(RIGHT(I$2,4)=RIGHT(OFFSET(I$2,0,-1),4),OFFSET(I113,0,-1),0),0)+OFFSET(Calculations!$E$701,0,I$1+Calculations!$D$7-5)</f>
        <v>0</v>
      </c>
      <c r="J113" s="922">
        <f>IF(IFRSCumulative,IF(RIGHT(J$2,4)=RIGHT(OFFSET(J$2,0,-1),4),OFFSET(J113,0,-1),0),0)+OFFSET(Calculations!$E$701,0,J$1+Calculations!$D$7-5)</f>
        <v>0</v>
      </c>
      <c r="K113" s="922">
        <f>IF(IFRSCumulative,IF(RIGHT(K$2,4)=RIGHT(OFFSET(K$2,0,-1),4),OFFSET(K113,0,-1),0),0)+OFFSET(Calculations!$E$701,0,K$1+Calculations!$D$7-5)</f>
        <v>0</v>
      </c>
      <c r="L113" s="922">
        <f>IF(IFRSCumulative,IF(RIGHT(L$2,4)=RIGHT(OFFSET(L$2,0,-1),4),OFFSET(L113,0,-1),0),0)+OFFSET(Calculations!$E$701,0,L$1+Calculations!$D$7-5)</f>
        <v>0</v>
      </c>
      <c r="M113" s="922">
        <f>IF(IFRSCumulative,IF(RIGHT(M$2,4)=RIGHT(OFFSET(M$2,0,-1),4),OFFSET(M113,0,-1),0),0)+OFFSET(Calculations!$E$701,0,M$1+Calculations!$D$7-5)</f>
        <v>0</v>
      </c>
      <c r="N113" s="922">
        <f>IF(IFRSCumulative,IF(RIGHT(N$2,4)=RIGHT(OFFSET(N$2,0,-1),4),OFFSET(N113,0,-1),0),0)+OFFSET(Calculations!$E$701,0,N$1+Calculations!$D$7-5)</f>
        <v>0</v>
      </c>
      <c r="O113" s="285"/>
    </row>
    <row r="114" spans="1:15" ht="12.75" customHeight="1" x14ac:dyDescent="0.35">
      <c r="A114" s="917" t="s">
        <v>1815</v>
      </c>
      <c r="B114" s="917"/>
      <c r="C114" s="289" t="s">
        <v>1816</v>
      </c>
      <c r="D114" s="285"/>
      <c r="E114" s="285"/>
      <c r="F114" s="285"/>
      <c r="G114" s="285"/>
      <c r="H114" s="922">
        <f>SUM(OFFSET(Calculations!$E$697,0,H$1+Calculations!$D$7-5):'Calculations'!$G$700)</f>
        <v>0</v>
      </c>
      <c r="I114" s="922">
        <f>IF(IFRSCumulative,IF(RIGHT(I$2,4)=RIGHT(OFFSET(I$2,0,-1),4),OFFSET(I114,0,-1),0),0)+SUM(OFFSET(Calculations!$E$697,0,I$1+Calculations!$D$7-5):'Calculations'!$H$700)</f>
        <v>0</v>
      </c>
      <c r="J114" s="922">
        <f>IF(IFRSCumulative,IF(RIGHT(J$2,4)=RIGHT(OFFSET(J$2,0,-1),4),OFFSET(J114,0,-1),0),0)+SUM(OFFSET(Calculations!$E$697,0,J$1+Calculations!$D$7-5):'Calculations'!$H$700)</f>
        <v>0</v>
      </c>
      <c r="K114" s="922">
        <v>0</v>
      </c>
      <c r="L114" s="922">
        <v>0</v>
      </c>
      <c r="M114" s="922">
        <v>0</v>
      </c>
      <c r="N114" s="922">
        <v>0</v>
      </c>
      <c r="O114" s="285"/>
    </row>
    <row r="115" spans="1:15" ht="12.75" customHeight="1" x14ac:dyDescent="0.35">
      <c r="A115" s="907" t="s">
        <v>1817</v>
      </c>
      <c r="B115" s="907"/>
      <c r="C115" s="923" t="s">
        <v>1818</v>
      </c>
      <c r="D115" s="923"/>
      <c r="E115" s="923"/>
      <c r="F115" s="923"/>
      <c r="G115" s="923"/>
      <c r="H115" s="924">
        <f t="shared" ref="H115:N115" si="50">SUM(H112:H114)</f>
        <v>0</v>
      </c>
      <c r="I115" s="924">
        <f t="shared" si="50"/>
        <v>0</v>
      </c>
      <c r="J115" s="924">
        <f t="shared" ref="J115" si="51">SUM(J112:J114)</f>
        <v>0</v>
      </c>
      <c r="K115" s="924">
        <f t="shared" si="50"/>
        <v>0</v>
      </c>
      <c r="L115" s="924">
        <f t="shared" si="50"/>
        <v>0</v>
      </c>
      <c r="M115" s="924">
        <f t="shared" si="50"/>
        <v>0</v>
      </c>
      <c r="N115" s="924">
        <f t="shared" si="50"/>
        <v>0</v>
      </c>
      <c r="O115" s="921"/>
    </row>
    <row r="116" spans="1:15" ht="12.75" customHeight="1" x14ac:dyDescent="0.35">
      <c r="A116" s="917" t="s">
        <v>1819</v>
      </c>
      <c r="B116" s="917"/>
      <c r="C116" s="295" t="s">
        <v>1820</v>
      </c>
      <c r="D116" s="295"/>
      <c r="E116" s="295"/>
      <c r="F116" s="295"/>
      <c r="G116" s="295"/>
      <c r="H116" s="295">
        <v>0</v>
      </c>
      <c r="I116" s="295">
        <v>0</v>
      </c>
      <c r="J116" s="295">
        <v>0</v>
      </c>
      <c r="K116" s="295">
        <v>0</v>
      </c>
      <c r="L116" s="295">
        <v>0</v>
      </c>
      <c r="M116" s="295">
        <v>0</v>
      </c>
      <c r="N116" s="295">
        <v>0</v>
      </c>
      <c r="O116" s="252"/>
    </row>
    <row r="117" spans="1:15" ht="12.75" customHeight="1" x14ac:dyDescent="0.35">
      <c r="A117" s="907" t="s">
        <v>1821</v>
      </c>
      <c r="B117" s="907"/>
      <c r="C117" s="917" t="s">
        <v>1822</v>
      </c>
      <c r="D117" s="921"/>
      <c r="E117" s="921"/>
      <c r="F117" s="921"/>
      <c r="G117" s="921"/>
      <c r="H117" s="937">
        <f t="shared" ref="H117:N117" si="52">SUM(H115:H116)</f>
        <v>0</v>
      </c>
      <c r="I117" s="937">
        <f t="shared" si="52"/>
        <v>0</v>
      </c>
      <c r="J117" s="937">
        <f t="shared" ref="J117" si="53">SUM(J115:J116)</f>
        <v>0</v>
      </c>
      <c r="K117" s="937">
        <f t="shared" si="52"/>
        <v>0</v>
      </c>
      <c r="L117" s="937">
        <f t="shared" si="52"/>
        <v>0</v>
      </c>
      <c r="M117" s="937">
        <f t="shared" si="52"/>
        <v>0</v>
      </c>
      <c r="N117" s="937">
        <f t="shared" si="52"/>
        <v>0</v>
      </c>
      <c r="O117" s="921"/>
    </row>
    <row r="118" spans="1:15" ht="6" customHeight="1" x14ac:dyDescent="0.35">
      <c r="A118" s="917" t="s">
        <v>1823</v>
      </c>
      <c r="B118" s="917"/>
      <c r="C118" s="907"/>
      <c r="D118" s="285"/>
      <c r="E118" s="285"/>
      <c r="F118" s="285"/>
      <c r="G118" s="285"/>
      <c r="H118" s="285"/>
      <c r="I118" s="285"/>
      <c r="J118" s="285"/>
      <c r="K118" s="285"/>
      <c r="L118" s="285"/>
      <c r="M118" s="285"/>
      <c r="N118" s="285"/>
      <c r="O118" s="285"/>
    </row>
    <row r="119" spans="1:15" ht="12.75" customHeight="1" x14ac:dyDescent="0.35">
      <c r="A119" s="907" t="s">
        <v>1824</v>
      </c>
      <c r="B119" s="907"/>
      <c r="C119" s="917" t="s">
        <v>1825</v>
      </c>
      <c r="D119" s="921"/>
      <c r="E119" s="921"/>
      <c r="F119" s="921"/>
      <c r="G119" s="921"/>
      <c r="H119" s="937">
        <f t="shared" ref="H119:N119" si="54">H97+H107+H117</f>
        <v>0</v>
      </c>
      <c r="I119" s="937">
        <f t="shared" si="54"/>
        <v>0</v>
      </c>
      <c r="J119" s="937">
        <f t="shared" ref="J119" si="55">J97+J107+J117</f>
        <v>0</v>
      </c>
      <c r="K119" s="937">
        <f t="shared" si="54"/>
        <v>0</v>
      </c>
      <c r="L119" s="937">
        <f t="shared" si="54"/>
        <v>0</v>
      </c>
      <c r="M119" s="937">
        <f t="shared" si="54"/>
        <v>0</v>
      </c>
      <c r="N119" s="937">
        <f t="shared" si="54"/>
        <v>0</v>
      </c>
      <c r="O119" s="921"/>
    </row>
    <row r="120" spans="1:15" ht="12.75" customHeight="1" x14ac:dyDescent="0.35">
      <c r="A120" s="917" t="s">
        <v>1826</v>
      </c>
      <c r="B120" s="917"/>
      <c r="C120" s="917" t="s">
        <v>1827</v>
      </c>
      <c r="D120" s="921"/>
      <c r="E120" s="921"/>
      <c r="F120" s="921"/>
      <c r="G120" s="921"/>
      <c r="H120" s="937">
        <f t="shared" ref="H120:N120" si="56">H95+H105+H115</f>
        <v>0</v>
      </c>
      <c r="I120" s="937">
        <f t="shared" si="56"/>
        <v>0</v>
      </c>
      <c r="J120" s="937">
        <f t="shared" ref="J120" si="57">J95+J105+J115</f>
        <v>0</v>
      </c>
      <c r="K120" s="937">
        <f t="shared" si="56"/>
        <v>0</v>
      </c>
      <c r="L120" s="937">
        <f t="shared" si="56"/>
        <v>0</v>
      </c>
      <c r="M120" s="937">
        <f t="shared" si="56"/>
        <v>0</v>
      </c>
      <c r="N120" s="937">
        <f t="shared" si="56"/>
        <v>0</v>
      </c>
      <c r="O120" s="921"/>
    </row>
    <row r="121" spans="1:15" ht="6" customHeight="1" x14ac:dyDescent="0.35">
      <c r="A121" s="942"/>
      <c r="B121" s="942"/>
      <c r="C121" s="942"/>
      <c r="D121" s="909"/>
      <c r="E121" s="909"/>
      <c r="F121" s="909"/>
      <c r="G121" s="909"/>
      <c r="H121" s="909"/>
      <c r="I121" s="909"/>
      <c r="J121" s="909"/>
      <c r="K121" s="909"/>
      <c r="L121" s="909"/>
      <c r="M121" s="909"/>
      <c r="N121" s="909"/>
      <c r="O121" s="909"/>
    </row>
  </sheetData>
  <sheetProtection algorithmName="SHA-512" hashValue="wIDcQppmZBu9CX7yblOd/VYdQ50Wdmo5F6CaiEeMIm/PlSknUJb+GYqnefS1Q3IDsqSUBxaobqhJNuOFxxYERg==" saltValue="ZnbTHtzG4Rpwu2oIAG39+w==" spinCount="100000" sheet="1" objects="1" scenarios="1" formatCells="0"/>
  <printOptions horizontalCentered="1" verticalCentered="1"/>
  <pageMargins left="0.27559055118110237" right="0.27559055118110237" top="0.39370078740157483" bottom="0.39370078740157483" header="0.51181102362204722" footer="0.51181102362204722"/>
  <pageSetup paperSize="9" scale="90" fitToHeight="0" orientation="landscape" r:id="rId1"/>
  <headerFooter>
    <oddFooter>&amp;L&amp;8Invest for Excel&amp;C&amp;8&amp;F&amp;R&amp;8&amp;D: &amp;T</oddFooter>
  </headerFooter>
  <rowBreaks count="2" manualBreakCount="2">
    <brk id="37" max="16383" man="1"/>
    <brk id="83"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5121" r:id="rId4" name="chkKeyFigures">
              <controlPr defaultSize="0" print="0" autoFill="0" autoLine="0" autoPict="0" macro="[0]!ToggleIFRSKeyFigures">
                <anchor moveWithCells="1">
                  <from>
                    <xdr:col>2</xdr:col>
                    <xdr:colOff>50800</xdr:colOff>
                    <xdr:row>2</xdr:row>
                    <xdr:rowOff>38100</xdr:rowOff>
                  </from>
                  <to>
                    <xdr:col>5</xdr:col>
                    <xdr:colOff>1339850</xdr:colOff>
                    <xdr:row>4</xdr:row>
                    <xdr:rowOff>19050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2">
    <pageSetUpPr fitToPage="1"/>
  </sheetPr>
  <dimension ref="B1:AA54"/>
  <sheetViews>
    <sheetView showRowColHeaders="0" workbookViewId="0"/>
  </sheetViews>
  <sheetFormatPr defaultColWidth="9.1796875" defaultRowHeight="14.5" x14ac:dyDescent="0.35"/>
  <cols>
    <col min="1" max="1" width="0.81640625" style="199" customWidth="1"/>
    <col min="2" max="2" width="1.7265625" style="199" customWidth="1"/>
    <col min="3" max="3" width="12.7265625" style="199" customWidth="1"/>
    <col min="4" max="6" width="2.7265625" style="199" customWidth="1"/>
    <col min="7" max="7" width="12.7265625" style="199" customWidth="1"/>
    <col min="8" max="10" width="2.7265625" style="199" customWidth="1"/>
    <col min="11" max="11" width="12.7265625" style="199" customWidth="1"/>
    <col min="12" max="14" width="2.7265625" style="199" customWidth="1"/>
    <col min="15" max="15" width="12.7265625" style="199" customWidth="1"/>
    <col min="16" max="18" width="2.7265625" style="199" customWidth="1"/>
    <col min="19" max="19" width="12.7265625" style="199" customWidth="1"/>
    <col min="20" max="22" width="2.7265625" style="199" customWidth="1"/>
    <col min="23" max="23" width="12.7265625" style="199" customWidth="1"/>
    <col min="24" max="24" width="1.7265625" style="199" customWidth="1"/>
    <col min="25" max="25" width="0.81640625" style="199" customWidth="1"/>
    <col min="26" max="26" width="9.1796875" style="199" hidden="1" customWidth="1"/>
    <col min="27" max="27" width="11" style="199" hidden="1" customWidth="1"/>
    <col min="28" max="16384" width="9.1796875" style="199"/>
  </cols>
  <sheetData>
    <row r="1" spans="2:27" ht="5.15" customHeight="1" x14ac:dyDescent="0.35"/>
    <row r="2" spans="2:27" ht="18" customHeight="1" x14ac:dyDescent="0.35">
      <c r="C2" s="1318" t="str">
        <f>""&amp;Investment</f>
        <v>Consolidated</v>
      </c>
      <c r="D2" s="1319"/>
      <c r="E2" s="1319"/>
      <c r="F2" s="1319"/>
      <c r="G2" s="1319"/>
      <c r="H2" s="1319"/>
      <c r="I2" s="1319"/>
      <c r="J2" s="1319"/>
      <c r="K2" s="1319"/>
      <c r="L2" s="1319"/>
      <c r="M2" s="1319"/>
      <c r="N2" s="1319"/>
      <c r="O2" s="1319"/>
      <c r="P2" s="1319"/>
      <c r="Q2" s="1319"/>
      <c r="R2" s="1319"/>
      <c r="S2" s="1319"/>
      <c r="T2" s="1319"/>
      <c r="U2" s="1319"/>
      <c r="V2" s="1319"/>
      <c r="W2" s="1320" t="str">
        <f>IF(Figures&gt;1,Figures&amp;" ","")&amp;Currency</f>
        <v>Euro</v>
      </c>
    </row>
    <row r="3" spans="2:27" ht="4" customHeight="1" x14ac:dyDescent="0.35"/>
    <row r="4" spans="2:27" ht="13" customHeight="1" x14ac:dyDescent="0.35">
      <c r="B4" s="1327"/>
      <c r="C4" s="1328"/>
      <c r="D4" s="1329"/>
      <c r="E4" s="1329"/>
      <c r="F4" s="1329"/>
      <c r="G4" s="1329"/>
      <c r="H4" s="1330"/>
      <c r="I4" s="1330"/>
      <c r="J4" s="1330"/>
      <c r="K4" s="1331"/>
      <c r="L4" s="1331"/>
      <c r="M4" s="1331"/>
      <c r="N4" s="1331"/>
      <c r="O4" s="1331"/>
      <c r="P4" s="1331"/>
      <c r="Q4" s="1330"/>
      <c r="R4" s="1330"/>
      <c r="S4" s="1330"/>
      <c r="T4" s="1330"/>
      <c r="U4" s="1330"/>
      <c r="V4" s="1330"/>
      <c r="W4" s="1330"/>
      <c r="X4" s="1332"/>
    </row>
    <row r="5" spans="2:27" ht="16.5" customHeight="1" thickBot="1" x14ac:dyDescent="0.4">
      <c r="B5" s="1333"/>
      <c r="C5" s="1334" t="s">
        <v>5928</v>
      </c>
      <c r="D5" s="1335"/>
      <c r="E5" s="1335"/>
      <c r="F5" s="1335"/>
      <c r="G5" s="1335"/>
      <c r="H5" s="1336"/>
      <c r="I5" s="1336"/>
      <c r="J5" s="1336"/>
      <c r="K5" s="1334" t="s">
        <v>5929</v>
      </c>
      <c r="L5" s="1337"/>
      <c r="M5" s="1337"/>
      <c r="N5" s="1337"/>
      <c r="O5" s="1337"/>
      <c r="P5" s="1337"/>
      <c r="Q5" s="1337"/>
      <c r="R5" s="1337"/>
      <c r="S5" s="1337"/>
      <c r="T5" s="1337"/>
      <c r="U5" s="1337"/>
      <c r="V5" s="1337"/>
      <c r="W5" s="1337"/>
      <c r="X5" s="1338"/>
    </row>
    <row r="6" spans="2:27" ht="16.5" customHeight="1" x14ac:dyDescent="0.35">
      <c r="B6" s="1333"/>
      <c r="C6" s="1339" t="s">
        <v>5930</v>
      </c>
      <c r="D6" s="1336"/>
      <c r="E6" s="1336"/>
      <c r="F6" s="1336"/>
      <c r="G6" s="1336"/>
      <c r="H6" s="1336"/>
      <c r="I6" s="1340"/>
      <c r="J6" s="1340"/>
      <c r="K6" s="1341"/>
      <c r="L6" s="1336"/>
      <c r="M6" s="1336"/>
      <c r="N6" s="1336"/>
      <c r="O6" s="1336"/>
      <c r="P6" s="1336"/>
      <c r="Q6" s="1336"/>
      <c r="R6" s="1336"/>
      <c r="S6" s="1336"/>
      <c r="T6" s="1336"/>
      <c r="U6" s="1336"/>
      <c r="V6" s="1336"/>
      <c r="W6" s="1342"/>
      <c r="X6" s="1338"/>
    </row>
    <row r="7" spans="2:27" ht="16.5" customHeight="1" x14ac:dyDescent="0.35">
      <c r="B7" s="1333"/>
      <c r="C7" s="1322">
        <f ca="1">OFFSET(Calculations!$G$454,0,$AA$16)+SUMIF(Calculations!$G$6:$N$6,"*"&amp;$AA$11,Calculations!$G$455:$N$455)</f>
        <v>11461080.606711309</v>
      </c>
      <c r="D7" s="1343"/>
      <c r="E7" s="1340"/>
      <c r="F7" s="1340"/>
      <c r="G7" s="1340"/>
      <c r="H7" s="1340"/>
      <c r="I7" s="1340"/>
      <c r="J7" s="1340"/>
      <c r="K7" s="1336"/>
      <c r="L7" s="1336"/>
      <c r="M7" s="1336"/>
      <c r="N7" s="1336"/>
      <c r="O7" s="1336"/>
      <c r="P7" s="1336"/>
      <c r="Q7" s="1336"/>
      <c r="R7" s="1336"/>
      <c r="S7" s="1336"/>
      <c r="T7" s="1336"/>
      <c r="U7" s="1336"/>
      <c r="V7" s="1336"/>
      <c r="W7" s="1342"/>
      <c r="X7" s="1338"/>
    </row>
    <row r="8" spans="2:27" ht="16.5" customHeight="1" x14ac:dyDescent="0.35">
      <c r="B8" s="1333"/>
      <c r="C8" s="1340"/>
      <c r="D8" s="1344"/>
      <c r="E8" s="1340"/>
      <c r="F8" s="1340"/>
      <c r="G8" s="1345" t="s">
        <v>5931</v>
      </c>
      <c r="H8" s="1340"/>
      <c r="I8" s="1340"/>
      <c r="J8" s="1340"/>
      <c r="K8" s="1336"/>
      <c r="L8" s="1336"/>
      <c r="M8" s="1336"/>
      <c r="N8" s="1336"/>
      <c r="O8" s="1336"/>
      <c r="P8" s="1336"/>
      <c r="Q8" s="1336"/>
      <c r="R8" s="1336"/>
      <c r="S8" s="1336"/>
      <c r="T8" s="1336"/>
      <c r="U8" s="1336"/>
      <c r="V8" s="1336"/>
      <c r="W8" s="1342"/>
      <c r="X8" s="1338"/>
    </row>
    <row r="9" spans="2:27" ht="16.5" customHeight="1" x14ac:dyDescent="0.35">
      <c r="B9" s="1333"/>
      <c r="C9" s="1345" t="s">
        <v>5973</v>
      </c>
      <c r="D9" s="1346"/>
      <c r="E9" s="1321" t="s">
        <v>39</v>
      </c>
      <c r="F9" s="1347" t="s">
        <v>5932</v>
      </c>
      <c r="G9" s="1322">
        <f ca="1">$C$7-$C$10</f>
        <v>3645140.6741645718</v>
      </c>
      <c r="H9" s="1343"/>
      <c r="I9" s="1340"/>
      <c r="J9" s="1340"/>
      <c r="K9" s="1336"/>
      <c r="L9" s="1336"/>
      <c r="M9" s="1336"/>
      <c r="N9" s="1336"/>
      <c r="O9" s="1336"/>
      <c r="P9" s="1336"/>
      <c r="Q9" s="1336"/>
      <c r="R9" s="1336"/>
      <c r="S9" s="1336"/>
      <c r="T9" s="1336"/>
      <c r="U9" s="1336"/>
      <c r="V9" s="1336"/>
      <c r="W9" s="1336"/>
      <c r="X9" s="1338"/>
      <c r="Z9" s="199" t="s">
        <v>5975</v>
      </c>
      <c r="AA9" s="1326">
        <v>1</v>
      </c>
    </row>
    <row r="10" spans="2:27" ht="16.5" customHeight="1" x14ac:dyDescent="0.35">
      <c r="B10" s="1333"/>
      <c r="C10" s="1322">
        <f ca="1">-SUMIF(Calculations!$G$6:$N$6,"*"&amp;$AA$11,Calculations!$G$456:$N$456)</f>
        <v>7815939.9325467376</v>
      </c>
      <c r="D10" s="1348"/>
      <c r="E10" s="1340"/>
      <c r="F10" s="1340"/>
      <c r="G10" s="1340"/>
      <c r="H10" s="1344"/>
      <c r="I10" s="1340"/>
      <c r="J10" s="1340"/>
      <c r="K10" s="1345" t="s">
        <v>5933</v>
      </c>
      <c r="L10" s="1340"/>
      <c r="M10" s="1340"/>
      <c r="N10" s="1340"/>
      <c r="O10" s="1340"/>
      <c r="P10" s="1340"/>
      <c r="Q10" s="1336"/>
      <c r="R10" s="1336"/>
      <c r="S10" s="1345" t="s">
        <v>5934</v>
      </c>
      <c r="T10" s="1336"/>
      <c r="U10" s="1336"/>
      <c r="V10" s="1336"/>
      <c r="W10" s="1336"/>
      <c r="X10" s="1338"/>
      <c r="AA10" s="199" t="str">
        <f ca="1">OFFSET(FinYearsR,AA9-1,0,1,1)</f>
        <v>12/2019</v>
      </c>
    </row>
    <row r="11" spans="2:27" ht="16.5" customHeight="1" x14ac:dyDescent="0.35">
      <c r="B11" s="1333"/>
      <c r="C11" s="1340"/>
      <c r="D11" s="1340"/>
      <c r="E11" s="1340"/>
      <c r="F11" s="1340"/>
      <c r="G11" s="1340"/>
      <c r="H11" s="1346"/>
      <c r="I11" s="1321" t="s">
        <v>39</v>
      </c>
      <c r="J11" s="1347" t="s">
        <v>5932</v>
      </c>
      <c r="K11" s="1322">
        <f ca="1">OFFSET(Calculations!$G$490,0,$AA$16)</f>
        <v>1012140.6741645717</v>
      </c>
      <c r="L11" s="1347"/>
      <c r="M11" s="1349"/>
      <c r="N11" s="1340"/>
      <c r="O11" s="1340"/>
      <c r="P11" s="1340"/>
      <c r="Q11" s="1340"/>
      <c r="R11" s="1340"/>
      <c r="S11" s="1322">
        <f ca="1">$O$16</f>
        <v>728741.28539849073</v>
      </c>
      <c r="T11" s="1350"/>
      <c r="U11" s="1336"/>
      <c r="V11" s="1336"/>
      <c r="W11" s="1351" t="s">
        <v>5935</v>
      </c>
      <c r="X11" s="1338"/>
      <c r="Z11" s="199" t="s">
        <v>5936</v>
      </c>
      <c r="AA11" s="199" t="str">
        <f ca="1">SUBSTITUTE(AA10,"/","")</f>
        <v>122019</v>
      </c>
    </row>
    <row r="12" spans="2:27" ht="16.5" customHeight="1" x14ac:dyDescent="0.35">
      <c r="B12" s="1333"/>
      <c r="C12" s="1345" t="s">
        <v>5937</v>
      </c>
      <c r="D12" s="1340"/>
      <c r="E12" s="1340"/>
      <c r="F12" s="1340"/>
      <c r="G12" s="1340"/>
      <c r="H12" s="1346"/>
      <c r="I12" s="1340"/>
      <c r="J12" s="1340"/>
      <c r="K12" s="1340"/>
      <c r="L12" s="1344"/>
      <c r="M12" s="1340"/>
      <c r="N12" s="1340"/>
      <c r="O12" s="1340"/>
      <c r="P12" s="1340"/>
      <c r="Q12" s="1336"/>
      <c r="R12" s="1336"/>
      <c r="S12" s="1336"/>
      <c r="T12" s="1332"/>
      <c r="U12" s="1336"/>
      <c r="V12" s="1336"/>
      <c r="W12" s="1339" t="s">
        <v>5938</v>
      </c>
      <c r="X12" s="1338"/>
      <c r="Z12" s="199" t="s">
        <v>5939</v>
      </c>
      <c r="AA12" s="199" t="str">
        <f ca="1">""&amp;AA11-1</f>
        <v>122018</v>
      </c>
    </row>
    <row r="13" spans="2:27" ht="16.5" customHeight="1" x14ac:dyDescent="0.35">
      <c r="B13" s="1333"/>
      <c r="C13" s="1322">
        <f ca="1">-SUMIF(Calculations!$G$6:$N$6,"*"&amp;$AA$11,Calculations!$G$470:$N$470)</f>
        <v>2400000</v>
      </c>
      <c r="D13" s="1343"/>
      <c r="E13" s="1340"/>
      <c r="F13" s="1340"/>
      <c r="G13" s="1340"/>
      <c r="H13" s="1346"/>
      <c r="I13" s="1340"/>
      <c r="J13" s="1340"/>
      <c r="K13" s="1345" t="s">
        <v>5940</v>
      </c>
      <c r="L13" s="1346"/>
      <c r="M13" s="1321" t="s">
        <v>39</v>
      </c>
      <c r="N13" s="1340"/>
      <c r="O13" s="1340"/>
      <c r="P13" s="1340"/>
      <c r="Q13" s="1336"/>
      <c r="R13" s="1336"/>
      <c r="S13" s="1339"/>
      <c r="T13" s="1338"/>
      <c r="U13" s="1321" t="s">
        <v>5941</v>
      </c>
      <c r="V13" s="1347" t="s">
        <v>5932</v>
      </c>
      <c r="W13" s="1323" t="e">
        <f ca="1">$S$11/$S$15</f>
        <v>#DIV/0!</v>
      </c>
      <c r="X13" s="1338"/>
      <c r="Z13" s="199" t="s">
        <v>5936</v>
      </c>
      <c r="AA13" s="199" t="str">
        <f ca="1">""&amp;FinMonth&amp;"??"&amp;AA11</f>
        <v>12??122019</v>
      </c>
    </row>
    <row r="14" spans="2:27" ht="16.5" customHeight="1" x14ac:dyDescent="0.35">
      <c r="B14" s="1333"/>
      <c r="C14" s="1340"/>
      <c r="D14" s="1344"/>
      <c r="E14" s="1340"/>
      <c r="F14" s="1340"/>
      <c r="G14" s="1345" t="s">
        <v>5942</v>
      </c>
      <c r="H14" s="1346"/>
      <c r="I14" s="1340"/>
      <c r="J14" s="1340"/>
      <c r="K14" s="1322">
        <f ca="1">-SUMIF(Calculations!$G$6:$N$6,"*"&amp;$AA$11,Calculations!$G$492:$N$492)</f>
        <v>0</v>
      </c>
      <c r="L14" s="1348"/>
      <c r="M14" s="1340"/>
      <c r="N14" s="1340"/>
      <c r="O14" s="1340"/>
      <c r="P14" s="1340"/>
      <c r="Q14" s="1336"/>
      <c r="R14" s="1336"/>
      <c r="S14" s="1352" t="s">
        <v>5943</v>
      </c>
      <c r="T14" s="1353"/>
      <c r="U14" s="1336"/>
      <c r="V14" s="1336"/>
      <c r="W14" s="1336"/>
      <c r="X14" s="1338"/>
      <c r="Z14" s="199" t="s">
        <v>5939</v>
      </c>
      <c r="AA14" s="199" t="str">
        <f ca="1">""&amp;FinMonth&amp;"??"&amp;AA12</f>
        <v>12??122018</v>
      </c>
    </row>
    <row r="15" spans="2:27" ht="16.5" customHeight="1" x14ac:dyDescent="0.35">
      <c r="B15" s="1333"/>
      <c r="C15" s="1345" t="s">
        <v>395</v>
      </c>
      <c r="D15" s="1346"/>
      <c r="E15" s="1321" t="s">
        <v>42</v>
      </c>
      <c r="F15" s="1347" t="s">
        <v>5932</v>
      </c>
      <c r="G15" s="1322">
        <f ca="1">$C$13+$C$16+$C$19</f>
        <v>2633000</v>
      </c>
      <c r="H15" s="1348"/>
      <c r="I15" s="1340"/>
      <c r="J15" s="1340"/>
      <c r="K15" s="1340"/>
      <c r="L15" s="1346"/>
      <c r="M15" s="1340"/>
      <c r="N15" s="1340"/>
      <c r="O15" s="1345" t="s">
        <v>5934</v>
      </c>
      <c r="P15" s="1340"/>
      <c r="Q15" s="1336"/>
      <c r="R15" s="1336"/>
      <c r="S15" s="1322">
        <f ca="1">IF(ISNA($AA$17),0,OFFSET(Calculations!$G$776,0,$AA$17))</f>
        <v>0</v>
      </c>
      <c r="T15" s="1336"/>
      <c r="U15" s="1336"/>
      <c r="V15" s="1336"/>
      <c r="W15" s="1336"/>
      <c r="X15" s="1338"/>
      <c r="Z15" s="199" t="s">
        <v>5974</v>
      </c>
    </row>
    <row r="16" spans="2:27" ht="16.5" customHeight="1" x14ac:dyDescent="0.35">
      <c r="B16" s="1333"/>
      <c r="C16" s="1322">
        <f ca="1">-SUMIF(Calculations!$G$6:$N$6,"*"&amp;$AA$11,Calculations!$G$486:$N$486)</f>
        <v>233000.00000000009</v>
      </c>
      <c r="D16" s="1348"/>
      <c r="E16" s="1340"/>
      <c r="F16" s="1340"/>
      <c r="G16" s="1340"/>
      <c r="H16" s="1340"/>
      <c r="I16" s="1340"/>
      <c r="J16" s="1340"/>
      <c r="K16" s="1345" t="s">
        <v>5944</v>
      </c>
      <c r="L16" s="1346"/>
      <c r="M16" s="1321" t="s">
        <v>39</v>
      </c>
      <c r="N16" s="1347" t="s">
        <v>5932</v>
      </c>
      <c r="O16" s="1322">
        <f ca="1">OFFSET(Calculations!$G$507,0,$AA$16)</f>
        <v>728741.28539849073</v>
      </c>
      <c r="P16" s="1343"/>
      <c r="Q16" s="1336"/>
      <c r="R16" s="1336"/>
      <c r="S16" s="1336"/>
      <c r="T16" s="1336"/>
      <c r="U16" s="1336"/>
      <c r="V16" s="1336"/>
      <c r="W16" s="1336"/>
      <c r="X16" s="1338"/>
      <c r="Z16" s="199" t="s">
        <v>5936</v>
      </c>
      <c r="AA16" s="199">
        <f ca="1">MATCH(AA13,Calculations!$G$6:$N$6,0)-1</f>
        <v>1</v>
      </c>
    </row>
    <row r="17" spans="2:27" ht="16.5" customHeight="1" x14ac:dyDescent="0.35">
      <c r="B17" s="1333"/>
      <c r="C17" s="1340"/>
      <c r="D17" s="1346"/>
      <c r="E17" s="1340"/>
      <c r="F17" s="1340"/>
      <c r="G17" s="1340"/>
      <c r="H17" s="1340"/>
      <c r="I17" s="1340"/>
      <c r="J17" s="1340"/>
      <c r="K17" s="1322">
        <f ca="1">-SUMIF(Calculations!$G$6:$N$6,"*"&amp;$AA$11,Calculations!$G$503:$N$503)</f>
        <v>283399.38876608101</v>
      </c>
      <c r="L17" s="1348"/>
      <c r="M17" s="1340"/>
      <c r="N17" s="1340"/>
      <c r="O17" s="1340"/>
      <c r="P17" s="1344"/>
      <c r="Q17" s="1336"/>
      <c r="R17" s="1336"/>
      <c r="S17" s="1351" t="s">
        <v>5945</v>
      </c>
      <c r="T17" s="1336"/>
      <c r="U17" s="1336"/>
      <c r="V17" s="1336"/>
      <c r="W17" s="1336"/>
      <c r="X17" s="1338"/>
      <c r="Z17" s="199" t="s">
        <v>5939</v>
      </c>
      <c r="AA17" s="199" t="e">
        <f ca="1">MATCH(AA14,Calculations!$G$6:$N$6,0)-1</f>
        <v>#N/A</v>
      </c>
    </row>
    <row r="18" spans="2:27" ht="16.5" customHeight="1" x14ac:dyDescent="0.35">
      <c r="B18" s="1333"/>
      <c r="C18" s="1345" t="s">
        <v>5946</v>
      </c>
      <c r="D18" s="1346"/>
      <c r="E18" s="1321" t="s">
        <v>42</v>
      </c>
      <c r="F18" s="1340"/>
      <c r="G18" s="1340"/>
      <c r="H18" s="1340"/>
      <c r="I18" s="1340"/>
      <c r="J18" s="1340"/>
      <c r="K18" s="1340"/>
      <c r="L18" s="1346"/>
      <c r="M18" s="1340"/>
      <c r="N18" s="1340"/>
      <c r="O18" s="1340"/>
      <c r="P18" s="1346"/>
      <c r="Q18" s="1336"/>
      <c r="R18" s="1336"/>
      <c r="S18" s="1339" t="s">
        <v>5947</v>
      </c>
      <c r="T18" s="1336"/>
      <c r="U18" s="1336"/>
      <c r="V18" s="1336"/>
      <c r="W18" s="1336"/>
      <c r="X18" s="1338"/>
    </row>
    <row r="19" spans="2:27" ht="16.5" customHeight="1" x14ac:dyDescent="0.35">
      <c r="B19" s="1333"/>
      <c r="C19" s="1322">
        <f ca="1">$G$9-$C$13-$C$16-$K$11</f>
        <v>0</v>
      </c>
      <c r="D19" s="1348"/>
      <c r="E19" s="1340"/>
      <c r="F19" s="1340"/>
      <c r="G19" s="1340"/>
      <c r="H19" s="1340"/>
      <c r="I19" s="1340"/>
      <c r="J19" s="1340"/>
      <c r="K19" s="1345" t="s">
        <v>5946</v>
      </c>
      <c r="L19" s="1346"/>
      <c r="M19" s="1321" t="s">
        <v>42</v>
      </c>
      <c r="N19" s="1340"/>
      <c r="O19" s="1345" t="s">
        <v>5930</v>
      </c>
      <c r="P19" s="1346"/>
      <c r="Q19" s="1321" t="s">
        <v>5941</v>
      </c>
      <c r="R19" s="1347" t="s">
        <v>5932</v>
      </c>
      <c r="S19" s="1323">
        <f ca="1">$O$16/$O$20</f>
        <v>6.3583994424728049E-2</v>
      </c>
      <c r="T19" s="1350"/>
      <c r="U19" s="1336"/>
      <c r="V19" s="1336"/>
      <c r="W19" s="1336"/>
      <c r="X19" s="1338"/>
    </row>
    <row r="20" spans="2:27" ht="16.5" customHeight="1" x14ac:dyDescent="0.35">
      <c r="B20" s="1333"/>
      <c r="C20" s="1340"/>
      <c r="D20" s="1340"/>
      <c r="E20" s="1340"/>
      <c r="F20" s="1340"/>
      <c r="G20" s="1340"/>
      <c r="H20" s="1340"/>
      <c r="I20" s="1340"/>
      <c r="J20" s="1340"/>
      <c r="K20" s="1322">
        <f ca="1">$K$11-$K$14-$K$17-$O$16</f>
        <v>0</v>
      </c>
      <c r="L20" s="1348"/>
      <c r="M20" s="1340"/>
      <c r="N20" s="1340"/>
      <c r="O20" s="1322">
        <f ca="1">$C$7</f>
        <v>11461080.606711309</v>
      </c>
      <c r="P20" s="1348"/>
      <c r="Q20" s="1336"/>
      <c r="R20" s="1336"/>
      <c r="S20" s="1336"/>
      <c r="T20" s="1332"/>
      <c r="U20" s="1336"/>
      <c r="V20" s="1336"/>
      <c r="W20" s="1336"/>
      <c r="X20" s="1338"/>
    </row>
    <row r="21" spans="2:27" ht="16.5" customHeight="1" thickBot="1" x14ac:dyDescent="0.4">
      <c r="B21" s="1333"/>
      <c r="C21" s="1354" t="s">
        <v>5948</v>
      </c>
      <c r="D21" s="1337"/>
      <c r="E21" s="1337"/>
      <c r="F21" s="1337"/>
      <c r="G21" s="1337"/>
      <c r="H21" s="1340"/>
      <c r="I21" s="1340"/>
      <c r="J21" s="1340"/>
      <c r="K21" s="1340"/>
      <c r="L21" s="1340"/>
      <c r="M21" s="1340"/>
      <c r="N21" s="1340"/>
      <c r="O21" s="1340"/>
      <c r="P21" s="1340"/>
      <c r="Q21" s="1336"/>
      <c r="R21" s="1336"/>
      <c r="S21" s="1336"/>
      <c r="T21" s="1338"/>
      <c r="U21" s="1336"/>
      <c r="V21" s="1336"/>
      <c r="W21" s="1336"/>
      <c r="X21" s="1338"/>
    </row>
    <row r="22" spans="2:27" ht="16.5" customHeight="1" x14ac:dyDescent="0.35">
      <c r="B22" s="1333"/>
      <c r="C22" s="1345" t="s">
        <v>5949</v>
      </c>
      <c r="D22" s="1340"/>
      <c r="E22" s="1340"/>
      <c r="F22" s="1340"/>
      <c r="G22" s="1340"/>
      <c r="H22" s="1340"/>
      <c r="I22" s="1340"/>
      <c r="J22" s="1340"/>
      <c r="K22" s="1340"/>
      <c r="L22" s="1340"/>
      <c r="M22" s="1340"/>
      <c r="N22" s="1340"/>
      <c r="O22" s="1340"/>
      <c r="P22" s="1340"/>
      <c r="Q22" s="1336"/>
      <c r="R22" s="1336"/>
      <c r="S22" s="1336"/>
      <c r="T22" s="1338"/>
      <c r="U22" s="1336"/>
      <c r="V22" s="1336"/>
      <c r="W22" s="1351" t="s">
        <v>5935</v>
      </c>
      <c r="X22" s="1338"/>
    </row>
    <row r="23" spans="2:27" ht="16.5" customHeight="1" x14ac:dyDescent="0.35">
      <c r="B23" s="1333"/>
      <c r="C23" s="1322">
        <f ca="1">OFFSET(Calculations!$G$774,0,$AA$16)</f>
        <v>-23589645.559880517</v>
      </c>
      <c r="D23" s="1343"/>
      <c r="E23" s="1340"/>
      <c r="F23" s="1340"/>
      <c r="G23" s="1340"/>
      <c r="H23" s="1340"/>
      <c r="I23" s="1340"/>
      <c r="J23" s="1340"/>
      <c r="K23" s="1340"/>
      <c r="L23" s="1340"/>
      <c r="M23" s="1340"/>
      <c r="N23" s="1340"/>
      <c r="O23" s="1340"/>
      <c r="P23" s="1340"/>
      <c r="Q23" s="1336"/>
      <c r="R23" s="1336"/>
      <c r="S23" s="1336"/>
      <c r="T23" s="1338"/>
      <c r="U23" s="1336"/>
      <c r="V23" s="1336"/>
      <c r="W23" s="1339" t="s">
        <v>5950</v>
      </c>
      <c r="X23" s="1338"/>
    </row>
    <row r="24" spans="2:27" ht="16.5" customHeight="1" x14ac:dyDescent="0.35">
      <c r="B24" s="1333"/>
      <c r="C24" s="1340"/>
      <c r="D24" s="1344"/>
      <c r="E24" s="1340"/>
      <c r="F24" s="1340"/>
      <c r="G24" s="1340"/>
      <c r="H24" s="1340"/>
      <c r="I24" s="1340"/>
      <c r="J24" s="1340"/>
      <c r="K24" s="1340"/>
      <c r="L24" s="1340"/>
      <c r="M24" s="1340"/>
      <c r="N24" s="1340"/>
      <c r="O24" s="1340"/>
      <c r="P24" s="1340"/>
      <c r="Q24" s="1336"/>
      <c r="R24" s="1336"/>
      <c r="S24" s="1336"/>
      <c r="T24" s="1338"/>
      <c r="U24" s="1321" t="s">
        <v>5951</v>
      </c>
      <c r="V24" s="1347" t="s">
        <v>5932</v>
      </c>
      <c r="W24" s="1323" t="e">
        <f ca="1">$S$19*$S$28*$S$45</f>
        <v>#DIV/0!</v>
      </c>
      <c r="X24" s="1338"/>
    </row>
    <row r="25" spans="2:27" ht="16.5" customHeight="1" x14ac:dyDescent="0.35">
      <c r="B25" s="1333"/>
      <c r="C25" s="1345" t="s">
        <v>5952</v>
      </c>
      <c r="D25" s="1346"/>
      <c r="E25" s="1321" t="s">
        <v>42</v>
      </c>
      <c r="F25" s="1340"/>
      <c r="G25" s="1345" t="s">
        <v>5953</v>
      </c>
      <c r="H25" s="1340"/>
      <c r="I25" s="1340"/>
      <c r="J25" s="1340"/>
      <c r="K25" s="1345" t="s">
        <v>5930</v>
      </c>
      <c r="L25" s="1340"/>
      <c r="M25" s="1340"/>
      <c r="N25" s="1340"/>
      <c r="O25" s="1340"/>
      <c r="P25" s="1340"/>
      <c r="Q25" s="1336"/>
      <c r="R25" s="1336"/>
      <c r="S25" s="1336"/>
      <c r="T25" s="1338"/>
      <c r="U25" s="1336"/>
      <c r="V25" s="1336"/>
      <c r="W25" s="1336"/>
      <c r="X25" s="1338"/>
    </row>
    <row r="26" spans="2:27" ht="16.5" customHeight="1" x14ac:dyDescent="0.35">
      <c r="B26" s="1333"/>
      <c r="C26" s="1322">
        <f ca="1">OFFSET(Calculations!$G$770,0,$AA$16)+OFFSET(Calculations!$G$771,0,$AA$16)</f>
        <v>11461080.606711309</v>
      </c>
      <c r="D26" s="1348"/>
      <c r="E26" s="1340"/>
      <c r="F26" s="1340"/>
      <c r="G26" s="1322">
        <f ca="1">OFFSET(Calculations!$G$767,0,$AA$16)</f>
        <v>7867000</v>
      </c>
      <c r="H26" s="1343"/>
      <c r="I26" s="1340"/>
      <c r="J26" s="1340"/>
      <c r="K26" s="1322">
        <f ca="1">$C$7</f>
        <v>11461080.606711309</v>
      </c>
      <c r="L26" s="1343"/>
      <c r="M26" s="1340"/>
      <c r="N26" s="1340"/>
      <c r="O26" s="1340"/>
      <c r="P26" s="1340"/>
      <c r="Q26" s="1336"/>
      <c r="R26" s="1336"/>
      <c r="S26" s="1351" t="s">
        <v>5948</v>
      </c>
      <c r="T26" s="1338"/>
      <c r="U26" s="1336"/>
      <c r="V26" s="1336"/>
      <c r="W26" s="1336"/>
      <c r="X26" s="1338"/>
    </row>
    <row r="27" spans="2:27" ht="16.5" customHeight="1" x14ac:dyDescent="0.35">
      <c r="B27" s="1333"/>
      <c r="C27" s="1340"/>
      <c r="D27" s="1346"/>
      <c r="E27" s="1340"/>
      <c r="F27" s="1340"/>
      <c r="G27" s="1340"/>
      <c r="H27" s="1344"/>
      <c r="I27" s="1340"/>
      <c r="J27" s="1340"/>
      <c r="K27" s="1340"/>
      <c r="L27" s="1344"/>
      <c r="M27" s="1340"/>
      <c r="N27" s="1340"/>
      <c r="O27" s="1340"/>
      <c r="P27" s="1340"/>
      <c r="Q27" s="1336"/>
      <c r="R27" s="1336"/>
      <c r="S27" s="1339" t="s">
        <v>5954</v>
      </c>
      <c r="T27" s="1338"/>
      <c r="U27" s="1336"/>
      <c r="V27" s="1336"/>
      <c r="W27" s="1336"/>
      <c r="X27" s="1338"/>
    </row>
    <row r="28" spans="2:27" ht="16.5" customHeight="1" x14ac:dyDescent="0.35">
      <c r="B28" s="1333"/>
      <c r="C28" s="1345" t="s">
        <v>5955</v>
      </c>
      <c r="D28" s="1346"/>
      <c r="E28" s="1321" t="s">
        <v>42</v>
      </c>
      <c r="F28" s="1340"/>
      <c r="G28" s="1340"/>
      <c r="H28" s="1346"/>
      <c r="I28" s="1340"/>
      <c r="J28" s="1340"/>
      <c r="K28" s="1345" t="s">
        <v>5956</v>
      </c>
      <c r="L28" s="1346"/>
      <c r="M28" s="1321" t="s">
        <v>5941</v>
      </c>
      <c r="N28" s="1347" t="s">
        <v>5932</v>
      </c>
      <c r="O28" s="1347"/>
      <c r="P28" s="1347"/>
      <c r="Q28" s="1347"/>
      <c r="R28" s="1347" t="s">
        <v>5932</v>
      </c>
      <c r="S28" s="1324">
        <f ca="1">$K$26/$K$29</f>
        <v>1.7740428418555525</v>
      </c>
      <c r="T28" s="1355"/>
      <c r="U28" s="1336"/>
      <c r="V28" s="1336"/>
      <c r="W28" s="1336"/>
      <c r="X28" s="1338"/>
    </row>
    <row r="29" spans="2:27" ht="16.5" customHeight="1" x14ac:dyDescent="0.35">
      <c r="B29" s="1333"/>
      <c r="C29" s="1322">
        <f ca="1">OFFSET(Calculations!$G$769,0,$AA$16)</f>
        <v>10721995.522435302</v>
      </c>
      <c r="D29" s="1348"/>
      <c r="E29" s="1340"/>
      <c r="F29" s="1340"/>
      <c r="G29" s="1340"/>
      <c r="H29" s="1346"/>
      <c r="I29" s="1321" t="s">
        <v>42</v>
      </c>
      <c r="J29" s="1347" t="s">
        <v>5932</v>
      </c>
      <c r="K29" s="1322">
        <f ca="1">$G$26+$G$31</f>
        <v>6460430.5692660958</v>
      </c>
      <c r="L29" s="1348"/>
      <c r="M29" s="1340"/>
      <c r="N29" s="1356"/>
      <c r="O29" s="1340"/>
      <c r="P29" s="1340"/>
      <c r="Q29" s="1336"/>
      <c r="R29" s="1336"/>
      <c r="S29" s="1336"/>
      <c r="T29" s="1338"/>
      <c r="U29" s="1336"/>
      <c r="V29" s="1336"/>
      <c r="W29" s="1336"/>
      <c r="X29" s="1338"/>
    </row>
    <row r="30" spans="2:27" ht="16.5" customHeight="1" x14ac:dyDescent="0.35">
      <c r="B30" s="1333"/>
      <c r="C30" s="1340"/>
      <c r="D30" s="1346"/>
      <c r="E30" s="1340"/>
      <c r="F30" s="1340"/>
      <c r="G30" s="1345" t="s">
        <v>5957</v>
      </c>
      <c r="H30" s="1346"/>
      <c r="I30" s="1340"/>
      <c r="J30" s="1340"/>
      <c r="K30" s="1340"/>
      <c r="L30" s="1340"/>
      <c r="M30" s="1340"/>
      <c r="N30" s="1340"/>
      <c r="O30" s="1340"/>
      <c r="P30" s="1340"/>
      <c r="Q30" s="1336"/>
      <c r="R30" s="1336"/>
      <c r="S30" s="1336"/>
      <c r="T30" s="1338"/>
      <c r="U30" s="1336"/>
      <c r="V30" s="1336"/>
      <c r="W30" s="1336"/>
      <c r="X30" s="1338"/>
    </row>
    <row r="31" spans="2:27" ht="16.5" customHeight="1" x14ac:dyDescent="0.35">
      <c r="B31" s="1333"/>
      <c r="C31" s="1345" t="s">
        <v>5946</v>
      </c>
      <c r="D31" s="1346"/>
      <c r="E31" s="1321" t="s">
        <v>42</v>
      </c>
      <c r="F31" s="1347" t="s">
        <v>5932</v>
      </c>
      <c r="G31" s="1322">
        <f ca="1">OFFSET(Calculations!$G$775,0,$AA$16)</f>
        <v>-1406569.4307339042</v>
      </c>
      <c r="H31" s="1348"/>
      <c r="I31" s="1340"/>
      <c r="J31" s="1340"/>
      <c r="K31" s="1340"/>
      <c r="L31" s="1340"/>
      <c r="M31" s="1340"/>
      <c r="N31" s="1340"/>
      <c r="O31" s="1357" t="s">
        <v>5958</v>
      </c>
      <c r="P31" s="1340"/>
      <c r="Q31" s="1336"/>
      <c r="R31" s="1336"/>
      <c r="S31" s="1336"/>
      <c r="T31" s="1338"/>
      <c r="U31" s="1336"/>
      <c r="V31" s="1336"/>
      <c r="W31" s="1336"/>
      <c r="X31" s="1338"/>
    </row>
    <row r="32" spans="2:27" ht="16.5" customHeight="1" x14ac:dyDescent="0.35">
      <c r="B32" s="1333"/>
      <c r="C32" s="1322">
        <f ca="1">$G$31-$C$23-$C$26-$C$29</f>
        <v>0</v>
      </c>
      <c r="D32" s="1348"/>
      <c r="E32" s="1340"/>
      <c r="F32" s="1340"/>
      <c r="G32" s="1340"/>
      <c r="H32" s="1340"/>
      <c r="I32" s="1340"/>
      <c r="J32" s="1331"/>
      <c r="K32" s="1331"/>
      <c r="L32" s="1344"/>
      <c r="M32" s="1340"/>
      <c r="N32" s="1340"/>
      <c r="O32" s="1345" t="s">
        <v>5959</v>
      </c>
      <c r="P32" s="1340"/>
      <c r="Q32" s="1336"/>
      <c r="R32" s="1336"/>
      <c r="S32" s="1336"/>
      <c r="T32" s="1338"/>
      <c r="U32" s="1336"/>
      <c r="V32" s="1336"/>
      <c r="W32" s="1336"/>
      <c r="X32" s="1338"/>
    </row>
    <row r="33" spans="2:24" ht="16.5" customHeight="1" x14ac:dyDescent="0.35">
      <c r="B33" s="1333"/>
      <c r="C33" s="1340"/>
      <c r="D33" s="1340"/>
      <c r="E33" s="1340"/>
      <c r="F33" s="1340"/>
      <c r="G33" s="1340"/>
      <c r="H33" s="1340"/>
      <c r="I33" s="1340"/>
      <c r="J33" s="1340"/>
      <c r="K33" s="1340"/>
      <c r="L33" s="1346"/>
      <c r="M33" s="1321" t="s">
        <v>39</v>
      </c>
      <c r="N33" s="1347" t="s">
        <v>5932</v>
      </c>
      <c r="O33" s="1322">
        <f ca="1">$G$31-$G$38</f>
        <v>-7138258.7146015102</v>
      </c>
      <c r="P33" s="1340"/>
      <c r="Q33" s="1336"/>
      <c r="R33" s="1336"/>
      <c r="S33" s="1336"/>
      <c r="T33" s="1338"/>
      <c r="U33" s="1336"/>
      <c r="V33" s="1336"/>
      <c r="W33" s="1336"/>
      <c r="X33" s="1338"/>
    </row>
    <row r="34" spans="2:24" ht="16.5" customHeight="1" thickBot="1" x14ac:dyDescent="0.4">
      <c r="B34" s="1333"/>
      <c r="C34" s="1354" t="s">
        <v>973</v>
      </c>
      <c r="D34" s="1337"/>
      <c r="E34" s="1337"/>
      <c r="F34" s="1337"/>
      <c r="G34" s="1337"/>
      <c r="H34" s="1340"/>
      <c r="I34" s="1340"/>
      <c r="J34" s="1340"/>
      <c r="K34" s="1356"/>
      <c r="L34" s="1346"/>
      <c r="M34" s="1340"/>
      <c r="N34" s="1340"/>
      <c r="O34" s="1340"/>
      <c r="P34" s="1340"/>
      <c r="Q34" s="1336"/>
      <c r="R34" s="1336"/>
      <c r="S34" s="1336"/>
      <c r="T34" s="1338"/>
      <c r="U34" s="1336"/>
      <c r="V34" s="1336"/>
      <c r="W34" s="1336"/>
      <c r="X34" s="1338"/>
    </row>
    <row r="35" spans="2:24" ht="16.5" customHeight="1" x14ac:dyDescent="0.35">
      <c r="B35" s="1333"/>
      <c r="C35" s="1345" t="s">
        <v>5960</v>
      </c>
      <c r="D35" s="1340"/>
      <c r="E35" s="1340"/>
      <c r="F35" s="1340"/>
      <c r="G35" s="1340"/>
      <c r="H35" s="1340"/>
      <c r="I35" s="1340"/>
      <c r="J35" s="1340"/>
      <c r="K35" s="1340"/>
      <c r="L35" s="1346"/>
      <c r="M35" s="1340"/>
      <c r="N35" s="1340"/>
      <c r="O35" s="1340"/>
      <c r="P35" s="1340"/>
      <c r="Q35" s="1336"/>
      <c r="R35" s="1336"/>
      <c r="S35" s="1336"/>
      <c r="T35" s="1338"/>
      <c r="U35" s="1321" t="s">
        <v>5951</v>
      </c>
      <c r="V35" s="1336"/>
      <c r="W35" s="1336"/>
      <c r="X35" s="1338"/>
    </row>
    <row r="36" spans="2:24" ht="16.5" customHeight="1" x14ac:dyDescent="0.35">
      <c r="B36" s="1333"/>
      <c r="C36" s="1322">
        <f ca="1">OFFSET(Calculations!$G$816,0,$AA$16)+OFFSET(Calculations!$G$817,0,$AA$16)</f>
        <v>5731689.283867606</v>
      </c>
      <c r="D36" s="1343"/>
      <c r="E36" s="1340"/>
      <c r="F36" s="1340"/>
      <c r="G36" s="1340"/>
      <c r="H36" s="1340"/>
      <c r="I36" s="1340"/>
      <c r="J36" s="1340"/>
      <c r="K36" s="1340"/>
      <c r="L36" s="1346"/>
      <c r="M36" s="1340"/>
      <c r="N36" s="1340"/>
      <c r="O36" s="1340"/>
      <c r="P36" s="1340"/>
      <c r="Q36" s="1336"/>
      <c r="R36" s="1336"/>
      <c r="S36" s="1336"/>
      <c r="T36" s="1338"/>
      <c r="U36" s="1336"/>
      <c r="V36" s="1336"/>
      <c r="W36" s="1336"/>
      <c r="X36" s="1338"/>
    </row>
    <row r="37" spans="2:24" ht="16.5" customHeight="1" x14ac:dyDescent="0.35">
      <c r="B37" s="1333"/>
      <c r="C37" s="1340"/>
      <c r="D37" s="1344"/>
      <c r="E37" s="1340"/>
      <c r="F37" s="1340"/>
      <c r="G37" s="1345" t="s">
        <v>5961</v>
      </c>
      <c r="H37" s="1340"/>
      <c r="I37" s="1340"/>
      <c r="J37" s="1358"/>
      <c r="K37" s="1358"/>
      <c r="L37" s="1359"/>
      <c r="M37" s="1340"/>
      <c r="N37" s="1340"/>
      <c r="O37" s="1340"/>
      <c r="P37" s="1340"/>
      <c r="Q37" s="1336"/>
      <c r="R37" s="1336"/>
      <c r="S37" s="1336"/>
      <c r="T37" s="1338"/>
      <c r="U37" s="1336"/>
      <c r="V37" s="1336"/>
      <c r="W37" s="1336"/>
      <c r="X37" s="1338"/>
    </row>
    <row r="38" spans="2:24" ht="16.5" customHeight="1" x14ac:dyDescent="0.35">
      <c r="B38" s="1333"/>
      <c r="C38" s="1345" t="s">
        <v>5962</v>
      </c>
      <c r="D38" s="1346"/>
      <c r="E38" s="1321" t="s">
        <v>42</v>
      </c>
      <c r="F38" s="1347" t="s">
        <v>5932</v>
      </c>
      <c r="G38" s="1322">
        <f ca="1">OFFSET(Calculations!$G$811,0,$AA$16)</f>
        <v>5731689.283867606</v>
      </c>
      <c r="H38" s="1360"/>
      <c r="I38" s="1340"/>
      <c r="J38" s="1340"/>
      <c r="K38" s="1340"/>
      <c r="L38" s="1340"/>
      <c r="M38" s="1340"/>
      <c r="N38" s="1340"/>
      <c r="O38" s="1340"/>
      <c r="P38" s="1340"/>
      <c r="Q38" s="1336"/>
      <c r="R38" s="1336"/>
      <c r="S38" s="1336"/>
      <c r="T38" s="1338"/>
      <c r="U38" s="1336"/>
      <c r="V38" s="1336"/>
      <c r="W38" s="1336"/>
      <c r="X38" s="1338"/>
    </row>
    <row r="39" spans="2:24" ht="16.5" customHeight="1" x14ac:dyDescent="0.35">
      <c r="B39" s="1333"/>
      <c r="C39" s="1322">
        <f ca="1">OFFSET(Calculations!$G$814,0,$AA$16)</f>
        <v>0</v>
      </c>
      <c r="D39" s="1348"/>
      <c r="E39" s="1340"/>
      <c r="F39" s="1340"/>
      <c r="G39" s="1340"/>
      <c r="H39" s="1346"/>
      <c r="I39" s="1340"/>
      <c r="J39" s="1340"/>
      <c r="K39" s="1345" t="s">
        <v>5963</v>
      </c>
      <c r="L39" s="1340"/>
      <c r="M39" s="1340"/>
      <c r="N39" s="1340"/>
      <c r="O39" s="1340"/>
      <c r="P39" s="1340"/>
      <c r="Q39" s="1336"/>
      <c r="R39" s="1336"/>
      <c r="S39" s="1336"/>
      <c r="T39" s="1338"/>
      <c r="U39" s="1336"/>
      <c r="V39" s="1336"/>
      <c r="W39" s="1336"/>
      <c r="X39" s="1338"/>
    </row>
    <row r="40" spans="2:24" ht="16.5" customHeight="1" x14ac:dyDescent="0.35">
      <c r="B40" s="1333"/>
      <c r="C40" s="1340"/>
      <c r="D40" s="1346"/>
      <c r="E40" s="1340"/>
      <c r="F40" s="1340"/>
      <c r="G40" s="1345" t="s">
        <v>5964</v>
      </c>
      <c r="H40" s="1346"/>
      <c r="I40" s="1321" t="s">
        <v>42</v>
      </c>
      <c r="J40" s="1347" t="s">
        <v>5932</v>
      </c>
      <c r="K40" s="1322">
        <f ca="1">$G$38+$G$41</f>
        <v>5731689.283867606</v>
      </c>
      <c r="L40" s="1340"/>
      <c r="M40" s="1340"/>
      <c r="N40" s="1340"/>
      <c r="O40" s="1340"/>
      <c r="P40" s="1340"/>
      <c r="Q40" s="1336"/>
      <c r="R40" s="1336"/>
      <c r="S40" s="1336"/>
      <c r="T40" s="1338"/>
      <c r="U40" s="1336"/>
      <c r="V40" s="1336"/>
      <c r="W40" s="1336"/>
      <c r="X40" s="1338"/>
    </row>
    <row r="41" spans="2:24" ht="16.5" customHeight="1" x14ac:dyDescent="0.35">
      <c r="B41" s="1333"/>
      <c r="C41" s="1345" t="s">
        <v>5946</v>
      </c>
      <c r="D41" s="1346"/>
      <c r="E41" s="1321" t="s">
        <v>42</v>
      </c>
      <c r="F41" s="1340"/>
      <c r="G41" s="1322">
        <f ca="1">OFFSET(Calculations!$G$805,0,$AA$16)</f>
        <v>0</v>
      </c>
      <c r="H41" s="1348"/>
      <c r="I41" s="1340"/>
      <c r="J41" s="1340"/>
      <c r="K41" s="1340"/>
      <c r="L41" s="1344"/>
      <c r="M41" s="1340"/>
      <c r="N41" s="1340"/>
      <c r="O41" s="1340"/>
      <c r="P41" s="1340"/>
      <c r="Q41" s="1336"/>
      <c r="R41" s="1336"/>
      <c r="S41" s="1336"/>
      <c r="T41" s="1338"/>
      <c r="U41" s="1336"/>
      <c r="V41" s="1336"/>
      <c r="W41" s="1336"/>
      <c r="X41" s="1338"/>
    </row>
    <row r="42" spans="2:24" ht="16.5" customHeight="1" x14ac:dyDescent="0.35">
      <c r="B42" s="1333"/>
      <c r="C42" s="1322">
        <f ca="1">$G$38-$C$36-$C$39</f>
        <v>0</v>
      </c>
      <c r="D42" s="1348"/>
      <c r="E42" s="1340"/>
      <c r="F42" s="1340"/>
      <c r="G42" s="1340"/>
      <c r="H42" s="1340"/>
      <c r="I42" s="1340"/>
      <c r="J42" s="1340"/>
      <c r="K42" s="1340"/>
      <c r="L42" s="1346"/>
      <c r="M42" s="1340"/>
      <c r="N42" s="1340"/>
      <c r="O42" s="1345" t="s">
        <v>5956</v>
      </c>
      <c r="P42" s="1340"/>
      <c r="Q42" s="1336"/>
      <c r="R42" s="1336"/>
      <c r="S42" s="1336"/>
      <c r="T42" s="1338"/>
      <c r="U42" s="1336"/>
      <c r="V42" s="1336"/>
      <c r="W42" s="1336"/>
      <c r="X42" s="1338"/>
    </row>
    <row r="43" spans="2:24" ht="16.5" customHeight="1" x14ac:dyDescent="0.35">
      <c r="B43" s="1333"/>
      <c r="C43" s="1340"/>
      <c r="D43" s="1340"/>
      <c r="E43" s="1340"/>
      <c r="F43" s="1340"/>
      <c r="G43" s="1340"/>
      <c r="H43" s="1340"/>
      <c r="I43" s="1340"/>
      <c r="J43" s="1340"/>
      <c r="K43" s="1340"/>
      <c r="L43" s="1346"/>
      <c r="M43" s="1321" t="s">
        <v>42</v>
      </c>
      <c r="N43" s="1347" t="s">
        <v>5932</v>
      </c>
      <c r="O43" s="1322">
        <f ca="1">$K$40+$K$51</f>
        <v>6460430.5692660967</v>
      </c>
      <c r="P43" s="1343"/>
      <c r="Q43" s="1336"/>
      <c r="R43" s="1336"/>
      <c r="S43" s="1361"/>
      <c r="T43" s="1338"/>
      <c r="U43" s="1336"/>
      <c r="V43" s="1336"/>
      <c r="W43" s="1336"/>
      <c r="X43" s="1338"/>
    </row>
    <row r="44" spans="2:24" ht="16.5" customHeight="1" thickBot="1" x14ac:dyDescent="0.4">
      <c r="B44" s="1333"/>
      <c r="C44" s="1354" t="s">
        <v>540</v>
      </c>
      <c r="D44" s="1337"/>
      <c r="E44" s="1337"/>
      <c r="F44" s="1337"/>
      <c r="G44" s="1337"/>
      <c r="H44" s="1340"/>
      <c r="I44" s="1340"/>
      <c r="J44" s="1340"/>
      <c r="K44" s="1340"/>
      <c r="L44" s="1346"/>
      <c r="M44" s="1340"/>
      <c r="N44" s="1340"/>
      <c r="O44" s="1340"/>
      <c r="P44" s="1346"/>
      <c r="Q44" s="1336"/>
      <c r="R44" s="1336"/>
      <c r="S44" s="1339" t="s">
        <v>5965</v>
      </c>
      <c r="T44" s="1338"/>
      <c r="U44" s="1336"/>
      <c r="V44" s="1336"/>
      <c r="W44" s="1336"/>
      <c r="X44" s="1338"/>
    </row>
    <row r="45" spans="2:24" ht="16.5" customHeight="1" x14ac:dyDescent="0.35">
      <c r="B45" s="1333"/>
      <c r="C45" s="1345" t="s">
        <v>5966</v>
      </c>
      <c r="D45" s="1340"/>
      <c r="E45" s="1340"/>
      <c r="F45" s="1340"/>
      <c r="G45" s="1340"/>
      <c r="H45" s="1340"/>
      <c r="I45" s="1340"/>
      <c r="J45" s="1340"/>
      <c r="K45" s="1340"/>
      <c r="L45" s="1346"/>
      <c r="M45" s="1340"/>
      <c r="N45" s="1340"/>
      <c r="O45" s="1345" t="s">
        <v>5967</v>
      </c>
      <c r="P45" s="1346"/>
      <c r="Q45" s="1321" t="s">
        <v>5941</v>
      </c>
      <c r="R45" s="1347" t="s">
        <v>5932</v>
      </c>
      <c r="S45" s="1324" t="e">
        <f ca="1">$O$43/$O$46</f>
        <v>#DIV/0!</v>
      </c>
      <c r="T45" s="1355"/>
      <c r="U45" s="1336"/>
      <c r="V45" s="1336"/>
      <c r="W45" s="1336"/>
      <c r="X45" s="1338"/>
    </row>
    <row r="46" spans="2:24" ht="16.5" customHeight="1" x14ac:dyDescent="0.35">
      <c r="B46" s="1333"/>
      <c r="C46" s="1322">
        <f ca="1">$K$51-$C$49-$C$52</f>
        <v>0</v>
      </c>
      <c r="D46" s="1343"/>
      <c r="E46" s="1340"/>
      <c r="F46" s="1340"/>
      <c r="G46" s="1340"/>
      <c r="H46" s="1340"/>
      <c r="I46" s="1340"/>
      <c r="J46" s="1340"/>
      <c r="K46" s="1340"/>
      <c r="L46" s="1346"/>
      <c r="M46" s="1340"/>
      <c r="N46" s="1340"/>
      <c r="O46" s="1322">
        <f ca="1">$C$49</f>
        <v>0</v>
      </c>
      <c r="P46" s="1348"/>
      <c r="Q46" s="1336"/>
      <c r="R46" s="1336"/>
      <c r="S46" s="1336"/>
      <c r="T46" s="1336"/>
      <c r="U46" s="1336"/>
      <c r="V46" s="1336"/>
      <c r="W46" s="1336"/>
      <c r="X46" s="1338"/>
    </row>
    <row r="47" spans="2:24" ht="16.5" customHeight="1" x14ac:dyDescent="0.35">
      <c r="B47" s="1333"/>
      <c r="C47" s="1340"/>
      <c r="D47" s="1346"/>
      <c r="E47" s="1340"/>
      <c r="F47" s="1340"/>
      <c r="G47" s="1340"/>
      <c r="H47" s="1340"/>
      <c r="I47" s="1340"/>
      <c r="J47" s="1340"/>
      <c r="K47" s="1340"/>
      <c r="L47" s="1346"/>
      <c r="M47" s="1340"/>
      <c r="N47" s="1340"/>
      <c r="O47" s="1340"/>
      <c r="P47" s="1340"/>
      <c r="Q47" s="1336"/>
      <c r="R47" s="1336"/>
      <c r="S47" s="1339" t="s">
        <v>5968</v>
      </c>
      <c r="T47" s="1336"/>
      <c r="U47" s="1336"/>
      <c r="V47" s="1336"/>
      <c r="W47" s="1336"/>
      <c r="X47" s="1338"/>
    </row>
    <row r="48" spans="2:24" ht="16.5" customHeight="1" x14ac:dyDescent="0.35">
      <c r="B48" s="1333"/>
      <c r="C48" s="1345" t="s">
        <v>5967</v>
      </c>
      <c r="D48" s="1346"/>
      <c r="E48" s="1321" t="s">
        <v>42</v>
      </c>
      <c r="F48" s="1340"/>
      <c r="G48" s="1340"/>
      <c r="H48" s="1340"/>
      <c r="I48" s="1340"/>
      <c r="J48" s="1340"/>
      <c r="K48" s="1340"/>
      <c r="L48" s="1346"/>
      <c r="M48" s="1340"/>
      <c r="N48" s="1340"/>
      <c r="O48" s="1340"/>
      <c r="P48" s="1340"/>
      <c r="Q48" s="1336"/>
      <c r="R48" s="1336"/>
      <c r="S48" s="1322">
        <f ca="1">$C$7</f>
        <v>11461080.606711309</v>
      </c>
      <c r="T48" s="1336"/>
      <c r="U48" s="1336"/>
      <c r="V48" s="1336"/>
      <c r="W48" s="1351" t="s">
        <v>5968</v>
      </c>
      <c r="X48" s="1338"/>
    </row>
    <row r="49" spans="2:24" ht="16.5" customHeight="1" x14ac:dyDescent="0.35">
      <c r="B49" s="1333"/>
      <c r="C49" s="1322">
        <f ca="1">IF(ISNA($AA$17),0,OFFSET(Calculations!$G$800,0,$AA$17))</f>
        <v>0</v>
      </c>
      <c r="D49" s="1348"/>
      <c r="E49" s="1340"/>
      <c r="F49" s="1340"/>
      <c r="G49" s="1340"/>
      <c r="H49" s="1340"/>
      <c r="I49" s="1340"/>
      <c r="J49" s="1340"/>
      <c r="K49" s="1357" t="s">
        <v>5969</v>
      </c>
      <c r="L49" s="1346"/>
      <c r="M49" s="1340"/>
      <c r="N49" s="1340"/>
      <c r="O49" s="1340"/>
      <c r="P49" s="1340"/>
      <c r="Q49" s="1336"/>
      <c r="R49" s="1336"/>
      <c r="S49" s="1336"/>
      <c r="T49" s="1332"/>
      <c r="U49" s="1336"/>
      <c r="V49" s="1336"/>
      <c r="W49" s="1339" t="s">
        <v>5970</v>
      </c>
      <c r="X49" s="1338"/>
    </row>
    <row r="50" spans="2:24" ht="16.5" customHeight="1" x14ac:dyDescent="0.35">
      <c r="B50" s="1333"/>
      <c r="C50" s="1340"/>
      <c r="D50" s="1346"/>
      <c r="E50" s="1340"/>
      <c r="F50" s="1340"/>
      <c r="G50" s="1340"/>
      <c r="H50" s="1340"/>
      <c r="I50" s="1340"/>
      <c r="J50" s="1340"/>
      <c r="K50" s="1345" t="s">
        <v>5971</v>
      </c>
      <c r="L50" s="1346"/>
      <c r="M50" s="1340"/>
      <c r="N50" s="1340"/>
      <c r="O50" s="1340"/>
      <c r="P50" s="1340"/>
      <c r="Q50" s="1336"/>
      <c r="R50" s="1336"/>
      <c r="S50" s="1345" t="s">
        <v>5972</v>
      </c>
      <c r="T50" s="1338"/>
      <c r="U50" s="1321" t="s">
        <v>5941</v>
      </c>
      <c r="V50" s="1347" t="s">
        <v>5932</v>
      </c>
      <c r="W50" s="1323" t="e">
        <f ca="1">$S$48/$S$51-1</f>
        <v>#DIV/0!</v>
      </c>
      <c r="X50" s="1338"/>
    </row>
    <row r="51" spans="2:24" ht="16.5" customHeight="1" x14ac:dyDescent="0.35">
      <c r="B51" s="1333"/>
      <c r="C51" s="1345" t="s">
        <v>5934</v>
      </c>
      <c r="D51" s="1346"/>
      <c r="E51" s="1325" t="s">
        <v>42</v>
      </c>
      <c r="F51" s="1347" t="s">
        <v>5932</v>
      </c>
      <c r="G51" s="1349"/>
      <c r="H51" s="1349"/>
      <c r="I51" s="1349"/>
      <c r="J51" s="1347" t="s">
        <v>5932</v>
      </c>
      <c r="K51" s="1322">
        <f ca="1">OFFSET(Calculations!$G$800,0,$AA$16)</f>
        <v>728741.28539849073</v>
      </c>
      <c r="L51" s="1348"/>
      <c r="M51" s="1340"/>
      <c r="N51" s="1340"/>
      <c r="O51" s="1340"/>
      <c r="P51" s="1340"/>
      <c r="Q51" s="1336"/>
      <c r="R51" s="1336"/>
      <c r="S51" s="1322">
        <f ca="1">IF(ISNA($AA$17),0,OFFSET(Calculations!$G$454,0,$AA$17))+SUMIF(Calculations!$G$6:$N$6,"*"&amp;$AA$12,Calculations!$G$455:$N$455)</f>
        <v>0</v>
      </c>
      <c r="T51" s="1355"/>
      <c r="U51" s="1336"/>
      <c r="V51" s="1336"/>
      <c r="W51" s="1336"/>
      <c r="X51" s="1338"/>
    </row>
    <row r="52" spans="2:24" ht="16.5" customHeight="1" x14ac:dyDescent="0.35">
      <c r="B52" s="1333"/>
      <c r="C52" s="1322">
        <f ca="1">$O$16</f>
        <v>728741.28539849073</v>
      </c>
      <c r="D52" s="1348"/>
      <c r="E52" s="1340"/>
      <c r="F52" s="1340"/>
      <c r="G52" s="1340"/>
      <c r="H52" s="1340"/>
      <c r="I52" s="1340"/>
      <c r="J52" s="1340"/>
      <c r="K52" s="1340"/>
      <c r="L52" s="1340"/>
      <c r="M52" s="1340"/>
      <c r="N52" s="1340"/>
      <c r="O52" s="1340"/>
      <c r="P52" s="1340"/>
      <c r="Q52" s="1336"/>
      <c r="R52" s="1336"/>
      <c r="S52" s="1336"/>
      <c r="T52" s="1336"/>
      <c r="U52" s="1336"/>
      <c r="V52" s="1336"/>
      <c r="W52" s="1336"/>
      <c r="X52" s="1338"/>
    </row>
    <row r="53" spans="2:24" ht="13" customHeight="1" x14ac:dyDescent="0.35">
      <c r="B53" s="1350"/>
      <c r="C53" s="1358"/>
      <c r="D53" s="1358"/>
      <c r="E53" s="1358"/>
      <c r="F53" s="1358"/>
      <c r="G53" s="1358"/>
      <c r="H53" s="1358"/>
      <c r="I53" s="1358"/>
      <c r="J53" s="1358"/>
      <c r="K53" s="1358"/>
      <c r="L53" s="1358"/>
      <c r="M53" s="1358"/>
      <c r="N53" s="1358"/>
      <c r="O53" s="1358"/>
      <c r="P53" s="1358"/>
      <c r="Q53" s="1362"/>
      <c r="R53" s="1362"/>
      <c r="S53" s="1362"/>
      <c r="T53" s="1362"/>
      <c r="U53" s="1362"/>
      <c r="V53" s="1362"/>
      <c r="W53" s="1362"/>
      <c r="X53" s="1353"/>
    </row>
    <row r="54" spans="2:24" ht="5.15" customHeight="1" x14ac:dyDescent="0.35"/>
  </sheetData>
  <sheetProtection password="B01E" sheet="1" objects="1" scenarios="1" formatCells="0"/>
  <printOptions horizontalCentered="1" verticalCentered="1"/>
  <pageMargins left="0.23622047244094491" right="0.23622047244094491" top="0.74803149606299213" bottom="0.74803149606299213" header="0.31496062992125984" footer="0.31496062992125984"/>
  <pageSetup paperSize="9" scale="81" orientation="portrait" r:id="rId1"/>
  <headerFooter>
    <oddFooter>&amp;LInvest for Excel&amp;C&amp;F&amp;R&amp;D: &amp;T</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265" r:id="rId4" name="Drop Down 1">
              <controlPr defaultSize="0" autoLine="0" autoPict="0">
                <anchor moveWithCells="1">
                  <from>
                    <xdr:col>22</xdr:col>
                    <xdr:colOff>12700</xdr:colOff>
                    <xdr:row>5</xdr:row>
                    <xdr:rowOff>0</xdr:rowOff>
                  </from>
                  <to>
                    <xdr:col>22</xdr:col>
                    <xdr:colOff>558800</xdr:colOff>
                    <xdr:row>5</xdr:row>
                    <xdr:rowOff>133350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MD">
    <pageSetUpPr autoPageBreaks="0"/>
  </sheetPr>
  <dimension ref="A1:E103"/>
  <sheetViews>
    <sheetView showGridLines="0" showRowColHeaders="0" workbookViewId="0">
      <selection activeCell="A2" sqref="A2"/>
    </sheetView>
  </sheetViews>
  <sheetFormatPr defaultColWidth="9.1796875" defaultRowHeight="14.5" x14ac:dyDescent="0.35"/>
  <cols>
    <col min="1" max="1" width="20.7265625" style="5" customWidth="1"/>
    <col min="2" max="2" width="35.7265625" style="5" customWidth="1"/>
    <col min="3" max="3" width="60.7265625" style="5" customWidth="1"/>
    <col min="4" max="4" width="0.54296875" style="5" customWidth="1"/>
    <col min="5" max="5" width="5.7265625" style="5" customWidth="1"/>
    <col min="6" max="16384" width="9.1796875" style="5"/>
  </cols>
  <sheetData>
    <row r="1" spans="1:5" ht="12.75" customHeight="1" x14ac:dyDescent="0.35">
      <c r="A1" s="131" t="str">
        <f ca="1">""&amp;SpecsTxt!$D$22</f>
        <v>Macro workbook name</v>
      </c>
      <c r="B1" s="131" t="str">
        <f ca="1">""&amp;SpecsTxt!$E$22</f>
        <v>Term change macro</v>
      </c>
      <c r="C1" s="131" t="str">
        <f ca="1">""&amp;SpecsTxt!$F$22</f>
        <v>Description (optional)</v>
      </c>
      <c r="D1" s="8"/>
      <c r="E1" s="9"/>
    </row>
    <row r="2" spans="1:5" ht="12.75" customHeight="1" x14ac:dyDescent="0.35">
      <c r="A2" s="10"/>
      <c r="B2" s="10"/>
      <c r="C2" s="11"/>
      <c r="D2" s="8"/>
      <c r="E2" s="9"/>
    </row>
    <row r="3" spans="1:5" ht="12.75" customHeight="1" x14ac:dyDescent="0.35">
      <c r="A3" s="131" t="str">
        <f ca="1">""&amp;SpecsTxt!$B$2</f>
        <v>Assignable macros</v>
      </c>
      <c r="B3" s="131" t="str">
        <f ca="1">SUBSTITUTE(SpecsTxt!$C$2,"XXX",IF(TRIM(""&amp;OFFSET(A1,1,0))&lt;&gt;"",OFFSET(A1,1,0),SpecsTxt!$D$2))</f>
        <v>Macro to run in macro workbook</v>
      </c>
      <c r="C3" s="131" t="str">
        <f ca="1">""&amp;SpecsTxt!$F$22</f>
        <v>Description (optional)</v>
      </c>
      <c r="D3" s="8"/>
    </row>
    <row r="4" spans="1:5" ht="12.75" customHeight="1" x14ac:dyDescent="0.35">
      <c r="A4" s="12" t="s">
        <v>1828</v>
      </c>
      <c r="B4" s="13"/>
      <c r="C4" s="11"/>
      <c r="D4" s="8"/>
    </row>
    <row r="5" spans="1:5" ht="12.75" customHeight="1" x14ac:dyDescent="0.35">
      <c r="A5" s="14" t="s">
        <v>1829</v>
      </c>
      <c r="B5" s="15"/>
      <c r="C5" s="16"/>
      <c r="D5" s="8"/>
    </row>
    <row r="6" spans="1:5" ht="12.75" customHeight="1" x14ac:dyDescent="0.35">
      <c r="A6" s="14" t="s">
        <v>1830</v>
      </c>
      <c r="B6" s="15"/>
      <c r="C6" s="16"/>
      <c r="D6" s="8"/>
    </row>
    <row r="7" spans="1:5" ht="12.75" customHeight="1" x14ac:dyDescent="0.35">
      <c r="A7" s="14" t="s">
        <v>1831</v>
      </c>
      <c r="B7" s="15"/>
      <c r="C7" s="16"/>
      <c r="D7" s="8"/>
    </row>
    <row r="8" spans="1:5" ht="12.75" customHeight="1" x14ac:dyDescent="0.35">
      <c r="A8" s="14" t="s">
        <v>1832</v>
      </c>
      <c r="B8" s="15"/>
      <c r="C8" s="16"/>
      <c r="D8" s="8"/>
    </row>
    <row r="9" spans="1:5" ht="12.75" customHeight="1" x14ac:dyDescent="0.35">
      <c r="A9" s="14" t="s">
        <v>1833</v>
      </c>
      <c r="B9" s="15"/>
      <c r="C9" s="16"/>
      <c r="D9" s="8"/>
    </row>
    <row r="10" spans="1:5" ht="12.75" customHeight="1" x14ac:dyDescent="0.35">
      <c r="A10" s="14" t="s">
        <v>1834</v>
      </c>
      <c r="B10" s="15"/>
      <c r="C10" s="16"/>
      <c r="D10" s="8"/>
    </row>
    <row r="11" spans="1:5" ht="12.75" customHeight="1" x14ac:dyDescent="0.35">
      <c r="A11" s="14" t="s">
        <v>1835</v>
      </c>
      <c r="B11" s="15"/>
      <c r="C11" s="16"/>
      <c r="D11" s="8"/>
    </row>
    <row r="12" spans="1:5" ht="12.75" customHeight="1" x14ac:dyDescent="0.35">
      <c r="A12" s="14" t="s">
        <v>1836</v>
      </c>
      <c r="B12" s="15"/>
      <c r="C12" s="16"/>
      <c r="D12" s="8"/>
    </row>
    <row r="13" spans="1:5" ht="12.75" customHeight="1" x14ac:dyDescent="0.35">
      <c r="A13" s="14" t="s">
        <v>1837</v>
      </c>
      <c r="B13" s="15"/>
      <c r="C13" s="16"/>
      <c r="D13" s="8"/>
    </row>
    <row r="14" spans="1:5" ht="12.75" customHeight="1" x14ac:dyDescent="0.35">
      <c r="A14" s="14" t="s">
        <v>1838</v>
      </c>
      <c r="B14" s="15"/>
      <c r="C14" s="16"/>
      <c r="D14" s="8"/>
    </row>
    <row r="15" spans="1:5" ht="12.75" customHeight="1" x14ac:dyDescent="0.35">
      <c r="A15" s="14" t="s">
        <v>1839</v>
      </c>
      <c r="B15" s="15"/>
      <c r="C15" s="16"/>
      <c r="D15" s="8"/>
    </row>
    <row r="16" spans="1:5" ht="12.75" customHeight="1" x14ac:dyDescent="0.35">
      <c r="A16" s="14" t="s">
        <v>1840</v>
      </c>
      <c r="B16" s="15"/>
      <c r="C16" s="16"/>
      <c r="D16" s="8"/>
    </row>
    <row r="17" spans="1:4" ht="12.75" customHeight="1" x14ac:dyDescent="0.35">
      <c r="A17" s="14" t="s">
        <v>1841</v>
      </c>
      <c r="B17" s="15"/>
      <c r="C17" s="16"/>
      <c r="D17" s="8"/>
    </row>
    <row r="18" spans="1:4" ht="12.75" customHeight="1" x14ac:dyDescent="0.35">
      <c r="A18" s="14" t="s">
        <v>1842</v>
      </c>
      <c r="B18" s="15"/>
      <c r="C18" s="16"/>
      <c r="D18" s="8"/>
    </row>
    <row r="19" spans="1:4" ht="12.75" customHeight="1" x14ac:dyDescent="0.35">
      <c r="A19" s="14" t="s">
        <v>1843</v>
      </c>
      <c r="B19" s="15"/>
      <c r="C19" s="16"/>
      <c r="D19" s="8"/>
    </row>
    <row r="20" spans="1:4" ht="12.75" customHeight="1" x14ac:dyDescent="0.35">
      <c r="A20" s="14" t="s">
        <v>1844</v>
      </c>
      <c r="B20" s="15"/>
      <c r="C20" s="16"/>
      <c r="D20" s="8"/>
    </row>
    <row r="21" spans="1:4" ht="12.75" customHeight="1" x14ac:dyDescent="0.35">
      <c r="A21" s="14" t="s">
        <v>1845</v>
      </c>
      <c r="B21" s="15"/>
      <c r="C21" s="16"/>
      <c r="D21" s="8"/>
    </row>
    <row r="22" spans="1:4" ht="12.75" customHeight="1" x14ac:dyDescent="0.35">
      <c r="A22" s="14" t="s">
        <v>1846</v>
      </c>
      <c r="B22" s="15"/>
      <c r="C22" s="16"/>
      <c r="D22" s="8"/>
    </row>
    <row r="23" spans="1:4" ht="12.75" customHeight="1" x14ac:dyDescent="0.35">
      <c r="A23" s="14" t="s">
        <v>1847</v>
      </c>
      <c r="B23" s="15"/>
      <c r="C23" s="16"/>
      <c r="D23" s="8"/>
    </row>
    <row r="24" spans="1:4" ht="12.75" customHeight="1" x14ac:dyDescent="0.35">
      <c r="A24" s="14" t="s">
        <v>1848</v>
      </c>
      <c r="B24" s="15"/>
      <c r="C24" s="16"/>
      <c r="D24" s="8"/>
    </row>
    <row r="25" spans="1:4" ht="12.75" customHeight="1" x14ac:dyDescent="0.35">
      <c r="A25" s="14" t="s">
        <v>1849</v>
      </c>
      <c r="B25" s="15"/>
      <c r="C25" s="16"/>
      <c r="D25" s="8"/>
    </row>
    <row r="26" spans="1:4" ht="12.75" customHeight="1" x14ac:dyDescent="0.35">
      <c r="A26" s="14" t="s">
        <v>1850</v>
      </c>
      <c r="B26" s="15"/>
      <c r="C26" s="16"/>
      <c r="D26" s="8"/>
    </row>
    <row r="27" spans="1:4" ht="12.75" customHeight="1" x14ac:dyDescent="0.35">
      <c r="A27" s="14" t="s">
        <v>1851</v>
      </c>
      <c r="B27" s="15"/>
      <c r="C27" s="16"/>
      <c r="D27" s="8"/>
    </row>
    <row r="28" spans="1:4" ht="12.75" customHeight="1" x14ac:dyDescent="0.35">
      <c r="A28" s="14" t="s">
        <v>1852</v>
      </c>
      <c r="B28" s="15"/>
      <c r="C28" s="16"/>
      <c r="D28" s="8"/>
    </row>
    <row r="29" spans="1:4" ht="12.75" customHeight="1" x14ac:dyDescent="0.35">
      <c r="A29" s="14" t="s">
        <v>1853</v>
      </c>
      <c r="B29" s="15"/>
      <c r="C29" s="16"/>
      <c r="D29" s="8"/>
    </row>
    <row r="30" spans="1:4" ht="12.75" customHeight="1" x14ac:dyDescent="0.35">
      <c r="A30" s="14" t="s">
        <v>1854</v>
      </c>
      <c r="B30" s="15"/>
      <c r="C30" s="16"/>
      <c r="D30" s="8"/>
    </row>
    <row r="31" spans="1:4" ht="12.75" customHeight="1" x14ac:dyDescent="0.35">
      <c r="A31" s="14" t="s">
        <v>1855</v>
      </c>
      <c r="B31" s="15"/>
      <c r="C31" s="16"/>
      <c r="D31" s="8"/>
    </row>
    <row r="32" spans="1:4" ht="12.75" customHeight="1" x14ac:dyDescent="0.35">
      <c r="A32" s="14" t="s">
        <v>1856</v>
      </c>
      <c r="B32" s="15"/>
      <c r="C32" s="16"/>
      <c r="D32" s="8"/>
    </row>
    <row r="33" spans="1:4" ht="12.75" customHeight="1" x14ac:dyDescent="0.35">
      <c r="A33" s="14" t="s">
        <v>1857</v>
      </c>
      <c r="B33" s="15"/>
      <c r="C33" s="16"/>
      <c r="D33" s="8"/>
    </row>
    <row r="34" spans="1:4" ht="12.75" customHeight="1" x14ac:dyDescent="0.35">
      <c r="A34" s="14" t="s">
        <v>1858</v>
      </c>
      <c r="B34" s="15"/>
      <c r="C34" s="16"/>
      <c r="D34" s="8"/>
    </row>
    <row r="35" spans="1:4" ht="12.75" customHeight="1" x14ac:dyDescent="0.35">
      <c r="A35" s="14" t="s">
        <v>1859</v>
      </c>
      <c r="B35" s="15"/>
      <c r="C35" s="16"/>
      <c r="D35" s="8"/>
    </row>
    <row r="36" spans="1:4" ht="12.75" customHeight="1" x14ac:dyDescent="0.35">
      <c r="A36" s="14" t="s">
        <v>1860</v>
      </c>
      <c r="B36" s="15"/>
      <c r="C36" s="16"/>
      <c r="D36" s="8"/>
    </row>
    <row r="37" spans="1:4" ht="12.75" customHeight="1" x14ac:dyDescent="0.35">
      <c r="A37" s="14" t="s">
        <v>1861</v>
      </c>
      <c r="B37" s="15"/>
      <c r="C37" s="16"/>
      <c r="D37" s="8"/>
    </row>
    <row r="38" spans="1:4" ht="12.75" customHeight="1" x14ac:dyDescent="0.35">
      <c r="A38" s="14" t="s">
        <v>1862</v>
      </c>
      <c r="B38" s="15"/>
      <c r="C38" s="16"/>
      <c r="D38" s="8"/>
    </row>
    <row r="39" spans="1:4" ht="12.75" customHeight="1" x14ac:dyDescent="0.35">
      <c r="A39" s="14" t="s">
        <v>1863</v>
      </c>
      <c r="B39" s="15"/>
      <c r="C39" s="16"/>
      <c r="D39" s="8"/>
    </row>
    <row r="40" spans="1:4" ht="12.75" customHeight="1" x14ac:dyDescent="0.35">
      <c r="A40" s="14" t="s">
        <v>1864</v>
      </c>
      <c r="B40" s="15"/>
      <c r="C40" s="16"/>
      <c r="D40" s="8"/>
    </row>
    <row r="41" spans="1:4" ht="12.75" customHeight="1" x14ac:dyDescent="0.35">
      <c r="A41" s="14" t="s">
        <v>1865</v>
      </c>
      <c r="B41" s="15"/>
      <c r="C41" s="16"/>
      <c r="D41" s="8"/>
    </row>
    <row r="42" spans="1:4" ht="12.75" customHeight="1" x14ac:dyDescent="0.35">
      <c r="A42" s="14" t="s">
        <v>1866</v>
      </c>
      <c r="B42" s="15"/>
      <c r="C42" s="16"/>
      <c r="D42" s="8"/>
    </row>
    <row r="43" spans="1:4" ht="12.75" customHeight="1" x14ac:dyDescent="0.35">
      <c r="A43" s="14" t="s">
        <v>1867</v>
      </c>
      <c r="B43" s="15"/>
      <c r="C43" s="16"/>
      <c r="D43" s="8"/>
    </row>
    <row r="44" spans="1:4" ht="12.75" customHeight="1" x14ac:dyDescent="0.35">
      <c r="A44" s="14" t="s">
        <v>1868</v>
      </c>
      <c r="B44" s="15"/>
      <c r="C44" s="16"/>
      <c r="D44" s="8"/>
    </row>
    <row r="45" spans="1:4" ht="12.75" customHeight="1" x14ac:dyDescent="0.35">
      <c r="A45" s="14" t="s">
        <v>1869</v>
      </c>
      <c r="B45" s="15"/>
      <c r="C45" s="16"/>
      <c r="D45" s="8"/>
    </row>
    <row r="46" spans="1:4" ht="12.75" customHeight="1" x14ac:dyDescent="0.35">
      <c r="A46" s="14" t="s">
        <v>1870</v>
      </c>
      <c r="B46" s="15"/>
      <c r="C46" s="16"/>
      <c r="D46" s="8"/>
    </row>
    <row r="47" spans="1:4" ht="12.75" customHeight="1" x14ac:dyDescent="0.35">
      <c r="A47" s="14" t="s">
        <v>1871</v>
      </c>
      <c r="B47" s="15"/>
      <c r="C47" s="16"/>
      <c r="D47" s="8"/>
    </row>
    <row r="48" spans="1:4" ht="12.75" customHeight="1" x14ac:dyDescent="0.35">
      <c r="A48" s="14" t="s">
        <v>1872</v>
      </c>
      <c r="B48" s="15"/>
      <c r="C48" s="16"/>
      <c r="D48" s="8"/>
    </row>
    <row r="49" spans="1:4" ht="12.75" customHeight="1" x14ac:dyDescent="0.35">
      <c r="A49" s="14" t="s">
        <v>1873</v>
      </c>
      <c r="B49" s="15"/>
      <c r="C49" s="16"/>
      <c r="D49" s="8"/>
    </row>
    <row r="50" spans="1:4" ht="12.75" customHeight="1" x14ac:dyDescent="0.35">
      <c r="A50" s="14" t="s">
        <v>1874</v>
      </c>
      <c r="B50" s="15"/>
      <c r="C50" s="16"/>
      <c r="D50" s="8"/>
    </row>
    <row r="51" spans="1:4" ht="12.75" customHeight="1" x14ac:dyDescent="0.35">
      <c r="A51" s="14" t="s">
        <v>1875</v>
      </c>
      <c r="B51" s="15"/>
      <c r="C51" s="16"/>
      <c r="D51" s="8"/>
    </row>
    <row r="52" spans="1:4" ht="12.75" customHeight="1" x14ac:dyDescent="0.35">
      <c r="A52" s="14" t="s">
        <v>1876</v>
      </c>
      <c r="B52" s="15"/>
      <c r="C52" s="16"/>
      <c r="D52" s="8"/>
    </row>
    <row r="53" spans="1:4" ht="12.75" customHeight="1" x14ac:dyDescent="0.35">
      <c r="A53" s="14" t="s">
        <v>1877</v>
      </c>
      <c r="B53" s="15"/>
      <c r="C53" s="16"/>
      <c r="D53" s="8"/>
    </row>
    <row r="54" spans="1:4" ht="12.75" customHeight="1" x14ac:dyDescent="0.35">
      <c r="A54" s="14" t="s">
        <v>1878</v>
      </c>
      <c r="B54" s="15"/>
      <c r="C54" s="16"/>
      <c r="D54" s="8"/>
    </row>
    <row r="55" spans="1:4" ht="12.75" customHeight="1" x14ac:dyDescent="0.35">
      <c r="A55" s="14" t="s">
        <v>1879</v>
      </c>
      <c r="B55" s="15"/>
      <c r="C55" s="16"/>
      <c r="D55" s="8"/>
    </row>
    <row r="56" spans="1:4" ht="12.75" customHeight="1" x14ac:dyDescent="0.35">
      <c r="A56" s="14" t="s">
        <v>1880</v>
      </c>
      <c r="B56" s="15"/>
      <c r="C56" s="16"/>
      <c r="D56" s="8"/>
    </row>
    <row r="57" spans="1:4" ht="12.75" customHeight="1" x14ac:dyDescent="0.35">
      <c r="A57" s="14" t="s">
        <v>1881</v>
      </c>
      <c r="B57" s="15"/>
      <c r="C57" s="16"/>
      <c r="D57" s="8"/>
    </row>
    <row r="58" spans="1:4" ht="12.75" customHeight="1" x14ac:dyDescent="0.35">
      <c r="A58" s="14" t="s">
        <v>1882</v>
      </c>
      <c r="B58" s="15"/>
      <c r="C58" s="16"/>
      <c r="D58" s="8"/>
    </row>
    <row r="59" spans="1:4" ht="12.75" customHeight="1" x14ac:dyDescent="0.35">
      <c r="A59" s="14" t="s">
        <v>1883</v>
      </c>
      <c r="B59" s="15"/>
      <c r="C59" s="16"/>
      <c r="D59" s="8"/>
    </row>
    <row r="60" spans="1:4" ht="12.75" customHeight="1" x14ac:dyDescent="0.35">
      <c r="A60" s="14" t="s">
        <v>1884</v>
      </c>
      <c r="B60" s="15"/>
      <c r="C60" s="16"/>
      <c r="D60" s="8"/>
    </row>
    <row r="61" spans="1:4" ht="12.75" customHeight="1" x14ac:dyDescent="0.35">
      <c r="A61" s="14" t="s">
        <v>1885</v>
      </c>
      <c r="B61" s="15"/>
      <c r="C61" s="16"/>
      <c r="D61" s="8"/>
    </row>
    <row r="62" spans="1:4" ht="12.75" customHeight="1" x14ac:dyDescent="0.35">
      <c r="A62" s="14" t="s">
        <v>1886</v>
      </c>
      <c r="B62" s="15"/>
      <c r="C62" s="16"/>
      <c r="D62" s="8"/>
    </row>
    <row r="63" spans="1:4" ht="12.75" customHeight="1" x14ac:dyDescent="0.35">
      <c r="A63" s="14" t="s">
        <v>1887</v>
      </c>
      <c r="B63" s="15"/>
      <c r="C63" s="16"/>
      <c r="D63" s="8"/>
    </row>
    <row r="64" spans="1:4" ht="12.75" customHeight="1" x14ac:dyDescent="0.35">
      <c r="A64" s="14" t="s">
        <v>1888</v>
      </c>
      <c r="B64" s="15"/>
      <c r="C64" s="16"/>
      <c r="D64" s="8"/>
    </row>
    <row r="65" spans="1:4" ht="12.75" customHeight="1" x14ac:dyDescent="0.35">
      <c r="A65" s="14" t="s">
        <v>1889</v>
      </c>
      <c r="B65" s="15"/>
      <c r="C65" s="16"/>
      <c r="D65" s="8"/>
    </row>
    <row r="66" spans="1:4" ht="12.75" customHeight="1" x14ac:dyDescent="0.35">
      <c r="A66" s="14" t="s">
        <v>1890</v>
      </c>
      <c r="B66" s="15"/>
      <c r="C66" s="16"/>
      <c r="D66" s="8"/>
    </row>
    <row r="67" spans="1:4" ht="12.75" customHeight="1" x14ac:dyDescent="0.35">
      <c r="A67" s="14" t="s">
        <v>1891</v>
      </c>
      <c r="B67" s="15"/>
      <c r="C67" s="16"/>
      <c r="D67" s="8"/>
    </row>
    <row r="68" spans="1:4" ht="12.75" customHeight="1" x14ac:dyDescent="0.35">
      <c r="A68" s="14" t="s">
        <v>1892</v>
      </c>
      <c r="B68" s="15"/>
      <c r="C68" s="16"/>
      <c r="D68" s="8"/>
    </row>
    <row r="69" spans="1:4" ht="12.75" customHeight="1" x14ac:dyDescent="0.35">
      <c r="A69" s="14" t="s">
        <v>1893</v>
      </c>
      <c r="B69" s="15"/>
      <c r="C69" s="16"/>
      <c r="D69" s="8"/>
    </row>
    <row r="70" spans="1:4" ht="12.75" customHeight="1" x14ac:dyDescent="0.35">
      <c r="A70" s="14" t="s">
        <v>1894</v>
      </c>
      <c r="B70" s="15"/>
      <c r="C70" s="16"/>
      <c r="D70" s="8"/>
    </row>
    <row r="71" spans="1:4" ht="12.75" customHeight="1" x14ac:dyDescent="0.35">
      <c r="A71" s="14" t="s">
        <v>1895</v>
      </c>
      <c r="B71" s="15"/>
      <c r="C71" s="16"/>
      <c r="D71" s="8"/>
    </row>
    <row r="72" spans="1:4" ht="12.75" customHeight="1" x14ac:dyDescent="0.35">
      <c r="A72" s="14" t="s">
        <v>1896</v>
      </c>
      <c r="B72" s="15"/>
      <c r="C72" s="16"/>
      <c r="D72" s="8"/>
    </row>
    <row r="73" spans="1:4" ht="12.75" customHeight="1" x14ac:dyDescent="0.35">
      <c r="A73" s="14" t="s">
        <v>1897</v>
      </c>
      <c r="B73" s="15"/>
      <c r="C73" s="16"/>
      <c r="D73" s="8"/>
    </row>
    <row r="74" spans="1:4" ht="12.75" customHeight="1" x14ac:dyDescent="0.35">
      <c r="A74" s="14" t="s">
        <v>1898</v>
      </c>
      <c r="B74" s="15"/>
      <c r="C74" s="16"/>
      <c r="D74" s="8"/>
    </row>
    <row r="75" spans="1:4" ht="12.75" customHeight="1" x14ac:dyDescent="0.35">
      <c r="A75" s="14" t="s">
        <v>1899</v>
      </c>
      <c r="B75" s="15"/>
      <c r="C75" s="16"/>
      <c r="D75" s="8"/>
    </row>
    <row r="76" spans="1:4" ht="12.75" customHeight="1" x14ac:dyDescent="0.35">
      <c r="A76" s="14" t="s">
        <v>1900</v>
      </c>
      <c r="B76" s="15"/>
      <c r="C76" s="16"/>
      <c r="D76" s="8"/>
    </row>
    <row r="77" spans="1:4" ht="12.75" customHeight="1" x14ac:dyDescent="0.35">
      <c r="A77" s="14" t="s">
        <v>1901</v>
      </c>
      <c r="B77" s="15"/>
      <c r="C77" s="16"/>
      <c r="D77" s="8"/>
    </row>
    <row r="78" spans="1:4" ht="12.75" customHeight="1" x14ac:dyDescent="0.35">
      <c r="A78" s="14" t="s">
        <v>1902</v>
      </c>
      <c r="B78" s="15"/>
      <c r="C78" s="16"/>
      <c r="D78" s="8"/>
    </row>
    <row r="79" spans="1:4" ht="12.75" customHeight="1" x14ac:dyDescent="0.35">
      <c r="A79" s="14" t="s">
        <v>1903</v>
      </c>
      <c r="B79" s="15"/>
      <c r="C79" s="16"/>
      <c r="D79" s="8"/>
    </row>
    <row r="80" spans="1:4" ht="12.75" customHeight="1" x14ac:dyDescent="0.35">
      <c r="A80" s="14" t="s">
        <v>1904</v>
      </c>
      <c r="B80" s="15"/>
      <c r="C80" s="16"/>
      <c r="D80" s="8"/>
    </row>
    <row r="81" spans="1:4" ht="12.75" customHeight="1" x14ac:dyDescent="0.35">
      <c r="A81" s="14" t="s">
        <v>1905</v>
      </c>
      <c r="B81" s="15"/>
      <c r="C81" s="16"/>
      <c r="D81" s="8"/>
    </row>
    <row r="82" spans="1:4" ht="12.75" customHeight="1" x14ac:dyDescent="0.35">
      <c r="A82" s="14" t="s">
        <v>1906</v>
      </c>
      <c r="B82" s="15"/>
      <c r="C82" s="16"/>
      <c r="D82" s="8"/>
    </row>
    <row r="83" spans="1:4" ht="12.75" customHeight="1" x14ac:dyDescent="0.35">
      <c r="A83" s="14" t="s">
        <v>1907</v>
      </c>
      <c r="B83" s="15"/>
      <c r="C83" s="16"/>
      <c r="D83" s="8"/>
    </row>
    <row r="84" spans="1:4" ht="12.75" customHeight="1" x14ac:dyDescent="0.35">
      <c r="A84" s="14" t="s">
        <v>1908</v>
      </c>
      <c r="B84" s="15"/>
      <c r="C84" s="16"/>
      <c r="D84" s="8"/>
    </row>
    <row r="85" spans="1:4" ht="12.75" customHeight="1" x14ac:dyDescent="0.35">
      <c r="A85" s="14" t="s">
        <v>1909</v>
      </c>
      <c r="B85" s="15"/>
      <c r="C85" s="16"/>
      <c r="D85" s="8"/>
    </row>
    <row r="86" spans="1:4" ht="12.75" customHeight="1" x14ac:dyDescent="0.35">
      <c r="A86" s="14" t="s">
        <v>1910</v>
      </c>
      <c r="B86" s="15"/>
      <c r="C86" s="16"/>
      <c r="D86" s="8"/>
    </row>
    <row r="87" spans="1:4" ht="12.75" customHeight="1" x14ac:dyDescent="0.35">
      <c r="A87" s="14" t="s">
        <v>1911</v>
      </c>
      <c r="B87" s="15"/>
      <c r="C87" s="16"/>
      <c r="D87" s="8"/>
    </row>
    <row r="88" spans="1:4" ht="12.75" customHeight="1" x14ac:dyDescent="0.35">
      <c r="A88" s="14" t="s">
        <v>1912</v>
      </c>
      <c r="B88" s="15"/>
      <c r="C88" s="16"/>
      <c r="D88" s="8"/>
    </row>
    <row r="89" spans="1:4" ht="12.75" customHeight="1" x14ac:dyDescent="0.35">
      <c r="A89" s="14" t="s">
        <v>1913</v>
      </c>
      <c r="B89" s="15"/>
      <c r="C89" s="16"/>
      <c r="D89" s="8"/>
    </row>
    <row r="90" spans="1:4" ht="12.75" customHeight="1" x14ac:dyDescent="0.35">
      <c r="A90" s="14" t="s">
        <v>1914</v>
      </c>
      <c r="B90" s="15"/>
      <c r="C90" s="16"/>
      <c r="D90" s="8"/>
    </row>
    <row r="91" spans="1:4" ht="12.75" customHeight="1" x14ac:dyDescent="0.35">
      <c r="A91" s="14" t="s">
        <v>1915</v>
      </c>
      <c r="B91" s="15"/>
      <c r="C91" s="16"/>
      <c r="D91" s="8"/>
    </row>
    <row r="92" spans="1:4" ht="12.75" customHeight="1" x14ac:dyDescent="0.35">
      <c r="A92" s="14" t="s">
        <v>1916</v>
      </c>
      <c r="B92" s="15"/>
      <c r="C92" s="16"/>
      <c r="D92" s="8"/>
    </row>
    <row r="93" spans="1:4" ht="12.75" customHeight="1" x14ac:dyDescent="0.35">
      <c r="A93" s="14" t="s">
        <v>1917</v>
      </c>
      <c r="B93" s="15"/>
      <c r="C93" s="16"/>
      <c r="D93" s="8"/>
    </row>
    <row r="94" spans="1:4" ht="12.75" customHeight="1" x14ac:dyDescent="0.35">
      <c r="A94" s="14" t="s">
        <v>1918</v>
      </c>
      <c r="B94" s="15"/>
      <c r="C94" s="16"/>
      <c r="D94" s="8"/>
    </row>
    <row r="95" spans="1:4" ht="12.75" customHeight="1" x14ac:dyDescent="0.35">
      <c r="A95" s="14" t="s">
        <v>1919</v>
      </c>
      <c r="B95" s="15"/>
      <c r="C95" s="16"/>
      <c r="D95" s="8"/>
    </row>
    <row r="96" spans="1:4" ht="12.75" customHeight="1" x14ac:dyDescent="0.35">
      <c r="A96" s="14" t="s">
        <v>1920</v>
      </c>
      <c r="B96" s="15"/>
      <c r="C96" s="16"/>
      <c r="D96" s="8"/>
    </row>
    <row r="97" spans="1:4" ht="12.75" customHeight="1" x14ac:dyDescent="0.35">
      <c r="A97" s="14" t="s">
        <v>1921</v>
      </c>
      <c r="B97" s="15"/>
      <c r="C97" s="16"/>
      <c r="D97" s="8"/>
    </row>
    <row r="98" spans="1:4" ht="12.75" customHeight="1" x14ac:dyDescent="0.35">
      <c r="A98" s="14" t="s">
        <v>1922</v>
      </c>
      <c r="B98" s="15"/>
      <c r="C98" s="16"/>
      <c r="D98" s="8"/>
    </row>
    <row r="99" spans="1:4" ht="12.75" customHeight="1" x14ac:dyDescent="0.35">
      <c r="A99" s="14" t="s">
        <v>1923</v>
      </c>
      <c r="B99" s="15"/>
      <c r="C99" s="16"/>
      <c r="D99" s="8"/>
    </row>
    <row r="100" spans="1:4" ht="12.75" customHeight="1" x14ac:dyDescent="0.35">
      <c r="A100" s="14" t="s">
        <v>1924</v>
      </c>
      <c r="B100" s="15"/>
      <c r="C100" s="16"/>
      <c r="D100" s="8"/>
    </row>
    <row r="101" spans="1:4" ht="12.75" customHeight="1" x14ac:dyDescent="0.35">
      <c r="A101" s="14" t="s">
        <v>1925</v>
      </c>
      <c r="B101" s="15"/>
      <c r="C101" s="16"/>
      <c r="D101" s="8"/>
    </row>
    <row r="102" spans="1:4" ht="12.75" customHeight="1" x14ac:dyDescent="0.35">
      <c r="A102" s="14" t="s">
        <v>1926</v>
      </c>
      <c r="B102" s="15"/>
      <c r="C102" s="16"/>
      <c r="D102" s="8"/>
    </row>
    <row r="103" spans="1:4" ht="4" customHeight="1" x14ac:dyDescent="0.35">
      <c r="A103" s="209"/>
      <c r="B103" s="209"/>
      <c r="C103" s="209"/>
      <c r="D103" s="8"/>
    </row>
  </sheetData>
  <sheetProtection password="B01E" sheet="1" objects="1" scenarios="1" formatCells="0"/>
  <printOptions horizontalCentered="1"/>
  <pageMargins left="0.35433070866141736" right="0.35433070866141736" top="0.78740157480314965" bottom="0.78740157480314965" header="0.51181102362204722" footer="0.51181102362204722"/>
  <pageSetup paperSize="9" scale="8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7"/>
  <dimension ref="A1:C44"/>
  <sheetViews>
    <sheetView workbookViewId="0">
      <pane ySplit="1" topLeftCell="A8" activePane="bottomLeft" state="frozen"/>
      <selection pane="bottomLeft" activeCell="J21" sqref="J21:J22"/>
    </sheetView>
  </sheetViews>
  <sheetFormatPr defaultRowHeight="14.5" x14ac:dyDescent="0.35"/>
  <cols>
    <col min="1" max="3" width="10.7265625" customWidth="1"/>
  </cols>
  <sheetData>
    <row r="1" spans="1:3" x14ac:dyDescent="0.35">
      <c r="A1" t="s">
        <v>4933</v>
      </c>
      <c r="B1" t="s">
        <v>4934</v>
      </c>
      <c r="C1" t="s">
        <v>4935</v>
      </c>
    </row>
    <row r="2" spans="1:3" x14ac:dyDescent="0.35">
      <c r="C2" s="220" t="str">
        <f ca="1">NotInUseTxt</f>
        <v>&lt; Not in use &gt;</v>
      </c>
    </row>
    <row r="3" spans="1:3" x14ac:dyDescent="0.35">
      <c r="A3" t="str">
        <f>Calculations!$E$19</f>
        <v>C0500</v>
      </c>
      <c r="B3">
        <f>ROW(Calculations!$E$19)</f>
        <v>19</v>
      </c>
      <c r="C3" t="str">
        <f ca="1">IF(VarIncludeRows,"("&amp;B3&amp;") ","")&amp;TRIM(OFFSET(Calculations!$E$1,B3-1,-3)&amp;" "&amp;OFFSET(Calculations!$E$1,B3-1,-2))</f>
        <v>(19) 1 Immaterial rights</v>
      </c>
    </row>
    <row r="4" spans="1:3" x14ac:dyDescent="0.35">
      <c r="A4" t="str">
        <f>Calculations!$E$29</f>
        <v>C0600</v>
      </c>
      <c r="B4">
        <f>ROW(Calculations!$E$29)</f>
        <v>29</v>
      </c>
      <c r="C4" t="str">
        <f ca="1">IF(VarIncludeRows,"("&amp;B4&amp;") ","")&amp;TRIM(OFFSET(Calculations!$E$1,B4-1,-3)&amp;" "&amp;OFFSET(Calculations!$E$1,B4-1,-2))</f>
        <v>(29) 2 Capitalized development costs</v>
      </c>
    </row>
    <row r="5" spans="1:3" x14ac:dyDescent="0.35">
      <c r="A5" t="str">
        <f>Calculations!$E$39</f>
        <v>C0700</v>
      </c>
      <c r="B5">
        <f>ROW(Calculations!$E$39)</f>
        <v>39</v>
      </c>
      <c r="C5" t="str">
        <f ca="1">IF(VarIncludeRows,"("&amp;B5&amp;") ","")&amp;TRIM(OFFSET(Calculations!$E$1,B5-1,-3)&amp;" "&amp;OFFSET(Calculations!$E$1,B5-1,-2))</f>
        <v>(39) 3 Goodwill</v>
      </c>
    </row>
    <row r="6" spans="1:3" x14ac:dyDescent="0.35">
      <c r="A6" t="str">
        <f>Calculations!$E$49</f>
        <v>C0800</v>
      </c>
      <c r="B6">
        <f>ROW(Calculations!$E$49)</f>
        <v>49</v>
      </c>
      <c r="C6" t="str">
        <f ca="1">IF(VarIncludeRows,"("&amp;B6&amp;") ","")&amp;TRIM(OFFSET(Calculations!$E$1,B6-1,-3)&amp;" "&amp;OFFSET(Calculations!$E$1,B6-1,-2))</f>
        <v>(49) 4 Other intangible assets</v>
      </c>
    </row>
    <row r="7" spans="1:3" x14ac:dyDescent="0.35">
      <c r="A7" t="str">
        <f>Calculations!$E$59</f>
        <v>C0900</v>
      </c>
      <c r="B7">
        <f>ROW(Calculations!$E$59)</f>
        <v>59</v>
      </c>
      <c r="C7" t="str">
        <f ca="1">IF(VarIncludeRows,"("&amp;B7&amp;") ","")&amp;TRIM(OFFSET(Calculations!$E$1,B7-1,-3)&amp;" "&amp;OFFSET(Calculations!$E$1,B7-1,-2))</f>
        <v>(59) 5 Machinery and equipment</v>
      </c>
    </row>
    <row r="8" spans="1:3" x14ac:dyDescent="0.35">
      <c r="A8" t="str">
        <f>Calculations!$E$69</f>
        <v>C1000</v>
      </c>
      <c r="B8">
        <f>ROW(Calculations!$E$69)</f>
        <v>69</v>
      </c>
      <c r="C8" t="str">
        <f ca="1">IF(VarIncludeRows,"("&amp;B8&amp;") ","")&amp;TRIM(OFFSET(Calculations!$E$1,B8-1,-3)&amp;" "&amp;OFFSET(Calculations!$E$1,B8-1,-2))</f>
        <v>(69) 6 Buildings and structures</v>
      </c>
    </row>
    <row r="9" spans="1:3" x14ac:dyDescent="0.35">
      <c r="A9" t="str">
        <f>Calculations!$E$79</f>
        <v>C1030</v>
      </c>
      <c r="B9">
        <f>ROW(Calculations!$E$79)</f>
        <v>79</v>
      </c>
      <c r="C9" t="str">
        <f ca="1">IF(VarIncludeRows,"("&amp;B9&amp;") ","")&amp;TRIM(OFFSET(Calculations!$E$1,B9-1,-3)&amp;" "&amp;OFFSET(Calculations!$E$1,B9-1,-2))</f>
        <v>(79) 7 Land and water</v>
      </c>
    </row>
    <row r="10" spans="1:3" x14ac:dyDescent="0.35">
      <c r="A10" t="str">
        <f>Calculations!$E$89</f>
        <v>C1060</v>
      </c>
      <c r="B10">
        <f>ROW(Calculations!$E$89)</f>
        <v>89</v>
      </c>
      <c r="C10" t="str">
        <f ca="1">IF(VarIncludeRows,"("&amp;B10&amp;") ","")&amp;TRIM(OFFSET(Calculations!$E$1,B10-1,-3)&amp;" "&amp;OFFSET(Calculations!$E$1,B10-1,-2))</f>
        <v>(89) 8 Prepayments and construction in progress</v>
      </c>
    </row>
    <row r="11" spans="1:3" x14ac:dyDescent="0.35">
      <c r="A11" t="str">
        <f>Calculations!$E$99</f>
        <v>C1090</v>
      </c>
      <c r="B11">
        <f>ROW(Calculations!$E$99)</f>
        <v>99</v>
      </c>
      <c r="C11" t="str">
        <f ca="1">IF(VarIncludeRows,"("&amp;B11&amp;") ","")&amp;TRIM(OFFSET(Calculations!$E$1,B11-1,-3)&amp;" "&amp;OFFSET(Calculations!$E$1,B11-1,-2))</f>
        <v>(99) 9 Other tangible assets</v>
      </c>
    </row>
    <row r="12" spans="1:3" x14ac:dyDescent="0.35">
      <c r="A12" t="str">
        <f>Calculations!$E$109</f>
        <v>C1120</v>
      </c>
      <c r="B12">
        <f>ROW(Calculations!$E$109)</f>
        <v>109</v>
      </c>
      <c r="C12" t="str">
        <f ca="1">IF(VarIncludeRows,"("&amp;B12&amp;") ","")&amp;TRIM(OFFSET(Calculations!$E$1,B12-1,-3)&amp;" "&amp;OFFSET(Calculations!$E$1,B12-1,-2))</f>
        <v>(109) 10 Investments in associated companies</v>
      </c>
    </row>
    <row r="13" spans="1:3" x14ac:dyDescent="0.35">
      <c r="A13" t="str">
        <f>Calculations!$E$443</f>
        <v>C9000</v>
      </c>
      <c r="B13">
        <f>ROW(Calculations!$E$443)</f>
        <v>443</v>
      </c>
      <c r="C13" t="str">
        <f ca="1">IF(VarIncludeRows,"("&amp;B13&amp;") ","")&amp;TRIM(OFFSET(Calculations!$E$1,B13-1,-3)&amp;" "&amp;OFFSET(Calculations!$E$1,B13-1,-2))</f>
        <v>(443) Sales</v>
      </c>
    </row>
    <row r="14" spans="1:3" x14ac:dyDescent="0.35">
      <c r="A14" t="str">
        <f>Calculations!$E$444</f>
        <v>C9010</v>
      </c>
      <c r="B14">
        <f>ROW(Calculations!$E$444)</f>
        <v>444</v>
      </c>
      <c r="C14" t="str">
        <f ca="1">IF(VarIncludeRows,"("&amp;B14&amp;") ","")&amp;TRIM(OFFSET(Calculations!$E$1,B14-1,-3)&amp;" "&amp;OFFSET(Calculations!$E$1,B14-1,-2))</f>
        <v xml:space="preserve">(444) </v>
      </c>
    </row>
    <row r="15" spans="1:3" x14ac:dyDescent="0.35">
      <c r="A15" t="str">
        <f>Calculations!$E$445</f>
        <v>C9020</v>
      </c>
      <c r="B15">
        <f>ROW(Calculations!$E$445)</f>
        <v>445</v>
      </c>
      <c r="C15" t="str">
        <f ca="1">IF(VarIncludeRows,"("&amp;B15&amp;") ","")&amp;TRIM(OFFSET(Calculations!$E$1,B15-1,-3)&amp;" "&amp;OFFSET(Calculations!$E$1,B15-1,-2))</f>
        <v xml:space="preserve">(445) </v>
      </c>
    </row>
    <row r="16" spans="1:3" x14ac:dyDescent="0.35">
      <c r="A16" t="str">
        <f>Calculations!$E$446</f>
        <v>C9030</v>
      </c>
      <c r="B16">
        <f>ROW(Calculations!$E$446)</f>
        <v>446</v>
      </c>
      <c r="C16" t="str">
        <f ca="1">IF(VarIncludeRows,"("&amp;B16&amp;") ","")&amp;TRIM(OFFSET(Calculations!$E$1,B16-1,-3)&amp;" "&amp;OFFSET(Calculations!$E$1,B16-1,-2))</f>
        <v xml:space="preserve">(446) </v>
      </c>
    </row>
    <row r="17" spans="1:3" x14ac:dyDescent="0.35">
      <c r="A17" t="str">
        <f>Calculations!$E$447</f>
        <v>C9040</v>
      </c>
      <c r="B17">
        <f>ROW(Calculations!$E$447)</f>
        <v>447</v>
      </c>
      <c r="C17" t="str">
        <f ca="1">IF(VarIncludeRows,"("&amp;B17&amp;") ","")&amp;TRIM(OFFSET(Calculations!$E$1,B17-1,-3)&amp;" "&amp;OFFSET(Calculations!$E$1,B17-1,-2))</f>
        <v xml:space="preserve">(447) </v>
      </c>
    </row>
    <row r="18" spans="1:3" x14ac:dyDescent="0.35">
      <c r="A18" t="str">
        <f>Calculations!$E$448</f>
        <v>C9041</v>
      </c>
      <c r="B18">
        <f>ROW(Calculations!$E$448)</f>
        <v>448</v>
      </c>
      <c r="C18" t="str">
        <f ca="1">IF(VarIncludeRows,"("&amp;B18&amp;") ","")&amp;TRIM(OFFSET(Calculations!$E$1,B18-1,-3)&amp;" "&amp;OFFSET(Calculations!$E$1,B18-1,-2))</f>
        <v xml:space="preserve">(448) </v>
      </c>
    </row>
    <row r="19" spans="1:3" x14ac:dyDescent="0.35">
      <c r="A19" t="str">
        <f>Calculations!$E$449</f>
        <v>C9042</v>
      </c>
      <c r="B19">
        <f>ROW(Calculations!$E$449)</f>
        <v>449</v>
      </c>
      <c r="C19" t="str">
        <f ca="1">IF(VarIncludeRows,"("&amp;B19&amp;") ","")&amp;TRIM(OFFSET(Calculations!$E$1,B19-1,-3)&amp;" "&amp;OFFSET(Calculations!$E$1,B19-1,-2))</f>
        <v xml:space="preserve">(449) </v>
      </c>
    </row>
    <row r="20" spans="1:3" x14ac:dyDescent="0.35">
      <c r="A20" t="str">
        <f>Calculations!$E$450</f>
        <v>C9043</v>
      </c>
      <c r="B20">
        <f>ROW(Calculations!$E$450)</f>
        <v>450</v>
      </c>
      <c r="C20" t="str">
        <f ca="1">IF(VarIncludeRows,"("&amp;B20&amp;") ","")&amp;TRIM(OFFSET(Calculations!$E$1,B20-1,-3)&amp;" "&amp;OFFSET(Calculations!$E$1,B20-1,-2))</f>
        <v xml:space="preserve">(450) </v>
      </c>
    </row>
    <row r="21" spans="1:3" x14ac:dyDescent="0.35">
      <c r="A21" t="str">
        <f>Calculations!$E$451</f>
        <v>C9044</v>
      </c>
      <c r="B21">
        <f>ROW(Calculations!$E$451)</f>
        <v>451</v>
      </c>
      <c r="C21" t="str">
        <f ca="1">IF(VarIncludeRows,"("&amp;B21&amp;") ","")&amp;TRIM(OFFSET(Calculations!$E$1,B21-1,-3)&amp;" "&amp;OFFSET(Calculations!$E$1,B21-1,-2))</f>
        <v xml:space="preserve">(451) </v>
      </c>
    </row>
    <row r="22" spans="1:3" x14ac:dyDescent="0.35">
      <c r="A22" t="str">
        <f>Calculations!$E$452</f>
        <v>C9045</v>
      </c>
      <c r="B22">
        <f>ROW(Calculations!$E$452)</f>
        <v>452</v>
      </c>
      <c r="C22" t="str">
        <f ca="1">IF(VarIncludeRows,"("&amp;B22&amp;") ","")&amp;TRIM(OFFSET(Calculations!$E$1,B22-1,-3)&amp;" "&amp;OFFSET(Calculations!$E$1,B22-1,-2))</f>
        <v xml:space="preserve">(452) </v>
      </c>
    </row>
    <row r="23" spans="1:3" x14ac:dyDescent="0.35">
      <c r="A23" t="str">
        <f>Calculations!$E$455</f>
        <v>C2040</v>
      </c>
      <c r="B23">
        <f>ROW(Calculations!$E$455)</f>
        <v>455</v>
      </c>
      <c r="C23" t="str">
        <f ca="1">IF(VarIncludeRows,"("&amp;B23&amp;") ","")&amp;TRIM(OFFSET(Calculations!$E$1,B23-1,-3)&amp;" "&amp;OFFSET(Calculations!$E$1,B23-1,-2))</f>
        <v>(455) Other operating income</v>
      </c>
    </row>
    <row r="24" spans="1:3" x14ac:dyDescent="0.35">
      <c r="A24" t="str">
        <f>Calculations!$E$457</f>
        <v>C2060</v>
      </c>
      <c r="B24">
        <f>ROW(Calculations!$E$457)</f>
        <v>457</v>
      </c>
      <c r="C24" t="str">
        <f ca="1">IF(VarIncludeRows,"("&amp;B24&amp;") ","")&amp;TRIM(OFFSET(Calculations!$E$1,B24-1,-3)&amp;" "&amp;OFFSET(Calculations!$E$1,B24-1,-2))</f>
        <v>(457) Raw materials and consumables</v>
      </c>
    </row>
    <row r="25" spans="1:3" x14ac:dyDescent="0.35">
      <c r="A25" t="str">
        <f>Calculations!$E$458</f>
        <v>C2090</v>
      </c>
      <c r="B25">
        <f>ROW(Calculations!$E$458)</f>
        <v>458</v>
      </c>
      <c r="C25" t="str">
        <f ca="1">IF(VarIncludeRows,"("&amp;B25&amp;") ","")&amp;TRIM(OFFSET(Calculations!$E$1,B25-1,-3)&amp;" "&amp;OFFSET(Calculations!$E$1,B25-1,-2))</f>
        <v>(458) External charges</v>
      </c>
    </row>
    <row r="26" spans="1:3" x14ac:dyDescent="0.35">
      <c r="A26" t="str">
        <f>Calculations!$E$459</f>
        <v>C2100</v>
      </c>
      <c r="B26">
        <f>ROW(Calculations!$E$459)</f>
        <v>459</v>
      </c>
      <c r="C26" t="str">
        <f ca="1">IF(VarIncludeRows,"("&amp;B26&amp;") ","")&amp;TRIM(OFFSET(Calculations!$E$1,B26-1,-3)&amp;" "&amp;OFFSET(Calculations!$E$1,B26-1,-2))</f>
        <v>(459) Staff costs</v>
      </c>
    </row>
    <row r="27" spans="1:3" x14ac:dyDescent="0.35">
      <c r="A27" t="str">
        <f>Calculations!$E$460</f>
        <v>C2110</v>
      </c>
      <c r="B27">
        <f>ROW(Calculations!$E$460)</f>
        <v>460</v>
      </c>
      <c r="C27" t="str">
        <f ca="1">IF(VarIncludeRows,"("&amp;B27&amp;") ","")&amp;TRIM(OFFSET(Calculations!$E$1,B27-1,-3)&amp;" "&amp;OFFSET(Calculations!$E$1,B27-1,-2))</f>
        <v>(460) Other variable costs</v>
      </c>
    </row>
    <row r="28" spans="1:3" x14ac:dyDescent="0.35">
      <c r="A28" t="str">
        <f>Calculations!$E$461</f>
        <v>C2113</v>
      </c>
      <c r="B28">
        <f>ROW(Calculations!$E$461)</f>
        <v>461</v>
      </c>
      <c r="C28" t="str">
        <f ca="1">IF(VarIncludeRows,"("&amp;B28&amp;") ","")&amp;TRIM(OFFSET(Calculations!$E$1,B28-1,-3)&amp;" "&amp;OFFSET(Calculations!$E$1,B28-1,-2))</f>
        <v xml:space="preserve">(461) </v>
      </c>
    </row>
    <row r="29" spans="1:3" x14ac:dyDescent="0.35">
      <c r="A29" t="str">
        <f>Calculations!$E$462</f>
        <v>C2116</v>
      </c>
      <c r="B29">
        <f>ROW(Calculations!$E$462)</f>
        <v>462</v>
      </c>
      <c r="C29" t="str">
        <f ca="1">IF(VarIncludeRows,"("&amp;B29&amp;") ","")&amp;TRIM(OFFSET(Calculations!$E$1,B29-1,-3)&amp;" "&amp;OFFSET(Calculations!$E$1,B29-1,-2))</f>
        <v xml:space="preserve">(462) </v>
      </c>
    </row>
    <row r="30" spans="1:3" x14ac:dyDescent="0.35">
      <c r="A30" t="str">
        <f>Calculations!$E$463</f>
        <v>C2114</v>
      </c>
      <c r="B30">
        <f>ROW(Calculations!$E$463)</f>
        <v>463</v>
      </c>
      <c r="C30" t="str">
        <f ca="1">IF(VarIncludeRows,"("&amp;B30&amp;") ","")&amp;TRIM(OFFSET(Calculations!$E$1,B30-1,-3)&amp;" "&amp;OFFSET(Calculations!$E$1,B30-1,-2))</f>
        <v xml:space="preserve">(463) </v>
      </c>
    </row>
    <row r="31" spans="1:3" x14ac:dyDescent="0.35">
      <c r="A31" t="str">
        <f>Calculations!$E$464</f>
        <v>C2115</v>
      </c>
      <c r="B31">
        <f>ROW(Calculations!$E$464)</f>
        <v>464</v>
      </c>
      <c r="C31" t="str">
        <f ca="1">IF(VarIncludeRows,"("&amp;B31&amp;") ","")&amp;TRIM(OFFSET(Calculations!$E$1,B31-1,-3)&amp;" "&amp;OFFSET(Calculations!$E$1,B31-1,-2))</f>
        <v xml:space="preserve">(464) </v>
      </c>
    </row>
    <row r="32" spans="1:3" x14ac:dyDescent="0.35">
      <c r="A32" t="str">
        <f>Calculations!$E$465</f>
        <v>C2117</v>
      </c>
      <c r="B32">
        <f>ROW(Calculations!$E$465)</f>
        <v>465</v>
      </c>
      <c r="C32" t="str">
        <f ca="1">IF(VarIncludeRows,"("&amp;B32&amp;") ","")&amp;TRIM(OFFSET(Calculations!$E$1,B32-1,-3)&amp;" "&amp;OFFSET(Calculations!$E$1,B32-1,-2))</f>
        <v xml:space="preserve">(465) </v>
      </c>
    </row>
    <row r="33" spans="1:3" x14ac:dyDescent="0.35">
      <c r="A33" t="str">
        <f>Calculations!$E$466</f>
        <v>C2118</v>
      </c>
      <c r="B33">
        <f>ROW(Calculations!$E$466)</f>
        <v>466</v>
      </c>
      <c r="C33" t="str">
        <f ca="1">IF(VarIncludeRows,"("&amp;B33&amp;") ","")&amp;TRIM(OFFSET(Calculations!$E$1,B33-1,-3)&amp;" "&amp;OFFSET(Calculations!$E$1,B33-1,-2))</f>
        <v xml:space="preserve">(466) </v>
      </c>
    </row>
    <row r="34" spans="1:3" x14ac:dyDescent="0.35">
      <c r="A34" t="str">
        <f>Calculations!$E$471</f>
        <v>C2160</v>
      </c>
      <c r="B34">
        <f>ROW(Calculations!$E$471)</f>
        <v>471</v>
      </c>
      <c r="C34" t="str">
        <f ca="1">IF(VarIncludeRows,"("&amp;B34&amp;") ","")&amp;TRIM(OFFSET(Calculations!$E$1,B34-1,-3)&amp;" "&amp;OFFSET(Calculations!$E$1,B34-1,-2))</f>
        <v>(471) Staff costs</v>
      </c>
    </row>
    <row r="35" spans="1:3" x14ac:dyDescent="0.35">
      <c r="A35" t="str">
        <f>Calculations!$E$472</f>
        <v>C2170</v>
      </c>
      <c r="B35">
        <f>ROW(Calculations!$E$472)</f>
        <v>472</v>
      </c>
      <c r="C35" t="str">
        <f ca="1">IF(VarIncludeRows,"("&amp;B35&amp;") ","")&amp;TRIM(OFFSET(Calculations!$E$1,B35-1,-3)&amp;" "&amp;OFFSET(Calculations!$E$1,B35-1,-2))</f>
        <v>(472) Rents</v>
      </c>
    </row>
    <row r="36" spans="1:3" x14ac:dyDescent="0.35">
      <c r="A36" t="str">
        <f>Calculations!$E$473</f>
        <v>C2173</v>
      </c>
      <c r="B36">
        <f>ROW(Calculations!$E$473)</f>
        <v>473</v>
      </c>
      <c r="C36" t="str">
        <f ca="1">IF(VarIncludeRows,"("&amp;B36&amp;") ","")&amp;TRIM(OFFSET(Calculations!$E$1,B36-1,-3)&amp;" "&amp;OFFSET(Calculations!$E$1,B36-1,-2))</f>
        <v>(473) Other fixed costs</v>
      </c>
    </row>
    <row r="37" spans="1:3" x14ac:dyDescent="0.35">
      <c r="A37" t="str">
        <f>Calculations!$E$474</f>
        <v>C2175</v>
      </c>
      <c r="B37">
        <f>ROW(Calculations!$E$474)</f>
        <v>474</v>
      </c>
      <c r="C37" t="str">
        <f ca="1">IF(VarIncludeRows,"("&amp;B37&amp;") ","")&amp;TRIM(OFFSET(Calculations!$E$1,B37-1,-3)&amp;" "&amp;OFFSET(Calculations!$E$1,B37-1,-2))</f>
        <v xml:space="preserve">(474) </v>
      </c>
    </row>
    <row r="38" spans="1:3" x14ac:dyDescent="0.35">
      <c r="A38" t="str">
        <f>Calculations!$E$475</f>
        <v>C2177</v>
      </c>
      <c r="B38">
        <f>ROW(Calculations!$E$475)</f>
        <v>475</v>
      </c>
      <c r="C38" t="str">
        <f ca="1">IF(VarIncludeRows,"("&amp;B38&amp;") ","")&amp;TRIM(OFFSET(Calculations!$E$1,B38-1,-3)&amp;" "&amp;OFFSET(Calculations!$E$1,B38-1,-2))</f>
        <v xml:space="preserve">(475) </v>
      </c>
    </row>
    <row r="39" spans="1:3" x14ac:dyDescent="0.35">
      <c r="A39" t="str">
        <f>Calculations!$E$476</f>
        <v>C2180</v>
      </c>
      <c r="B39">
        <f>ROW(Calculations!$E$476)</f>
        <v>476</v>
      </c>
      <c r="C39" t="str">
        <f ca="1">IF(VarIncludeRows,"("&amp;B39&amp;") ","")&amp;TRIM(OFFSET(Calculations!$E$1,B39-1,-3)&amp;" "&amp;OFFSET(Calculations!$E$1,B39-1,-2))</f>
        <v xml:space="preserve">(476) </v>
      </c>
    </row>
    <row r="40" spans="1:3" x14ac:dyDescent="0.35">
      <c r="A40" t="str">
        <f>Calculations!$E$477</f>
        <v>C2181</v>
      </c>
      <c r="B40">
        <f>ROW(Calculations!$E$477)</f>
        <v>477</v>
      </c>
      <c r="C40" t="str">
        <f ca="1">IF(VarIncludeRows,"("&amp;B40&amp;") ","")&amp;TRIM(OFFSET(Calculations!$E$1,B40-1,-3)&amp;" "&amp;OFFSET(Calculations!$E$1,B40-1,-2))</f>
        <v xml:space="preserve">(477) </v>
      </c>
    </row>
    <row r="41" spans="1:3" x14ac:dyDescent="0.35">
      <c r="A41" t="str">
        <f>Calculations!$E$478</f>
        <v>C2182</v>
      </c>
      <c r="B41">
        <f>ROW(Calculations!$E$478)</f>
        <v>478</v>
      </c>
      <c r="C41" t="str">
        <f ca="1">IF(VarIncludeRows,"("&amp;B41&amp;") ","")&amp;TRIM(OFFSET(Calculations!$E$1,B41-1,-3)&amp;" "&amp;OFFSET(Calculations!$E$1,B41-1,-2))</f>
        <v xml:space="preserve">(478) </v>
      </c>
    </row>
    <row r="42" spans="1:3" x14ac:dyDescent="0.35">
      <c r="A42" t="str">
        <f>Calculations!$E$479</f>
        <v>C2183</v>
      </c>
      <c r="B42">
        <f>ROW(Calculations!$E$479)</f>
        <v>479</v>
      </c>
      <c r="C42" t="str">
        <f ca="1">IF(VarIncludeRows,"("&amp;B42&amp;") ","")&amp;TRIM(OFFSET(Calculations!$E$1,B42-1,-3)&amp;" "&amp;OFFSET(Calculations!$E$1,B42-1,-2))</f>
        <v xml:space="preserve">(479) </v>
      </c>
    </row>
    <row r="43" spans="1:3" x14ac:dyDescent="0.35">
      <c r="A43" t="str">
        <f>Calculations!$E$480</f>
        <v>C2184</v>
      </c>
      <c r="B43">
        <f>ROW(Calculations!$E$480)</f>
        <v>480</v>
      </c>
      <c r="C43" t="str">
        <f ca="1">IF(VarIncludeRows,"("&amp;B43&amp;") ","")&amp;TRIM(OFFSET(Calculations!$E$1,B43-1,-3)&amp;" "&amp;OFFSET(Calculations!$E$1,B43-1,-2))</f>
        <v xml:space="preserve">(480) </v>
      </c>
    </row>
    <row r="44" spans="1:3" x14ac:dyDescent="0.35">
      <c r="A44" t="str">
        <f>Calculations!$E$481</f>
        <v>C2185</v>
      </c>
      <c r="B44">
        <f>ROW(Calculations!$E$481)</f>
        <v>481</v>
      </c>
      <c r="C44" t="str">
        <f ca="1">IF(VarIncludeRows,"("&amp;B44&amp;") ","")&amp;TRIM(OFFSET(Calculations!$E$1,B44-1,-3)&amp;" "&amp;OFFSET(Calculations!$E$1,B44-1,-2))</f>
        <v>(481) Provisions, increase (-) / decrease (+)</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231</vt:i4>
      </vt:variant>
    </vt:vector>
  </HeadingPairs>
  <TitlesOfParts>
    <vt:vector size="237" baseType="lpstr">
      <vt:lpstr>Basic Values</vt:lpstr>
      <vt:lpstr>Calculations</vt:lpstr>
      <vt:lpstr>Result</vt:lpstr>
      <vt:lpstr>Analysis</vt:lpstr>
      <vt:lpstr>Investment Summary</vt:lpstr>
      <vt:lpstr>Consolidation Info</vt:lpstr>
      <vt:lpstr>_Tax1</vt:lpstr>
      <vt:lpstr>_Tax2</vt:lpstr>
      <vt:lpstr>_Tax3</vt:lpstr>
      <vt:lpstr>_Tax4</vt:lpstr>
      <vt:lpstr>_Tax5</vt:lpstr>
      <vt:lpstr>AFactorList2</vt:lpstr>
      <vt:lpstr>AFactorRanges2</vt:lpstr>
      <vt:lpstr>AllTxt</vt:lpstr>
      <vt:lpstr>AvgOperMarg</vt:lpstr>
      <vt:lpstr>BalanceTable</vt:lpstr>
      <vt:lpstr>BalanceTable0</vt:lpstr>
      <vt:lpstr>BalanceTableFull</vt:lpstr>
      <vt:lpstr>BalDeprPerc13</vt:lpstr>
      <vt:lpstr>BasicValues</vt:lpstr>
      <vt:lpstr>BasicValuesFull</vt:lpstr>
      <vt:lpstr>BasicValuesView</vt:lpstr>
      <vt:lpstr>BeginEnd</vt:lpstr>
      <vt:lpstr>CashFlowPeriods</vt:lpstr>
      <vt:lpstr>CashFlowTable</vt:lpstr>
      <vt:lpstr>CashflowTable0</vt:lpstr>
      <vt:lpstr>CashFlowTableFull</vt:lpstr>
      <vt:lpstr>ChangeTxt</vt:lpstr>
      <vt:lpstr>CodList01</vt:lpstr>
      <vt:lpstr>ColHeadersR</vt:lpstr>
      <vt:lpstr>ColHeadersR2</vt:lpstr>
      <vt:lpstr>ConsInfo</vt:lpstr>
      <vt:lpstr>ConsISR</vt:lpstr>
      <vt:lpstr>ConsTxt</vt:lpstr>
      <vt:lpstr>ContactInfo</vt:lpstr>
      <vt:lpstr>ContactInfoFull</vt:lpstr>
      <vt:lpstr>ContactInfoView</vt:lpstr>
      <vt:lpstr>CumMonths</vt:lpstr>
      <vt:lpstr>Currency</vt:lpstr>
      <vt:lpstr>DebtCashFlow</vt:lpstr>
      <vt:lpstr>DiscAnalysis</vt:lpstr>
      <vt:lpstr>DiscAnalysisView</vt:lpstr>
      <vt:lpstr>DiscFinCashFlow</vt:lpstr>
      <vt:lpstr>DiscMonth</vt:lpstr>
      <vt:lpstr>DiscMonthEquity</vt:lpstr>
      <vt:lpstr>DiscNetCashFlow</vt:lpstr>
      <vt:lpstr>DiscNetCashFlowEquity</vt:lpstr>
      <vt:lpstr>DiscOperCashFlow</vt:lpstr>
      <vt:lpstr>DiscPayBack</vt:lpstr>
      <vt:lpstr>DiscPayBackDCVA</vt:lpstr>
      <vt:lpstr>DiscPayBackEquity</vt:lpstr>
      <vt:lpstr>DiscPaybackPeriod</vt:lpstr>
      <vt:lpstr>DiscPeriod</vt:lpstr>
      <vt:lpstr>DiscPeriod2</vt:lpstr>
      <vt:lpstr>DiscPeriod2Equity</vt:lpstr>
      <vt:lpstr>DiscPeriodEquity</vt:lpstr>
      <vt:lpstr>DiscTotalInvestment</vt:lpstr>
      <vt:lpstr>DiscYear</vt:lpstr>
      <vt:lpstr>DiscYearEquity</vt:lpstr>
      <vt:lpstr>DupontArea</vt:lpstr>
      <vt:lpstr>ElimGroupCol</vt:lpstr>
      <vt:lpstr>ElimLastCol</vt:lpstr>
      <vt:lpstr>ElimResidualColumn</vt:lpstr>
      <vt:lpstr>ElimStart</vt:lpstr>
      <vt:lpstr>ElimTxt</vt:lpstr>
      <vt:lpstr>ElimZeroCol</vt:lpstr>
      <vt:lpstr>ElimZeroPeriod</vt:lpstr>
      <vt:lpstr>Figures</vt:lpstr>
      <vt:lpstr>FinMonth</vt:lpstr>
      <vt:lpstr>FinYear</vt:lpstr>
      <vt:lpstr>FinYearsH</vt:lpstr>
      <vt:lpstr>FinYearsNeg</vt:lpstr>
      <vt:lpstr>FinYearsPos</vt:lpstr>
      <vt:lpstr>FinYearsR</vt:lpstr>
      <vt:lpstr>FixedCostAnalysis</vt:lpstr>
      <vt:lpstr>FixedCostAnalysisView</vt:lpstr>
      <vt:lpstr>GroupTxt</vt:lpstr>
      <vt:lpstr>HiddenCol2</vt:lpstr>
      <vt:lpstr>IFRSFull</vt:lpstr>
      <vt:lpstr>IFRSPrint</vt:lpstr>
      <vt:lpstr>IncomeTable</vt:lpstr>
      <vt:lpstr>IncomeTable0</vt:lpstr>
      <vt:lpstr>IncomeTableFull</vt:lpstr>
      <vt:lpstr>IncVarAnalysis2</vt:lpstr>
      <vt:lpstr>IncVarAnalysis2View</vt:lpstr>
      <vt:lpstr>IncVarAnalysis3</vt:lpstr>
      <vt:lpstr>IncVarAnalysis3View</vt:lpstr>
      <vt:lpstr>IncVarAnalysis4</vt:lpstr>
      <vt:lpstr>IncVarAnalysis4View</vt:lpstr>
      <vt:lpstr>IncVarAnalysis5</vt:lpstr>
      <vt:lpstr>IncVarAnalysis5View</vt:lpstr>
      <vt:lpstr>IncVarAnalysis6</vt:lpstr>
      <vt:lpstr>IncVarAnalysis6View</vt:lpstr>
      <vt:lpstr>IndexTxt</vt:lpstr>
      <vt:lpstr>InvDate</vt:lpstr>
      <vt:lpstr>Investment</vt:lpstr>
      <vt:lpstr>InvestmentAnalysis</vt:lpstr>
      <vt:lpstr>InvestmentAnalysisView</vt:lpstr>
      <vt:lpstr>InvestTable</vt:lpstr>
      <vt:lpstr>InvestTable0</vt:lpstr>
      <vt:lpstr>InvestTableFull</vt:lpstr>
      <vt:lpstr>InvMonth</vt:lpstr>
      <vt:lpstr>InvTime</vt:lpstr>
      <vt:lpstr>InvTime2</vt:lpstr>
      <vt:lpstr>InvTimeEnds</vt:lpstr>
      <vt:lpstr>InvTimeMonths</vt:lpstr>
      <vt:lpstr>InvTimeMonths2</vt:lpstr>
      <vt:lpstr>InvYear</vt:lpstr>
      <vt:lpstr>IrrCashFlow</vt:lpstr>
      <vt:lpstr>IrrCashFlowEquity</vt:lpstr>
      <vt:lpstr>KeyFiguresTable</vt:lpstr>
      <vt:lpstr>KeyFiguresTable0</vt:lpstr>
      <vt:lpstr>KeyFiguresTableFull</vt:lpstr>
      <vt:lpstr>Language</vt:lpstr>
      <vt:lpstr>LastMonth</vt:lpstr>
      <vt:lpstr>LastPeriod</vt:lpstr>
      <vt:lpstr>LastYear</vt:lpstr>
      <vt:lpstr>MidyearTxt</vt:lpstr>
      <vt:lpstr>MirrdCashFlow</vt:lpstr>
      <vt:lpstr>MYDisc</vt:lpstr>
      <vt:lpstr>NetCashFlow</vt:lpstr>
      <vt:lpstr>NetCashFlowEquity</vt:lpstr>
      <vt:lpstr>NoOfPeriods</vt:lpstr>
      <vt:lpstr>NoOfPeriods2</vt:lpstr>
      <vt:lpstr>NotDiscPayback</vt:lpstr>
      <vt:lpstr>NotDiscPaybackEquity</vt:lpstr>
      <vt:lpstr>NotInUseTxt</vt:lpstr>
      <vt:lpstr>OperMonth</vt:lpstr>
      <vt:lpstr>OperTxt</vt:lpstr>
      <vt:lpstr>OperYear</vt:lpstr>
      <vt:lpstr>Period</vt:lpstr>
      <vt:lpstr>Period2</vt:lpstr>
      <vt:lpstr>PerpetuityBaseValue</vt:lpstr>
      <vt:lpstr>PerpetuityBaseValueEquity</vt:lpstr>
      <vt:lpstr>PerpetuityBasisEntered</vt:lpstr>
      <vt:lpstr>PerpetuityBasisEnteredEquity</vt:lpstr>
      <vt:lpstr>PerpetuityDiscRate</vt:lpstr>
      <vt:lpstr>PerpetuityDiscRateEquity</vt:lpstr>
      <vt:lpstr>PerpetuityGrowthPercent</vt:lpstr>
      <vt:lpstr>PerpetuityGrowthPercentEquity</vt:lpstr>
      <vt:lpstr>PerpetuityPV</vt:lpstr>
      <vt:lpstr>PerpetuityPVEquity</vt:lpstr>
      <vt:lpstr>PerpetuityValue</vt:lpstr>
      <vt:lpstr>PerpetuityValueEquity</vt:lpstr>
      <vt:lpstr>PreTaxCashFlow</vt:lpstr>
      <vt:lpstr>PreTaxCashFlowEquity</vt:lpstr>
      <vt:lpstr>Analysis!Print_Area</vt:lpstr>
      <vt:lpstr>'Basic Values'!Print_Area</vt:lpstr>
      <vt:lpstr>Calculations!Print_Area</vt:lpstr>
      <vt:lpstr>'Consolidation Info'!Print_Area</vt:lpstr>
      <vt:lpstr>DuPont!Print_Area</vt:lpstr>
      <vt:lpstr>IFRS!Print_Area</vt:lpstr>
      <vt:lpstr>'Investment Summary'!Print_Area</vt:lpstr>
      <vt:lpstr>Result!Print_Area</vt:lpstr>
      <vt:lpstr>Calculations!Print_Titles</vt:lpstr>
      <vt:lpstr>'Consolidation Info'!Print_Titles</vt:lpstr>
      <vt:lpstr>IFRS!Print_Titles</vt:lpstr>
      <vt:lpstr>'Investment Summary'!Print_Titles</vt:lpstr>
      <vt:lpstr>MacroDef!Print_Titles</vt:lpstr>
      <vt:lpstr>PrintISR</vt:lpstr>
      <vt:lpstr>RatiosDD</vt:lpstr>
      <vt:lpstr>ResultAverageEVA</vt:lpstr>
      <vt:lpstr>ResultAverageRONA</vt:lpstr>
      <vt:lpstr>ResultBookValue</vt:lpstr>
      <vt:lpstr>ResultContinuousInvestmentsPV</vt:lpstr>
      <vt:lpstr>ResultControlValue</vt:lpstr>
      <vt:lpstr>ResultDCF</vt:lpstr>
      <vt:lpstr>ResultDCFEquity</vt:lpstr>
      <vt:lpstr>ResultDCVA</vt:lpstr>
      <vt:lpstr>ResultDebtCorrection</vt:lpstr>
      <vt:lpstr>ResultEnterpriseValue</vt:lpstr>
      <vt:lpstr>ResultEquityValue</vt:lpstr>
      <vt:lpstr>ResultInvestmentProposalNominal</vt:lpstr>
      <vt:lpstr>ResultInvestmentProposalPV</vt:lpstr>
      <vt:lpstr>ResultIRR</vt:lpstr>
      <vt:lpstr>ResultIRRBeforeTax</vt:lpstr>
      <vt:lpstr>ResultIRRBeforeTaxEquity</vt:lpstr>
      <vt:lpstr>ResultIRRd</vt:lpstr>
      <vt:lpstr>ResultIRREquity</vt:lpstr>
      <vt:lpstr>ResultMIRR</vt:lpstr>
      <vt:lpstr>ResultMIRRd</vt:lpstr>
      <vt:lpstr>ResultMIRREquity</vt:lpstr>
      <vt:lpstr>ResultNetDebt</vt:lpstr>
      <vt:lpstr>ResultNPV</vt:lpstr>
      <vt:lpstr>ResultNPVEquity</vt:lpstr>
      <vt:lpstr>ResultNPVEquityMonthlyAnnuity</vt:lpstr>
      <vt:lpstr>ResultNPVMonthlyAnnuity</vt:lpstr>
      <vt:lpstr>ResultPayback</vt:lpstr>
      <vt:lpstr>ResultPaybackd</vt:lpstr>
      <vt:lpstr>ResultPaybackEquity</vt:lpstr>
      <vt:lpstr>ResultPI</vt:lpstr>
      <vt:lpstr>ResultPVResidual</vt:lpstr>
      <vt:lpstr>ResultPVResidualEquity</vt:lpstr>
      <vt:lpstr>ResultSimplePayback</vt:lpstr>
      <vt:lpstr>ResultSimplePaybackEquity</vt:lpstr>
      <vt:lpstr>ResultTable</vt:lpstr>
      <vt:lpstr>ResultTableFull</vt:lpstr>
      <vt:lpstr>ResultTableView</vt:lpstr>
      <vt:lpstr>ResultValueInUse</vt:lpstr>
      <vt:lpstr>RowList01</vt:lpstr>
      <vt:lpstr>StartupBegins</vt:lpstr>
      <vt:lpstr>StartupTxt</vt:lpstr>
      <vt:lpstr>TaxCashFlow</vt:lpstr>
      <vt:lpstr>TaxCorrection</vt:lpstr>
      <vt:lpstr>TaxRateM</vt:lpstr>
      <vt:lpstr>TotalCashFlow</vt:lpstr>
      <vt:lpstr>TotalInvestment</vt:lpstr>
      <vt:lpstr>TotalPV</vt:lpstr>
      <vt:lpstr>TurnoverAnalysis</vt:lpstr>
      <vt:lpstr>TurnoverAnalysisView</vt:lpstr>
      <vt:lpstr>User</vt:lpstr>
      <vt:lpstr>VariableCostAnalysis</vt:lpstr>
      <vt:lpstr>VariableCostAnalysisView</vt:lpstr>
      <vt:lpstr>VarList01</vt:lpstr>
      <vt:lpstr>VarRowsTxt</vt:lpstr>
      <vt:lpstr>WACC</vt:lpstr>
      <vt:lpstr>WACCCostOfDebt</vt:lpstr>
      <vt:lpstr>WACCDebt</vt:lpstr>
      <vt:lpstr>WACCEquity</vt:lpstr>
      <vt:lpstr>WACCPreTax</vt:lpstr>
      <vt:lpstr>WACCPreTaxMonth</vt:lpstr>
      <vt:lpstr>WACCReturnOnEquity</vt:lpstr>
      <vt:lpstr>WACCTaxRatio</vt:lpstr>
      <vt:lpstr>WACCTotalCapital</vt:lpstr>
      <vt:lpstr>WCABal</vt:lpstr>
      <vt:lpstr>WCBal</vt:lpstr>
      <vt:lpstr>WCChange</vt:lpstr>
      <vt:lpstr>WCDays</vt:lpstr>
      <vt:lpstr>WorkingCapital</vt:lpstr>
      <vt:lpstr>WorkingCapital0</vt:lpstr>
      <vt:lpstr>WorkingCapitalFull</vt:lpstr>
      <vt:lpstr>Year1</vt:lpstr>
      <vt:lpstr>Year2</vt:lpstr>
      <vt:lpstr>Year3</vt:lpstr>
      <vt:lpstr>Year4</vt:lpstr>
      <vt:lpstr>Year5</vt:lpstr>
      <vt:lpstr>YearlyPaybackData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Irina Kuzennaya</dc:creator>
  <cp:lastModifiedBy>Irina Kuzennaya</cp:lastModifiedBy>
  <cp:lastPrinted>2018-10-31T17:40:05Z</cp:lastPrinted>
  <dcterms:created xsi:type="dcterms:W3CDTF">2010-06-14T15:07:49Z</dcterms:created>
  <dcterms:modified xsi:type="dcterms:W3CDTF">2019-02-15T10:25:12Z</dcterms:modified>
</cp:coreProperties>
</file>